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043EBCD1-12DD-47B6-A07D-4798F51B345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VR24-26" sheetId="1" r:id="rId1"/>
    <sheet name="investície" sheetId="3" r:id="rId2"/>
    <sheet name="eko" sheetId="4" r:id="rId3"/>
    <sheet name="kategorie" sheetId="6" r:id="rId4"/>
    <sheet name="zdroje" sheetId="5" r:id="rId5"/>
  </sheets>
  <calcPr calcId="191029"/>
</workbook>
</file>

<file path=xl/calcChain.xml><?xml version="1.0" encoding="utf-8"?>
<calcChain xmlns="http://schemas.openxmlformats.org/spreadsheetml/2006/main">
  <c r="G258" i="1" l="1"/>
  <c r="G255" i="1"/>
  <c r="G261" i="1" s="1"/>
  <c r="H255" i="1"/>
  <c r="H258" i="1" s="1"/>
  <c r="H261" i="1" s="1"/>
  <c r="I255" i="1"/>
  <c r="J255" i="1"/>
  <c r="J258" i="1" s="1"/>
  <c r="K255" i="1"/>
  <c r="L255" i="1"/>
  <c r="M255" i="1"/>
  <c r="G256" i="1"/>
  <c r="H256" i="1"/>
  <c r="H259" i="1" s="1"/>
  <c r="H262" i="1" s="1"/>
  <c r="I256" i="1"/>
  <c r="I259" i="1" s="1"/>
  <c r="I262" i="1" s="1"/>
  <c r="J256" i="1"/>
  <c r="K256" i="1"/>
  <c r="L256" i="1"/>
  <c r="M256" i="1"/>
  <c r="M258" i="1"/>
  <c r="M261" i="1" s="1"/>
  <c r="G259" i="1"/>
  <c r="G262" i="1" s="1"/>
  <c r="G253" i="1"/>
  <c r="H253" i="1"/>
  <c r="I253" i="1"/>
  <c r="J253" i="1"/>
  <c r="K253" i="1"/>
  <c r="L253" i="1"/>
  <c r="M253" i="1"/>
  <c r="G234" i="1"/>
  <c r="H234" i="1"/>
  <c r="I234" i="1"/>
  <c r="J234" i="1"/>
  <c r="K234" i="1"/>
  <c r="L234" i="1"/>
  <c r="M234" i="1"/>
  <c r="G213" i="1"/>
  <c r="H213" i="1"/>
  <c r="I213" i="1"/>
  <c r="J213" i="1"/>
  <c r="K213" i="1"/>
  <c r="L213" i="1"/>
  <c r="M213" i="1"/>
  <c r="F213" i="1"/>
  <c r="G176" i="1"/>
  <c r="H176" i="1"/>
  <c r="I176" i="1"/>
  <c r="J176" i="1"/>
  <c r="K176" i="1"/>
  <c r="L176" i="1"/>
  <c r="M176" i="1"/>
  <c r="G163" i="1"/>
  <c r="H163" i="1"/>
  <c r="I163" i="1"/>
  <c r="J163" i="1"/>
  <c r="K163" i="1"/>
  <c r="L163" i="1"/>
  <c r="M163" i="1"/>
  <c r="G90" i="1"/>
  <c r="H90" i="1"/>
  <c r="I90" i="1"/>
  <c r="J90" i="1"/>
  <c r="K90" i="1"/>
  <c r="L90" i="1"/>
  <c r="M90" i="1"/>
  <c r="G81" i="1"/>
  <c r="H81" i="1"/>
  <c r="I81" i="1"/>
  <c r="J81" i="1"/>
  <c r="K81" i="1"/>
  <c r="L81" i="1"/>
  <c r="M81" i="1"/>
  <c r="G42" i="1"/>
  <c r="H42" i="1"/>
  <c r="I42" i="1"/>
  <c r="J42" i="1"/>
  <c r="K42" i="1"/>
  <c r="L42" i="1"/>
  <c r="M42" i="1"/>
  <c r="G34" i="1"/>
  <c r="H34" i="1"/>
  <c r="I34" i="1"/>
  <c r="J34" i="1"/>
  <c r="K34" i="1"/>
  <c r="L34" i="1"/>
  <c r="M34" i="1"/>
  <c r="G32" i="1"/>
  <c r="H32" i="1"/>
  <c r="I32" i="1"/>
  <c r="J32" i="1"/>
  <c r="K32" i="1"/>
  <c r="L32" i="1"/>
  <c r="M32" i="1"/>
  <c r="G11" i="1"/>
  <c r="H11" i="1"/>
  <c r="I11" i="1"/>
  <c r="J11" i="1"/>
  <c r="K11" i="1"/>
  <c r="L11" i="1"/>
  <c r="M11" i="1"/>
  <c r="G3" i="1"/>
  <c r="H3" i="1"/>
  <c r="I3" i="1"/>
  <c r="J3" i="1"/>
  <c r="K3" i="1"/>
  <c r="L3" i="1"/>
  <c r="M3" i="1"/>
  <c r="R15" i="4"/>
  <c r="K15" i="4"/>
  <c r="D15" i="4"/>
  <c r="D22" i="6"/>
  <c r="H38" i="5"/>
  <c r="H25" i="5"/>
  <c r="D38" i="5"/>
  <c r="D25" i="5"/>
  <c r="D12" i="5"/>
  <c r="H12" i="5"/>
  <c r="K37" i="5"/>
  <c r="K36" i="5"/>
  <c r="K35" i="5"/>
  <c r="K31" i="5"/>
  <c r="L37" i="5" s="1"/>
  <c r="L24" i="5"/>
  <c r="K24" i="5"/>
  <c r="K23" i="5"/>
  <c r="K22" i="5"/>
  <c r="K18" i="5"/>
  <c r="J30" i="5"/>
  <c r="J31" i="5"/>
  <c r="J32" i="5"/>
  <c r="J33" i="5"/>
  <c r="J34" i="5"/>
  <c r="J35" i="5"/>
  <c r="J36" i="5"/>
  <c r="J17" i="5"/>
  <c r="J19" i="5"/>
  <c r="J20" i="5"/>
  <c r="L11" i="5"/>
  <c r="I30" i="5"/>
  <c r="I31" i="5"/>
  <c r="I32" i="5"/>
  <c r="I33" i="5"/>
  <c r="I34" i="5"/>
  <c r="I35" i="5"/>
  <c r="I36" i="5"/>
  <c r="E30" i="5"/>
  <c r="E31" i="5"/>
  <c r="E32" i="5"/>
  <c r="E33" i="5"/>
  <c r="E34" i="5"/>
  <c r="E35" i="5"/>
  <c r="E37" i="5" s="1"/>
  <c r="E36" i="5"/>
  <c r="I17" i="5"/>
  <c r="I18" i="5"/>
  <c r="J18" i="5" s="1"/>
  <c r="I19" i="5"/>
  <c r="I20" i="5"/>
  <c r="I21" i="5"/>
  <c r="J21" i="5" s="1"/>
  <c r="I22" i="5"/>
  <c r="J22" i="5" s="1"/>
  <c r="I23" i="5"/>
  <c r="J23" i="5" s="1"/>
  <c r="E17" i="5"/>
  <c r="E18" i="5"/>
  <c r="E19" i="5"/>
  <c r="E20" i="5"/>
  <c r="E21" i="5"/>
  <c r="E22" i="5"/>
  <c r="E23" i="5"/>
  <c r="I5" i="5"/>
  <c r="J5" i="5" s="1"/>
  <c r="I6" i="5"/>
  <c r="I7" i="5"/>
  <c r="I8" i="5"/>
  <c r="I9" i="5"/>
  <c r="I10" i="5"/>
  <c r="E5" i="5"/>
  <c r="K5" i="5"/>
  <c r="K10" i="5"/>
  <c r="K11" i="5"/>
  <c r="K9" i="5"/>
  <c r="H37" i="5"/>
  <c r="G37" i="5"/>
  <c r="F37" i="5"/>
  <c r="D37" i="5"/>
  <c r="C37" i="5"/>
  <c r="B37" i="5"/>
  <c r="H24" i="5"/>
  <c r="G24" i="5"/>
  <c r="F24" i="5"/>
  <c r="E24" i="5"/>
  <c r="D24" i="5"/>
  <c r="C24" i="5"/>
  <c r="B24" i="5"/>
  <c r="C11" i="5"/>
  <c r="D11" i="5"/>
  <c r="F11" i="5"/>
  <c r="G11" i="5"/>
  <c r="H11" i="5"/>
  <c r="B11" i="5"/>
  <c r="C9" i="5"/>
  <c r="E9" i="5"/>
  <c r="H263" i="1" l="1"/>
  <c r="G263" i="1"/>
  <c r="M262" i="1"/>
  <c r="M263" i="1" s="1"/>
  <c r="L262" i="1"/>
  <c r="K261" i="1"/>
  <c r="K262" i="1"/>
  <c r="K263" i="1" s="1"/>
  <c r="M259" i="1"/>
  <c r="K258" i="1"/>
  <c r="K259" i="1"/>
  <c r="J259" i="1"/>
  <c r="J262" i="1" s="1"/>
  <c r="J263" i="1" s="1"/>
  <c r="J261" i="1"/>
  <c r="L258" i="1"/>
  <c r="L261" i="1" s="1"/>
  <c r="L259" i="1"/>
  <c r="I258" i="1"/>
  <c r="I261" i="1" s="1"/>
  <c r="I263" i="1" s="1"/>
  <c r="J9" i="5"/>
  <c r="L263" i="1" l="1"/>
  <c r="K145" i="1" l="1"/>
  <c r="O31" i="1"/>
  <c r="P31" i="1"/>
  <c r="O10" i="1"/>
  <c r="P10" i="1"/>
  <c r="O16" i="1"/>
  <c r="P16" i="1"/>
  <c r="N176" i="1"/>
  <c r="R225" i="1" s="1"/>
  <c r="R226" i="1" s="1"/>
  <c r="O227" i="1"/>
  <c r="P227" i="1"/>
  <c r="D25" i="3"/>
  <c r="H26" i="3" s="1"/>
  <c r="D24" i="3"/>
  <c r="E24" i="3" s="1"/>
  <c r="C14" i="3"/>
  <c r="F15" i="3"/>
  <c r="F6" i="3"/>
  <c r="C15" i="3"/>
  <c r="D5" i="3"/>
  <c r="C5" i="3"/>
  <c r="D15" i="3"/>
  <c r="D12" i="3"/>
  <c r="K18" i="3" l="1"/>
  <c r="I16" i="3"/>
  <c r="J16" i="3" s="1"/>
  <c r="O135" i="1"/>
  <c r="P135" i="1"/>
  <c r="N135" i="1"/>
  <c r="O230" i="1"/>
  <c r="P230" i="1"/>
  <c r="O220" i="1"/>
  <c r="N225" i="1"/>
  <c r="M215" i="1"/>
  <c r="P220" i="1" s="1"/>
  <c r="L215" i="1"/>
  <c r="K215" i="1"/>
  <c r="N220" i="1" l="1"/>
  <c r="O225" i="1" s="1"/>
  <c r="J143" i="1"/>
  <c r="J141" i="1"/>
  <c r="J139" i="1"/>
  <c r="D19" i="3" l="1"/>
  <c r="G19" i="3"/>
  <c r="H19" i="3"/>
  <c r="I17" i="3" l="1"/>
  <c r="J17" i="3" s="1"/>
  <c r="I18" i="3"/>
  <c r="J18" i="3" s="1"/>
  <c r="D26" i="3"/>
  <c r="N175" i="1"/>
  <c r="N227" i="1"/>
  <c r="N230" i="1"/>
  <c r="L65" i="1" l="1"/>
  <c r="O80" i="1" s="1"/>
  <c r="M65" i="1"/>
  <c r="P80" i="1" s="1"/>
  <c r="K65" i="1"/>
  <c r="N13" i="1" l="1"/>
  <c r="N10" i="1"/>
  <c r="K155" i="1"/>
  <c r="N16" i="1"/>
  <c r="L146" i="1"/>
  <c r="M146" i="1"/>
  <c r="K79" i="1"/>
  <c r="K146" i="1" s="1"/>
  <c r="N80" i="1" l="1"/>
  <c r="J145" i="1"/>
  <c r="J147" i="1"/>
  <c r="J155" i="1"/>
  <c r="J153" i="1"/>
  <c r="J142" i="1"/>
  <c r="J140" i="1"/>
  <c r="J136" i="1"/>
  <c r="J135" i="1"/>
  <c r="J134" i="1"/>
  <c r="J133" i="1"/>
  <c r="J131" i="1"/>
  <c r="J129" i="1"/>
  <c r="J128" i="1"/>
  <c r="J127" i="1"/>
  <c r="J126" i="1"/>
  <c r="J125" i="1"/>
  <c r="J122" i="1"/>
  <c r="J119" i="1" s="1"/>
  <c r="J118" i="1"/>
  <c r="J117" i="1"/>
  <c r="J116" i="1"/>
  <c r="J112" i="1"/>
  <c r="J111" i="1"/>
  <c r="J108" i="1"/>
  <c r="J107" i="1"/>
  <c r="J105" i="1"/>
  <c r="J104" i="1"/>
  <c r="J102" i="1"/>
  <c r="J101" i="1" s="1"/>
  <c r="J100" i="1"/>
  <c r="J99" i="1"/>
  <c r="J98" i="1"/>
  <c r="J97" i="1"/>
  <c r="J96" i="1"/>
  <c r="K95" i="1"/>
  <c r="K101" i="1"/>
  <c r="K103" i="1"/>
  <c r="K106" i="1"/>
  <c r="K110" i="1"/>
  <c r="K115" i="1"/>
  <c r="K119" i="1"/>
  <c r="K124" i="1"/>
  <c r="K130" i="1"/>
  <c r="K138" i="1"/>
  <c r="K147" i="1"/>
  <c r="K148" i="1"/>
  <c r="K151" i="1"/>
  <c r="N151" i="1" s="1"/>
  <c r="K156" i="1"/>
  <c r="J247" i="1"/>
  <c r="K247" i="1"/>
  <c r="J248" i="1"/>
  <c r="K248" i="1"/>
  <c r="J251" i="1"/>
  <c r="K251" i="1"/>
  <c r="J85" i="1"/>
  <c r="K85" i="1"/>
  <c r="J88" i="1"/>
  <c r="K88" i="1"/>
  <c r="J103" i="1" l="1"/>
  <c r="J152" i="1"/>
  <c r="N149" i="1"/>
  <c r="N31" i="1"/>
  <c r="J130" i="1"/>
  <c r="J115" i="1"/>
  <c r="J124" i="1"/>
  <c r="J110" i="1"/>
  <c r="J106" i="1"/>
  <c r="J156" i="1"/>
  <c r="J157" i="1" s="1"/>
  <c r="J95" i="1"/>
  <c r="J138" i="1"/>
  <c r="K250" i="1"/>
  <c r="K252" i="1" s="1"/>
  <c r="K152" i="1"/>
  <c r="K157" i="1" s="1"/>
  <c r="J250" i="1"/>
  <c r="J252" i="1" s="1"/>
  <c r="K249" i="1"/>
  <c r="J249" i="1"/>
  <c r="K144" i="1"/>
  <c r="J89" i="1"/>
  <c r="K89" i="1"/>
  <c r="K244" i="1" l="1"/>
  <c r="J144" i="1"/>
  <c r="J158" i="1" s="1"/>
  <c r="J245" i="1" s="1"/>
  <c r="K158" i="1"/>
  <c r="K245" i="1" s="1"/>
  <c r="J244" i="1"/>
  <c r="K246" i="1" l="1"/>
  <c r="N246" i="1" s="1"/>
  <c r="J246" i="1"/>
  <c r="G21" i="3" l="1"/>
  <c r="G22" i="3" l="1"/>
  <c r="K5" i="6"/>
  <c r="K6" i="6"/>
  <c r="K7" i="6"/>
  <c r="K8" i="6"/>
  <c r="K10" i="6"/>
  <c r="K11" i="6"/>
  <c r="K13" i="6"/>
  <c r="K14" i="6"/>
  <c r="J15" i="6"/>
  <c r="I15" i="6"/>
  <c r="H15" i="6"/>
  <c r="K15" i="6" s="1"/>
  <c r="J12" i="6"/>
  <c r="I12" i="6"/>
  <c r="H12" i="6"/>
  <c r="J9" i="6"/>
  <c r="I9" i="6"/>
  <c r="H9" i="6"/>
  <c r="K4" i="6"/>
  <c r="E8" i="6"/>
  <c r="E9" i="6"/>
  <c r="E10" i="6"/>
  <c r="E11" i="6"/>
  <c r="E12" i="6"/>
  <c r="E14" i="6"/>
  <c r="E15" i="6"/>
  <c r="E17" i="6"/>
  <c r="E19" i="6"/>
  <c r="E20" i="6"/>
  <c r="E5" i="6"/>
  <c r="E6" i="6"/>
  <c r="C18" i="6"/>
  <c r="D18" i="6"/>
  <c r="B18" i="6"/>
  <c r="C16" i="6"/>
  <c r="D16" i="6"/>
  <c r="B16" i="6"/>
  <c r="C13" i="6"/>
  <c r="D13" i="6"/>
  <c r="C7" i="6"/>
  <c r="D7" i="6"/>
  <c r="B7" i="6"/>
  <c r="B13" i="6"/>
  <c r="E4" i="6"/>
  <c r="H16" i="6" l="1"/>
  <c r="K12" i="6"/>
  <c r="K9" i="6"/>
  <c r="L16" i="6" s="1"/>
  <c r="J16" i="6"/>
  <c r="J18" i="6" s="1"/>
  <c r="E13" i="6"/>
  <c r="I16" i="6"/>
  <c r="E18" i="6"/>
  <c r="E16" i="6"/>
  <c r="E7" i="6"/>
  <c r="C21" i="6"/>
  <c r="D21" i="6"/>
  <c r="B21" i="6"/>
  <c r="H17" i="6" s="1"/>
  <c r="R13" i="4"/>
  <c r="Q13" i="4"/>
  <c r="P13" i="4"/>
  <c r="S11" i="4"/>
  <c r="S10" i="4"/>
  <c r="R9" i="4"/>
  <c r="Q9" i="4"/>
  <c r="P9" i="4"/>
  <c r="S8" i="4"/>
  <c r="S7" i="4"/>
  <c r="S6" i="4"/>
  <c r="S5" i="4"/>
  <c r="S4" i="4"/>
  <c r="K13" i="4"/>
  <c r="J13" i="4"/>
  <c r="I13" i="4"/>
  <c r="L13" i="4" s="1"/>
  <c r="L11" i="4"/>
  <c r="L10" i="4"/>
  <c r="K9" i="4"/>
  <c r="K14" i="4" s="1"/>
  <c r="J9" i="4"/>
  <c r="J14" i="4" s="1"/>
  <c r="I9" i="4"/>
  <c r="L8" i="4"/>
  <c r="L7" i="4"/>
  <c r="L6" i="4"/>
  <c r="L5" i="4"/>
  <c r="L4" i="4"/>
  <c r="I29" i="5"/>
  <c r="I37" i="5" s="1"/>
  <c r="J37" i="5" s="1"/>
  <c r="E29" i="5"/>
  <c r="I16" i="5"/>
  <c r="I24" i="5" s="1"/>
  <c r="J24" i="5" s="1"/>
  <c r="E16" i="5"/>
  <c r="E10" i="5"/>
  <c r="J10" i="5" s="1"/>
  <c r="E8" i="5"/>
  <c r="J8" i="5" s="1"/>
  <c r="E7" i="5"/>
  <c r="J7" i="5" s="1"/>
  <c r="E6" i="5"/>
  <c r="J6" i="5" s="1"/>
  <c r="I4" i="5"/>
  <c r="E4" i="5"/>
  <c r="J4" i="5" s="1"/>
  <c r="I3" i="5"/>
  <c r="E3" i="5"/>
  <c r="S9" i="4" l="1"/>
  <c r="J29" i="5"/>
  <c r="J16" i="5"/>
  <c r="E11" i="5"/>
  <c r="I11" i="5"/>
  <c r="J11" i="5" s="1"/>
  <c r="J3" i="5"/>
  <c r="S13" i="4"/>
  <c r="Q14" i="4"/>
  <c r="R14" i="4"/>
  <c r="I17" i="6"/>
  <c r="J17" i="6"/>
  <c r="K16" i="6"/>
  <c r="E21" i="6"/>
  <c r="F21" i="6"/>
  <c r="M9" i="4"/>
  <c r="L9" i="4"/>
  <c r="L14" i="4" s="1"/>
  <c r="T9" i="4"/>
  <c r="S12" i="4"/>
  <c r="T13" i="4" s="1"/>
  <c r="L12" i="4"/>
  <c r="M13" i="4" s="1"/>
  <c r="S14" i="4" l="1"/>
  <c r="K17" i="6"/>
  <c r="I226" i="1" l="1"/>
  <c r="I153" i="1" l="1"/>
  <c r="I97" i="1" l="1"/>
  <c r="I125" i="1"/>
  <c r="I135" i="1" l="1"/>
  <c r="D13" i="4" l="1"/>
  <c r="C13" i="4"/>
  <c r="B13" i="4"/>
  <c r="E12" i="4"/>
  <c r="E11" i="4"/>
  <c r="E10" i="4"/>
  <c r="D9" i="4"/>
  <c r="D14" i="4" s="1"/>
  <c r="C9" i="4"/>
  <c r="C14" i="4" s="1"/>
  <c r="B9" i="4"/>
  <c r="E8" i="4"/>
  <c r="E7" i="4"/>
  <c r="E6" i="4"/>
  <c r="E5" i="4"/>
  <c r="E4" i="4"/>
  <c r="E13" i="4" l="1"/>
  <c r="E9" i="4"/>
  <c r="F13" i="4"/>
  <c r="F9" i="4"/>
  <c r="E14" i="4" l="1"/>
  <c r="I227" i="1"/>
  <c r="I65" i="1" l="1"/>
  <c r="E34" i="1" l="1"/>
  <c r="F34" i="1"/>
  <c r="F19" i="3" l="1"/>
  <c r="G183" i="1" l="1"/>
  <c r="G154" i="1"/>
  <c r="G48" i="1"/>
  <c r="G71" i="1"/>
  <c r="G59" i="1"/>
  <c r="H21" i="3" l="1"/>
  <c r="F21" i="3"/>
  <c r="E21" i="3"/>
  <c r="D21" i="3"/>
  <c r="C21" i="3"/>
  <c r="I20" i="3"/>
  <c r="I21" i="3" s="1"/>
  <c r="I15" i="3"/>
  <c r="J15" i="3" s="1"/>
  <c r="M15" i="3"/>
  <c r="E14" i="3"/>
  <c r="E19" i="3" s="1"/>
  <c r="I13" i="3"/>
  <c r="C13" i="3"/>
  <c r="K14" i="3" s="1"/>
  <c r="I12" i="3"/>
  <c r="J12" i="3" s="1"/>
  <c r="I11" i="3"/>
  <c r="J11" i="3" s="1"/>
  <c r="I9" i="3"/>
  <c r="J9" i="3" s="1"/>
  <c r="I8" i="3"/>
  <c r="J8" i="3" s="1"/>
  <c r="I7" i="3"/>
  <c r="J7" i="3" s="1"/>
  <c r="I6" i="3"/>
  <c r="C6" i="3"/>
  <c r="K11" i="3" s="1"/>
  <c r="I5" i="3"/>
  <c r="J5" i="3" s="1"/>
  <c r="I10" i="3"/>
  <c r="J10" i="3" s="1"/>
  <c r="I4" i="3"/>
  <c r="J4" i="3" s="1"/>
  <c r="H22" i="3" l="1"/>
  <c r="J6" i="3"/>
  <c r="E22" i="3"/>
  <c r="D22" i="3"/>
  <c r="F22" i="3"/>
  <c r="C19" i="3"/>
  <c r="C22" i="3" s="1"/>
  <c r="J21" i="3"/>
  <c r="I14" i="3"/>
  <c r="J14" i="3" s="1"/>
  <c r="J20" i="3"/>
  <c r="J13" i="3"/>
  <c r="D27" i="3" l="1"/>
  <c r="I19" i="3"/>
  <c r="I22" i="3" l="1"/>
  <c r="J22" i="3" s="1"/>
  <c r="J19" i="3"/>
  <c r="C261" i="1" l="1"/>
  <c r="E234" i="1"/>
  <c r="F234" i="1"/>
  <c r="H251" i="1"/>
  <c r="E213" i="1"/>
  <c r="H250" i="1"/>
  <c r="H248" i="1"/>
  <c r="H247" i="1"/>
  <c r="H145" i="1"/>
  <c r="H147" i="1"/>
  <c r="H148" i="1"/>
  <c r="H151" i="1"/>
  <c r="H155" i="1"/>
  <c r="I145" i="1"/>
  <c r="L145" i="1"/>
  <c r="M145" i="1"/>
  <c r="H119" i="1"/>
  <c r="H103" i="1"/>
  <c r="H101" i="1"/>
  <c r="H88" i="1"/>
  <c r="I88" i="1"/>
  <c r="L88" i="1"/>
  <c r="M88" i="1"/>
  <c r="H85" i="1"/>
  <c r="I85" i="1"/>
  <c r="L85" i="1"/>
  <c r="M85" i="1"/>
  <c r="M89" i="1" l="1"/>
  <c r="H252" i="1"/>
  <c r="H115" i="1"/>
  <c r="H156" i="1"/>
  <c r="H152" i="1"/>
  <c r="H249" i="1"/>
  <c r="H95" i="1"/>
  <c r="L89" i="1"/>
  <c r="H89" i="1"/>
  <c r="I89" i="1"/>
  <c r="H110" i="1"/>
  <c r="H138" i="1"/>
  <c r="H106" i="1"/>
  <c r="H130" i="1"/>
  <c r="H124" i="1"/>
  <c r="H157" i="1" l="1"/>
  <c r="H144" i="1"/>
  <c r="H158" i="1" l="1"/>
  <c r="H245" i="1" s="1"/>
  <c r="I53" i="1" l="1"/>
  <c r="L248" i="1" l="1"/>
  <c r="L250" i="1"/>
  <c r="L251" i="1"/>
  <c r="I215" i="1"/>
  <c r="L247" i="1"/>
  <c r="M247" i="1"/>
  <c r="M248" i="1"/>
  <c r="L147" i="1"/>
  <c r="M147" i="1"/>
  <c r="L148" i="1"/>
  <c r="M148" i="1"/>
  <c r="L151" i="1"/>
  <c r="M151" i="1"/>
  <c r="L155" i="1"/>
  <c r="L156" i="1" s="1"/>
  <c r="M155" i="1"/>
  <c r="M156" i="1" s="1"/>
  <c r="L138" i="1"/>
  <c r="M138" i="1"/>
  <c r="L130" i="1"/>
  <c r="M130" i="1"/>
  <c r="L124" i="1"/>
  <c r="M124" i="1"/>
  <c r="L119" i="1"/>
  <c r="M119" i="1"/>
  <c r="L115" i="1"/>
  <c r="M115" i="1"/>
  <c r="L110" i="1"/>
  <c r="M110" i="1"/>
  <c r="L106" i="1"/>
  <c r="M106" i="1"/>
  <c r="L103" i="1"/>
  <c r="M103" i="1"/>
  <c r="L101" i="1"/>
  <c r="M101" i="1"/>
  <c r="L95" i="1"/>
  <c r="M95" i="1"/>
  <c r="H244" i="1"/>
  <c r="L244" i="1" l="1"/>
  <c r="H246" i="1"/>
  <c r="L249" i="1"/>
  <c r="M152" i="1"/>
  <c r="M157" i="1" s="1"/>
  <c r="M249" i="1"/>
  <c r="M144" i="1"/>
  <c r="L252" i="1"/>
  <c r="L152" i="1"/>
  <c r="L157" i="1" s="1"/>
  <c r="L144" i="1"/>
  <c r="M158" i="1" l="1"/>
  <c r="M245" i="1" s="1"/>
  <c r="L158" i="1"/>
  <c r="L245" i="1" s="1"/>
  <c r="L246" i="1" l="1"/>
  <c r="O246" i="1" l="1"/>
  <c r="M250" i="1" l="1"/>
  <c r="D213" i="1"/>
  <c r="M251" i="1"/>
  <c r="F176" i="1"/>
  <c r="G119" i="1"/>
  <c r="G106" i="1"/>
  <c r="G103" i="1"/>
  <c r="G101" i="1"/>
  <c r="F42" i="1"/>
  <c r="E42" i="1"/>
  <c r="E88" i="1"/>
  <c r="F88" i="1"/>
  <c r="G88" i="1"/>
  <c r="D88" i="1"/>
  <c r="E130" i="1"/>
  <c r="F130" i="1"/>
  <c r="G130" i="1"/>
  <c r="G95" i="1" l="1"/>
  <c r="G115" i="1"/>
  <c r="M252" i="1"/>
  <c r="G110" i="1"/>
  <c r="F251" i="1"/>
  <c r="F250" i="1"/>
  <c r="F248" i="1"/>
  <c r="F163" i="1"/>
  <c r="F247" i="1" s="1"/>
  <c r="F156" i="1"/>
  <c r="F145" i="1"/>
  <c r="F147" i="1"/>
  <c r="F151" i="1"/>
  <c r="F138" i="1"/>
  <c r="F124" i="1"/>
  <c r="F119" i="1"/>
  <c r="F115" i="1"/>
  <c r="F110" i="1"/>
  <c r="F106" i="1"/>
  <c r="F103" i="1"/>
  <c r="F101" i="1"/>
  <c r="F95" i="1"/>
  <c r="F85" i="1"/>
  <c r="F89" i="1" s="1"/>
  <c r="F32" i="1"/>
  <c r="F11" i="1"/>
  <c r="F3" i="1"/>
  <c r="F249" i="1" l="1"/>
  <c r="F252" i="1"/>
  <c r="F152" i="1"/>
  <c r="F157" i="1" s="1"/>
  <c r="F144" i="1"/>
  <c r="F81" i="1"/>
  <c r="F90" i="1" s="1"/>
  <c r="F244" i="1" s="1"/>
  <c r="F255" i="1" s="1"/>
  <c r="F258" i="1" l="1"/>
  <c r="F261" i="1" s="1"/>
  <c r="F158" i="1"/>
  <c r="F245" i="1" s="1"/>
  <c r="F246" i="1" s="1"/>
  <c r="F253" i="1" s="1"/>
  <c r="F256" i="1" l="1"/>
  <c r="I130" i="1"/>
  <c r="F259" i="1" l="1"/>
  <c r="F262" i="1" s="1"/>
  <c r="F263" i="1" s="1"/>
  <c r="I20" i="1"/>
  <c r="C213" i="1" l="1"/>
  <c r="E176" i="1"/>
  <c r="D163" i="1"/>
  <c r="E163" i="1"/>
  <c r="D42" i="1"/>
  <c r="D11" i="1"/>
  <c r="E11" i="1"/>
  <c r="D3" i="1"/>
  <c r="E3" i="1"/>
  <c r="E145" i="1"/>
  <c r="I250" i="1" l="1"/>
  <c r="I251" i="1"/>
  <c r="I247" i="1"/>
  <c r="I248" i="1"/>
  <c r="I95" i="1"/>
  <c r="I101" i="1"/>
  <c r="I103" i="1"/>
  <c r="I106" i="1"/>
  <c r="I110" i="1"/>
  <c r="I115" i="1"/>
  <c r="I119" i="1"/>
  <c r="I124" i="1"/>
  <c r="I138" i="1"/>
  <c r="I147" i="1"/>
  <c r="I148" i="1"/>
  <c r="I151" i="1"/>
  <c r="I155" i="1"/>
  <c r="I156" i="1" s="1"/>
  <c r="G251" i="1"/>
  <c r="E251" i="1"/>
  <c r="D234" i="1"/>
  <c r="D251" i="1" s="1"/>
  <c r="C234" i="1"/>
  <c r="C251" i="1" s="1"/>
  <c r="G250" i="1"/>
  <c r="E250" i="1"/>
  <c r="C250" i="1"/>
  <c r="E248" i="1"/>
  <c r="G247" i="1"/>
  <c r="E247" i="1"/>
  <c r="D247" i="1"/>
  <c r="C163" i="1"/>
  <c r="C247" i="1" s="1"/>
  <c r="G155" i="1"/>
  <c r="G156" i="1" s="1"/>
  <c r="E155" i="1"/>
  <c r="D155" i="1"/>
  <c r="C155" i="1"/>
  <c r="E153" i="1"/>
  <c r="D153" i="1"/>
  <c r="C153" i="1"/>
  <c r="G151" i="1"/>
  <c r="E151" i="1"/>
  <c r="D151" i="1"/>
  <c r="C151" i="1"/>
  <c r="D150" i="1"/>
  <c r="G147" i="1"/>
  <c r="E147" i="1"/>
  <c r="D147" i="1"/>
  <c r="C147" i="1"/>
  <c r="D145" i="1"/>
  <c r="C145" i="1"/>
  <c r="G138" i="1"/>
  <c r="E138" i="1"/>
  <c r="D138" i="1"/>
  <c r="C138" i="1"/>
  <c r="D130" i="1"/>
  <c r="C130" i="1"/>
  <c r="E124" i="1"/>
  <c r="D124" i="1"/>
  <c r="C124" i="1"/>
  <c r="E119" i="1"/>
  <c r="D119" i="1"/>
  <c r="C119" i="1"/>
  <c r="E115" i="1"/>
  <c r="D115" i="1"/>
  <c r="C115" i="1"/>
  <c r="E110" i="1"/>
  <c r="D110" i="1"/>
  <c r="C110" i="1"/>
  <c r="E106" i="1"/>
  <c r="D106" i="1"/>
  <c r="C106" i="1"/>
  <c r="E103" i="1"/>
  <c r="D103" i="1"/>
  <c r="C103" i="1"/>
  <c r="E101" i="1"/>
  <c r="D101" i="1"/>
  <c r="C101" i="1"/>
  <c r="E95" i="1"/>
  <c r="D95" i="1"/>
  <c r="C95" i="1"/>
  <c r="G85" i="1"/>
  <c r="G89" i="1" s="1"/>
  <c r="E85" i="1"/>
  <c r="E89" i="1" s="1"/>
  <c r="D85" i="1"/>
  <c r="D89" i="1" s="1"/>
  <c r="C85" i="1"/>
  <c r="C89" i="1" s="1"/>
  <c r="G145" i="1"/>
  <c r="C42" i="1"/>
  <c r="D40" i="1"/>
  <c r="D34" i="1" s="1"/>
  <c r="C40" i="1"/>
  <c r="C34" i="1" s="1"/>
  <c r="E32" i="1"/>
  <c r="D32" i="1"/>
  <c r="C32" i="1"/>
  <c r="C26" i="1"/>
  <c r="C11" i="1" s="1"/>
  <c r="C3" i="1"/>
  <c r="D152" i="1" l="1"/>
  <c r="C156" i="1"/>
  <c r="D176" i="1"/>
  <c r="D248" i="1" s="1"/>
  <c r="D249" i="1" s="1"/>
  <c r="C176" i="1"/>
  <c r="C248" i="1" s="1"/>
  <c r="C249" i="1" s="1"/>
  <c r="C152" i="1"/>
  <c r="E152" i="1"/>
  <c r="D144" i="1"/>
  <c r="D156" i="1"/>
  <c r="E252" i="1"/>
  <c r="I249" i="1"/>
  <c r="I144" i="1"/>
  <c r="I252" i="1"/>
  <c r="C81" i="1"/>
  <c r="C90" i="1" s="1"/>
  <c r="C244" i="1" s="1"/>
  <c r="E144" i="1"/>
  <c r="G124" i="1"/>
  <c r="E156" i="1"/>
  <c r="E249" i="1"/>
  <c r="I152" i="1"/>
  <c r="I157" i="1" s="1"/>
  <c r="D81" i="1"/>
  <c r="C144" i="1"/>
  <c r="C252" i="1"/>
  <c r="G252" i="1"/>
  <c r="G152" i="1"/>
  <c r="G157" i="1" s="1"/>
  <c r="E81" i="1"/>
  <c r="I158" i="1" l="1"/>
  <c r="I245" i="1" s="1"/>
  <c r="E157" i="1"/>
  <c r="E158" i="1" s="1"/>
  <c r="E245" i="1" s="1"/>
  <c r="E256" i="1" s="1"/>
  <c r="C157" i="1"/>
  <c r="C158" i="1" s="1"/>
  <c r="C245" i="1" s="1"/>
  <c r="C256" i="1" s="1"/>
  <c r="C259" i="1" s="1"/>
  <c r="D157" i="1"/>
  <c r="D158" i="1" s="1"/>
  <c r="D245" i="1" s="1"/>
  <c r="D256" i="1" s="1"/>
  <c r="G248" i="1"/>
  <c r="G249" i="1" s="1"/>
  <c r="G144" i="1"/>
  <c r="G158" i="1" s="1"/>
  <c r="G245" i="1" s="1"/>
  <c r="G244" i="1"/>
  <c r="I244" i="1"/>
  <c r="E90" i="1"/>
  <c r="E244" i="1" s="1"/>
  <c r="E255" i="1" s="1"/>
  <c r="D90" i="1"/>
  <c r="D244" i="1" s="1"/>
  <c r="M244" i="1"/>
  <c r="C255" i="1"/>
  <c r="D259" i="1" l="1"/>
  <c r="D262" i="1" s="1"/>
  <c r="C258" i="1"/>
  <c r="C262" i="1" s="1"/>
  <c r="C263" i="1" s="1"/>
  <c r="E258" i="1"/>
  <c r="E261" i="1" s="1"/>
  <c r="E259" i="1"/>
  <c r="E262" i="1" s="1"/>
  <c r="M246" i="1"/>
  <c r="C246" i="1"/>
  <c r="C253" i="1" s="1"/>
  <c r="D246" i="1"/>
  <c r="I246" i="1"/>
  <c r="E246" i="1"/>
  <c r="E253" i="1" s="1"/>
  <c r="G246" i="1"/>
  <c r="P246" i="1" l="1"/>
  <c r="E263" i="1"/>
  <c r="D250" i="1"/>
  <c r="D255" i="1" s="1"/>
  <c r="D258" i="1" l="1"/>
  <c r="D261" i="1" s="1"/>
  <c r="D252" i="1"/>
  <c r="D253" i="1" s="1"/>
  <c r="D263" i="1" l="1"/>
</calcChain>
</file>

<file path=xl/sharedStrings.xml><?xml version="1.0" encoding="utf-8"?>
<sst xmlns="http://schemas.openxmlformats.org/spreadsheetml/2006/main" count="595" uniqueCount="415">
  <si>
    <t>Bežný rozpočet - príjmy</t>
  </si>
  <si>
    <t>Názov položky</t>
  </si>
  <si>
    <t>skutočnosť 2017</t>
  </si>
  <si>
    <t>skutočnosť 2018</t>
  </si>
  <si>
    <t>daňové príjmy</t>
  </si>
  <si>
    <t>výnos dane pre územnú samosprávu</t>
  </si>
  <si>
    <t>daň z nehnuteľností - pozemky, stavby, byty</t>
  </si>
  <si>
    <t>daň za psa</t>
  </si>
  <si>
    <t>daň za nevýherné hracie prístroje</t>
  </si>
  <si>
    <t>daň z ubytovania</t>
  </si>
  <si>
    <t>daň za užívanie verejného priestranstva</t>
  </si>
  <si>
    <t>MP za zber a odvoz odpadu</t>
  </si>
  <si>
    <t>nedaňové príjmy</t>
  </si>
  <si>
    <t>prenájom pozemkov</t>
  </si>
  <si>
    <t>prenájom hrobového miesta</t>
  </si>
  <si>
    <t>prenájom bytov</t>
  </si>
  <si>
    <t xml:space="preserve">prenájom budov </t>
  </si>
  <si>
    <t xml:space="preserve">prenájom strojov,prístrojov,zariadení </t>
  </si>
  <si>
    <t xml:space="preserve">správne poplatky </t>
  </si>
  <si>
    <t>pokuty, sankcie</t>
  </si>
  <si>
    <t>ostatné príjmy /relácie,kopírovanie,fax,.../</t>
  </si>
  <si>
    <t>príjem za opatrovateľskú službu</t>
  </si>
  <si>
    <t>príjem za služby denného stacionára</t>
  </si>
  <si>
    <t>príjem za separovaný zber</t>
  </si>
  <si>
    <t>poplatok za služby v Dome smútku</t>
  </si>
  <si>
    <t>poplatok za stočné</t>
  </si>
  <si>
    <t>príjem za réžiu v ŠKJ</t>
  </si>
  <si>
    <t>príjem za asistovanú službu Integrovaného obslužného miesta</t>
  </si>
  <si>
    <t>príspevok rodičov na náklady zariadenia MŠ</t>
  </si>
  <si>
    <t>príjem zo stravného v ŠKJ</t>
  </si>
  <si>
    <t>príjem z predaja prebytočného majetku</t>
  </si>
  <si>
    <t>úroky</t>
  </si>
  <si>
    <t>úroky z bankových účtov</t>
  </si>
  <si>
    <t>ostatné príjmy</t>
  </si>
  <si>
    <t>príjem z náhrad poistného plnenia</t>
  </si>
  <si>
    <t>príjem z výťažkov lotérií a hazardných hier</t>
  </si>
  <si>
    <t xml:space="preserve">príjem z dobropisov </t>
  </si>
  <si>
    <t>príjem z vratiek</t>
  </si>
  <si>
    <t>príjem z refundácie za skladníka CO z MV SR</t>
  </si>
  <si>
    <t>granty, dotácie, transfery</t>
  </si>
  <si>
    <t>Granty na kultúrne podujatia</t>
  </si>
  <si>
    <t>Dotácia UPSVR na aktivačnú činnosť</t>
  </si>
  <si>
    <t xml:space="preserve">Dotácia MŽP - zníženie energetickej náročnosti budovy OÚ </t>
  </si>
  <si>
    <t>Dotácia MVSR na údržbu vojnových hrobov</t>
  </si>
  <si>
    <t>Transfer od obcí na SpU opatr.služby</t>
  </si>
  <si>
    <t>Transfer od ZŠ na SpU školstva</t>
  </si>
  <si>
    <t>Transfer od obcí na SpU stavebný</t>
  </si>
  <si>
    <t>Dotácia DPO SR na Dobr.hasič.zbor obce</t>
  </si>
  <si>
    <t>Dotácia z Fondu na podporu umenia - kultúrne projekty</t>
  </si>
  <si>
    <t>Dotácia MV SR na matričnú čin., register obyv., adries</t>
  </si>
  <si>
    <t>Dotácia MDVRR,MŽP na stavebný úrad</t>
  </si>
  <si>
    <t>Dotácia MPSVR na denný stacionár</t>
  </si>
  <si>
    <t>Transfer OkU pre ZŠ - právny subjekt</t>
  </si>
  <si>
    <t>BEŽNÉ PRÍJMY obce:</t>
  </si>
  <si>
    <t>RO</t>
  </si>
  <si>
    <t>Vlastný príjem ZŠ, preplatky</t>
  </si>
  <si>
    <t>Vlastný príjem ŠKD</t>
  </si>
  <si>
    <t>Projekt MŠVVŠ SR - Zvýšenie kvality vzdelávania na ZŠ</t>
  </si>
  <si>
    <t>Bežný príjem RO - Základnej školy Heľpa spolu:</t>
  </si>
  <si>
    <t>Vlastný príjem ZUŠ Heľpa</t>
  </si>
  <si>
    <t>Bežný príjem rozpočtových organizácií spolu:</t>
  </si>
  <si>
    <t>BEŽNÉ PRÍJMY CELKOM:</t>
  </si>
  <si>
    <t>Bežný rozpočet - výdavky</t>
  </si>
  <si>
    <t>01 Všeobecné verejné služby</t>
  </si>
  <si>
    <t>0111</t>
  </si>
  <si>
    <t>Výkonné a zákonodarné orgány (OÚ, OZ, komisie)</t>
  </si>
  <si>
    <t>0112</t>
  </si>
  <si>
    <t>Fin.a rozpoč.záležitosti (HKON,audit,popl,fin.správa, poistné)</t>
  </si>
  <si>
    <t>0131</t>
  </si>
  <si>
    <t>Propagácia, reklama, inzercia (propagač. Predmety, bankovka)</t>
  </si>
  <si>
    <t>0133</t>
  </si>
  <si>
    <t>Všeobec.služby (Matrika,REGOB,evidencie,služby, správa)</t>
  </si>
  <si>
    <t>0160</t>
  </si>
  <si>
    <t>02 Obrana</t>
  </si>
  <si>
    <t>0220</t>
  </si>
  <si>
    <t>03 Verejný poriadok a bezpečnosť</t>
  </si>
  <si>
    <t>0320</t>
  </si>
  <si>
    <t>Ochrana pred požiarmi (Prevádzka dobr.hasič.zboru)</t>
  </si>
  <si>
    <t>0360</t>
  </si>
  <si>
    <t>Bezpečnosť (Kamer.systém, bezpeč.projekt, GDPR)</t>
  </si>
  <si>
    <t>04 Ekonomická oblasť</t>
  </si>
  <si>
    <t>0412</t>
  </si>
  <si>
    <t>Prac.oblasť (Správa prac.záležitostí, BOZP, spolupr.VS)</t>
  </si>
  <si>
    <t>0443</t>
  </si>
  <si>
    <t>Výstavba (Spoločný stavebný úrad, ver.obstarávanie)</t>
  </si>
  <si>
    <t>0451</t>
  </si>
  <si>
    <t>Cestná doprava (Údržba miest.komunikácií,chodníkov,parkovísk)</t>
  </si>
  <si>
    <t>05 Ochrana životného prostredia</t>
  </si>
  <si>
    <t>0510</t>
  </si>
  <si>
    <t>Naklad.s odpadmi (zber,uloženie KO, prevádzka zber.dvora)</t>
  </si>
  <si>
    <t>0520</t>
  </si>
  <si>
    <t>Naklad.s odp.vodami (Prevádzka kanalizácie a ČOV)</t>
  </si>
  <si>
    <t>0540</t>
  </si>
  <si>
    <t>Ochrana prírody a krajiny a výrub drevín</t>
  </si>
  <si>
    <t>0560</t>
  </si>
  <si>
    <t>Ochrana živ.prostr. (Starostlivosť o ŽP, ver.zeleň, potoky, protipovodň.opatrenia,veterinárne služ.)</t>
  </si>
  <si>
    <t>06 Bývanie a občianska vybavenosť</t>
  </si>
  <si>
    <t>0620</t>
  </si>
  <si>
    <t>Rozvoj obcí (Správa verejnoprospeš.zariadení)</t>
  </si>
  <si>
    <t>0640</t>
  </si>
  <si>
    <t>Verejné osvetlenie</t>
  </si>
  <si>
    <t>0660</t>
  </si>
  <si>
    <t>Bývanie a obč.vybavenosť (Byty, zdr.str,klub,mater.centrum)</t>
  </si>
  <si>
    <t>07 Zdravotníctvo</t>
  </si>
  <si>
    <t>0711</t>
  </si>
  <si>
    <t>Lieky</t>
  </si>
  <si>
    <t>0712</t>
  </si>
  <si>
    <t>Zdravotnícky materiál</t>
  </si>
  <si>
    <t>0721</t>
  </si>
  <si>
    <t>Zdravotná starostlivosť (prevent.prehliadky, lek.posúdenie)</t>
  </si>
  <si>
    <t>0740</t>
  </si>
  <si>
    <t>08 Rekreácia, kultúra a náboženstvo</t>
  </si>
  <si>
    <t>0810</t>
  </si>
  <si>
    <t>Rekreač.,šport.služby (prevádzka šport.areálu, ŠK, NDS projekt)</t>
  </si>
  <si>
    <t>0820</t>
  </si>
  <si>
    <t>Správa kult.služieb a zariad. (KUL,MĽK,AMF,podujatia,projekty FPU, múzeum)</t>
  </si>
  <si>
    <t>0830</t>
  </si>
  <si>
    <t>Vysielacie a vydavateľské služby (Rozhlas,noviny)</t>
  </si>
  <si>
    <t>0840</t>
  </si>
  <si>
    <t>Nábož.a spoločen.služby (Domu smútku,cintorín, obrady)</t>
  </si>
  <si>
    <t>0860</t>
  </si>
  <si>
    <t>Spoločenské, kultúrne, športové aktivity obce, projekty mládeže</t>
  </si>
  <si>
    <t>09 Vzdelávanie</t>
  </si>
  <si>
    <t>09111</t>
  </si>
  <si>
    <t>Predprimárne vzdelávanie (Prevádzka MŠ)</t>
  </si>
  <si>
    <t>09211</t>
  </si>
  <si>
    <t>0950</t>
  </si>
  <si>
    <t>Záujmové vzdelávanie (semináre,kurzy,školenia)</t>
  </si>
  <si>
    <t>09601</t>
  </si>
  <si>
    <t>Vedľ.služby v rámci predprimár. vzdel. (ŠKJ pre MŠ)</t>
  </si>
  <si>
    <t>09602</t>
  </si>
  <si>
    <t>Vedľ.služby v rámci primár. vzdel. (ŠKJ pre 1.st.ZŠ)</t>
  </si>
  <si>
    <t>09603</t>
  </si>
  <si>
    <t>09608</t>
  </si>
  <si>
    <t>0980</t>
  </si>
  <si>
    <t>10 Sociálne zabezpečenie</t>
  </si>
  <si>
    <t>1020</t>
  </si>
  <si>
    <t>1040</t>
  </si>
  <si>
    <t>Rodina a deti (Príspevky na deti v HN, osob.príjemca PND)</t>
  </si>
  <si>
    <t>1050</t>
  </si>
  <si>
    <t>Nezamestnanosť (Aktivačná činnosť a programy pre uchádz.o zamestnanie)</t>
  </si>
  <si>
    <t>1070</t>
  </si>
  <si>
    <t>Sociálna pomoc občanom v soc. a hm. núdzi</t>
  </si>
  <si>
    <t>1090</t>
  </si>
  <si>
    <t>Sociálne zabezpečenie pri živel.pohromách, núdz.situáciách</t>
  </si>
  <si>
    <t>BEŽNÉ VÝDAVKY obce:</t>
  </si>
  <si>
    <t>Transfer z OkU pre Základnú školu</t>
  </si>
  <si>
    <t>Transfer vlastného príjmu Základnej školy</t>
  </si>
  <si>
    <t>Transfer z projektu MŠVVŠ SR</t>
  </si>
  <si>
    <t>Transfer na rozvojový projekt ZŠ  - spolufinancovanie obce</t>
  </si>
  <si>
    <t>Transfer z rozpočtu obce pre Školský klub detí</t>
  </si>
  <si>
    <t>Transfer vlastného príjmu Školského klubu detí</t>
  </si>
  <si>
    <t>Bežné výdavky Základnej školy spolu:</t>
  </si>
  <si>
    <t>Transfer obce pre Základnú umeleckú školu</t>
  </si>
  <si>
    <t>Transfer vlastného príjmu ZUŠ</t>
  </si>
  <si>
    <t>Bežné výdavky Základnej umeleckej školy:</t>
  </si>
  <si>
    <t>Bežné výdavky rozpočtových organizácií spolu:</t>
  </si>
  <si>
    <t>BEŽNÉ VÝDAVKY SPOLU:</t>
  </si>
  <si>
    <t>Kapitálový rozpočet</t>
  </si>
  <si>
    <t>Kapitálové príjmy</t>
  </si>
  <si>
    <t>predaj pozemkov</t>
  </si>
  <si>
    <t>KT MZP Zníž.energ.náročnosti budovy OcÚ</t>
  </si>
  <si>
    <t xml:space="preserve">KT EF Dobudovanie kanalizácie </t>
  </si>
  <si>
    <t>Kapitálové výdavky</t>
  </si>
  <si>
    <t>Zníž.energet.náročnosti OcÚ</t>
  </si>
  <si>
    <t>Zmena územno-plánovacej dokumentácie</t>
  </si>
  <si>
    <t>0610</t>
  </si>
  <si>
    <t>Nákup pozemkov,budov, objektov na ver. účely</t>
  </si>
  <si>
    <t>Náučný chodník chotárom obce</t>
  </si>
  <si>
    <t>Horehronskomuránska cyklotrasa</t>
  </si>
  <si>
    <t>Finančné operácie</t>
  </si>
  <si>
    <t>príjmové</t>
  </si>
  <si>
    <t>návratné zdroje financovania</t>
  </si>
  <si>
    <t>výdavkové</t>
  </si>
  <si>
    <t>odvod správnych poplatkov za IOM</t>
  </si>
  <si>
    <t>splácanie úveru ŠFRB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</si>
  <si>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</si>
  <si>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</si>
  <si>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</si>
  <si>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</si>
  <si>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</si>
  <si>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</si>
  <si>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</si>
  <si>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</si>
  <si>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</si>
  <si>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</si>
  <si>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 STAV  ROZPOČTU:</t>
  </si>
  <si>
    <t>Príjmy celkom:</t>
  </si>
  <si>
    <t>Výdavky celkom:</t>
  </si>
  <si>
    <t>Vypracovala: Mgr. A. Tkáčiková</t>
  </si>
  <si>
    <t>skutočnosť 2019</t>
  </si>
  <si>
    <t>Rekonštrukcia budovy pošty, hasič.zbrojnice/strecha</t>
  </si>
  <si>
    <t>príjmy z refundácií, vyúčtovanie služieb prenajímaných objektov</t>
  </si>
  <si>
    <t>Dotácia ŠÚ SR na sčítanie obyvateľov, domov, bytov</t>
  </si>
  <si>
    <t>Rekonštrukcia strechy OÚ / zachytávače snehu</t>
  </si>
  <si>
    <t>návratná finančná výpomoc MFSR</t>
  </si>
  <si>
    <t>Verejne prístupná elektrická nabíjacia stanica pre elektromobily</t>
  </si>
  <si>
    <t>Dotácia UPSVR na deti v hm.núdzi (strava,šk.potreby)</t>
  </si>
  <si>
    <t>Dotácia UPSVR na osobitného príjemcu a rod.prídavkov</t>
  </si>
  <si>
    <t>Vedľ.služby v rámci niž.sekund. vzdel. (ŠKJ pre 2.st.ZŠ,dospelí)</t>
  </si>
  <si>
    <t>Vedľ.služby nedefinované (SpÚ školstva + Polomka)</t>
  </si>
  <si>
    <t>Všeob.verejné služby (Voľby, sčítanie obyvateľov,domov,bytov)</t>
  </si>
  <si>
    <t>Dotácia BBSK na DFF HDST, Kolovrátok</t>
  </si>
  <si>
    <t>Rekonštrukcia strechy amfiteáter</t>
  </si>
  <si>
    <t>Rekonštrukcia elektroinštalácie obecných objektov</t>
  </si>
  <si>
    <t>Dobudovanie kanalizačnej siete</t>
  </si>
  <si>
    <t>KT MIRRI Rekonštrukcia denného stacionára</t>
  </si>
  <si>
    <t>Dobudovanie chodníka na ul.Hlavná + st.dozor</t>
  </si>
  <si>
    <t>Projektová dokumentácia pripavovaných inv.akcií</t>
  </si>
  <si>
    <t>skutočnosť 2020</t>
  </si>
  <si>
    <t>Dotácia MVSR na opatrenia Covid19</t>
  </si>
  <si>
    <t>Transfer OkU pre ZUŠ - právny subjekt</t>
  </si>
  <si>
    <t>Nákup motorových vozidiel, komunál.techniky, príves.vozík</t>
  </si>
  <si>
    <t>Bleskozvod s uzemnením v telocvični ZŠ</t>
  </si>
  <si>
    <t>Stavebné úpravy telocvične - elektroinštalácia</t>
  </si>
  <si>
    <t>Ochrana, podpora a rozvoj zdravia (prísp. SČK, MOM, celoplošné testovanie)</t>
  </si>
  <si>
    <t>Správa a riadenie vzdelávania, Virtuálna univerzita</t>
  </si>
  <si>
    <t>grant - dobrovoľná zbierka obce na rek.strechy amfiteátra</t>
  </si>
  <si>
    <t>KT MH SR verej.prístup.elektr.nabíjacia stanica pre elektromobily</t>
  </si>
  <si>
    <t>ČOV kompenzátor, čerpadlá, frekvenčný menič</t>
  </si>
  <si>
    <t>Dobud.kanal.I.etapa L09, ČS3 -Prečerpávacia stanica, NN na ul. Furmanská</t>
  </si>
  <si>
    <t>Stav.úpravy prístrešku studničky na ul. Tichá</t>
  </si>
  <si>
    <t>Rozšírenie kapacity MŠ</t>
  </si>
  <si>
    <t>Denný stacionár - rekonštrukcia</t>
  </si>
  <si>
    <t>príjem za školné Virtuálna univerzita tretieho veku</t>
  </si>
  <si>
    <t>Dotácia MVSR na terénneho asistenta Covid</t>
  </si>
  <si>
    <t>Projekt UPSVR podpora zamestnanosti ZUŠ za min.r.</t>
  </si>
  <si>
    <t>Bežný príjem RO - Základnej umeleckej školy Heľpa spolu:</t>
  </si>
  <si>
    <t>Doplnenie napojenia predizolovaného potrubia v kotolni st.škola</t>
  </si>
  <si>
    <t>Civilná ochrana (Skladník CO, evidencie, TAC)</t>
  </si>
  <si>
    <t>Staroba (Opatrovateľská služba, SpÚ OSL, projekt,denný stacionár,DC)</t>
  </si>
  <si>
    <t>FNK</t>
  </si>
  <si>
    <t>Názov investície</t>
  </si>
  <si>
    <t>Suma v rozpočte</t>
  </si>
  <si>
    <t>Peň.fond 46</t>
  </si>
  <si>
    <t>kontrola</t>
  </si>
  <si>
    <t>Rozpis rozpočtovej položky KR 0610 - projektová dokumentácia</t>
  </si>
  <si>
    <t>Názov PD</t>
  </si>
  <si>
    <t>Suma v EUR</t>
  </si>
  <si>
    <t>Poznámka</t>
  </si>
  <si>
    <t>Projektová dokumentácia pre pripravované inv.akcie</t>
  </si>
  <si>
    <t xml:space="preserve">PD Burkovaná, Hlavná </t>
  </si>
  <si>
    <t>PD rekonštrukcia strechy na amfiteátri</t>
  </si>
  <si>
    <t>Rezerva na prípadnú dokumentáciu</t>
  </si>
  <si>
    <t>PPD z peňažného fondu:</t>
  </si>
  <si>
    <t xml:space="preserve">Rekonštrukcia objektu č.589 (spoločenská miestnosť) </t>
  </si>
  <si>
    <t>Spolu kapitálové výdavky:</t>
  </si>
  <si>
    <t>Spolu bežné výdavky:</t>
  </si>
  <si>
    <t>PD rekonštr.el.zariadení pre revízie</t>
  </si>
  <si>
    <t>Vytýčenie stavieb</t>
  </si>
  <si>
    <t>Rezer. fond 46</t>
  </si>
  <si>
    <t xml:space="preserve">Dotácia SFZ projekt MŠ </t>
  </si>
  <si>
    <t>Dotácia OkU na výchovu,vzdelávanie v MŠ, rozvoj.projekt</t>
  </si>
  <si>
    <t>EÚ a ŠR, EF</t>
  </si>
  <si>
    <t>skutočnosť 2021</t>
  </si>
  <si>
    <t>2024 návrh</t>
  </si>
  <si>
    <t>2025 návrh</t>
  </si>
  <si>
    <t>Dotácia MVSR humanit.pomoc Ukrajina</t>
  </si>
  <si>
    <t>predaj kapitálových aktív - sneh.pluh</t>
  </si>
  <si>
    <t>zapojenie zost. Dobrovoľ,zbierky na rekonštrukciu amfiteátra</t>
  </si>
  <si>
    <t>finančné zábezpeky ver.obstarávania, stavby</t>
  </si>
  <si>
    <t>iné príjm.operácie -kurzové rozdiely VU3V</t>
  </si>
  <si>
    <t>iné fin.operácie-kurzové rozdiely VU3V</t>
  </si>
  <si>
    <t>finančné operácie - vrátenie zábezpeky</t>
  </si>
  <si>
    <t>Dotácia UPSVR na Podporu zamestnanosti ( MŠ)</t>
  </si>
  <si>
    <t>Maj. zdroje obce 43/72c</t>
  </si>
  <si>
    <t>PD admin.budova (prípojky)</t>
  </si>
  <si>
    <t>PD chodník cez Krivuľu ul. Hlavná autobus.zastávka</t>
  </si>
  <si>
    <t>PD rozšírenie ČOV - zmena technológie (vpust)/kanalizácia</t>
  </si>
  <si>
    <t>Nákup komunálnej techniky</t>
  </si>
  <si>
    <t>PD réžia na amfiteátri</t>
  </si>
  <si>
    <t>Zvýšenie kapacity MŠ, interiérové vybavenie</t>
  </si>
  <si>
    <t>Dotácia MPSVR na soc.služby mim.odmeny, jednorázové odmeny</t>
  </si>
  <si>
    <t>Dotácia IA MPSVR SR na opatrovateľskú službu I., II.</t>
  </si>
  <si>
    <t>Dotácia MVSR na MOM celoplošné testovanie, testovanie firiem, ŠKJ</t>
  </si>
  <si>
    <t>Transfer na projekt Podpora zamestnanosti ZUŠ, testovanie</t>
  </si>
  <si>
    <t>Celkom:</t>
  </si>
  <si>
    <t>Dotácia MV SR - voľby (Referendum, komunálne, NRSR, prezident,EP)</t>
  </si>
  <si>
    <t>zapojenie zost. fondu prev.údržby,opráv bytov</t>
  </si>
  <si>
    <t>zapojenie nevyčerp.prostr.mr. ŠKJ stravné + dotácia</t>
  </si>
  <si>
    <t>zapojenie nevyčerp.prostr.mr. OSL projekt</t>
  </si>
  <si>
    <t>zapojenie nevyčerp.prostr.mr. MVSR Referendum</t>
  </si>
  <si>
    <t>zapojenie nevyčerp.prostr.mr. FPU projekt</t>
  </si>
  <si>
    <t>fin.operácie - správne poplatky ŠR za IOM</t>
  </si>
  <si>
    <t>príjmy z refundácie - iné náhrady, cent.vyrovnanie</t>
  </si>
  <si>
    <t>Rezačka asfaltu na opravu miestnych komunikácií</t>
  </si>
  <si>
    <t>Hl.kategória</t>
  </si>
  <si>
    <t>obec</t>
  </si>
  <si>
    <t>ZŠ</t>
  </si>
  <si>
    <t>ZUŠ</t>
  </si>
  <si>
    <t>Celkom v Eur</t>
  </si>
  <si>
    <t>Spolu príjmy:</t>
  </si>
  <si>
    <t>Spolu výdavky:</t>
  </si>
  <si>
    <t>ZŠ  - zapojenie zostatkov prostriedkov nezúčt.projektu ZKV</t>
  </si>
  <si>
    <t>zdroje</t>
  </si>
  <si>
    <t>zš</t>
  </si>
  <si>
    <t>zuš</t>
  </si>
  <si>
    <t>spolu</t>
  </si>
  <si>
    <t>rozdiel</t>
  </si>
  <si>
    <t>11UA</t>
  </si>
  <si>
    <t>Príjmy 2024</t>
  </si>
  <si>
    <t>Výdavky 2024</t>
  </si>
  <si>
    <t>Príjmy 2025</t>
  </si>
  <si>
    <t>Výdavky 2025</t>
  </si>
  <si>
    <t>Eko rozpočet za obec rok 2024</t>
  </si>
  <si>
    <t>Eko rozpočet za obec rok 2025</t>
  </si>
  <si>
    <t>Kategória</t>
  </si>
  <si>
    <t>11 - Dane z príjmov</t>
  </si>
  <si>
    <t>12 - Dane z majetku</t>
  </si>
  <si>
    <t>13 - Dane miestne za služby</t>
  </si>
  <si>
    <t>Príjmy</t>
  </si>
  <si>
    <t>21 - Príjmy z vlastníctva majetku</t>
  </si>
  <si>
    <t>22 - Administratívne poplatky</t>
  </si>
  <si>
    <t>Spolu 200</t>
  </si>
  <si>
    <t>Spolu 100</t>
  </si>
  <si>
    <t>31 - Bežné granty a transfery</t>
  </si>
  <si>
    <t>Spolu 300</t>
  </si>
  <si>
    <t>23 - Kapitálové príjmy</t>
  </si>
  <si>
    <t>32 - Kapitálové granty a transfery</t>
  </si>
  <si>
    <t>45 - Ostatné finančné operácie</t>
  </si>
  <si>
    <t>Spolu 400</t>
  </si>
  <si>
    <t>Spolu 500</t>
  </si>
  <si>
    <t>Výdavky</t>
  </si>
  <si>
    <t>61 - mzdy,platy,odmeny</t>
  </si>
  <si>
    <t>62 - poistné do poisťovní</t>
  </si>
  <si>
    <t>63 - Tovary a služby</t>
  </si>
  <si>
    <t>64 - Bežné transfery</t>
  </si>
  <si>
    <t>Spolu 600</t>
  </si>
  <si>
    <t>71 - obstarávanie kapitálových aktív</t>
  </si>
  <si>
    <t>Spolu 700</t>
  </si>
  <si>
    <t>81 - úvery, návratné fin. výpomoci</t>
  </si>
  <si>
    <t>82 - splácanie istín</t>
  </si>
  <si>
    <t>65 - Splácanie úrokov</t>
  </si>
  <si>
    <t>24 - Úroky z vkladov</t>
  </si>
  <si>
    <t>29 - Iné nedaňové príjmy</t>
  </si>
  <si>
    <t>51 - Úvery, návratné fin.výpomoci</t>
  </si>
  <si>
    <t>Spolu 800</t>
  </si>
  <si>
    <t>Plán investícií - zdroje financovania v roku 2024</t>
  </si>
  <si>
    <t>skutočnosť 2022</t>
  </si>
  <si>
    <t>schválený 2023</t>
  </si>
  <si>
    <t>upravený 2023</t>
  </si>
  <si>
    <t>2026 návrh</t>
  </si>
  <si>
    <t>Dotácia MV SR - voľby (VUC, SAM, NRSR, prezident,EP, referendum)</t>
  </si>
  <si>
    <t>Dotácia inflačná pomoc na soc.služby</t>
  </si>
  <si>
    <t>KT Zvýšenie kapacity MŠ</t>
  </si>
  <si>
    <t>zapojenie fondu na rozvoj obce na investičné akcie</t>
  </si>
  <si>
    <t>Príjmy obce Heľpa celkom:</t>
  </si>
  <si>
    <t>Výdavky obce Heľpa celkom:</t>
  </si>
  <si>
    <t>plnenie rozpočtu OU</t>
  </si>
  <si>
    <t>čerpanie rozpočtu OU</t>
  </si>
  <si>
    <t>príjmy RO - školy</t>
  </si>
  <si>
    <t>výdavky RO - školy</t>
  </si>
  <si>
    <t>Dotácia EF SR na environmentálnu politiku</t>
  </si>
  <si>
    <t>Zníženie svetelného znečistenia (výmena svietidiel ver. osvet.)</t>
  </si>
  <si>
    <t>Výmena vykurovacích telies na zdrav.stredisku</t>
  </si>
  <si>
    <t>Zmena palivovej základne zdravotného strediska</t>
  </si>
  <si>
    <t>Obnova šport.infraštruktúry/stavebné úpravy športového areálu</t>
  </si>
  <si>
    <t>Rekonštrukcia pódia na námestí</t>
  </si>
  <si>
    <t>Dotácia MFSR vplyv inflácie na sam.funkcie</t>
  </si>
  <si>
    <t>Dotácia UV SR na miestne občianske preventívne služby</t>
  </si>
  <si>
    <t>Dotácia MHV SR - kompenzácie energie</t>
  </si>
  <si>
    <t>Dotácia MIRRI - riešenie migračných výziev</t>
  </si>
  <si>
    <t>Dotácia UPSVR na Podporu zamestnanosti znevýh.uchádzačov</t>
  </si>
  <si>
    <t>Dotácia UPSVR na Aktivácia znevýh.uchádzačov o zamestnanie</t>
  </si>
  <si>
    <t>BT projekt Podpora pomáhajúcich profesií pre ZŠ - právny subjekt</t>
  </si>
  <si>
    <t>Transfer projekt Podpora pomáhajúcich profesií</t>
  </si>
  <si>
    <t>KT EF Zníženie svetelného znečistenia</t>
  </si>
  <si>
    <t>KT FPŠ - Obnova športovej infraštruktúry</t>
  </si>
  <si>
    <t>splácanie istiny bankového úveru</t>
  </si>
  <si>
    <t>zapojenie nevyčerp.prostr.mr. MPSVR Den.stacionár</t>
  </si>
  <si>
    <t>príjem zo vstupného, kult.činnosti</t>
  </si>
  <si>
    <t>Dobudovanie kanalizácie I.etapa</t>
  </si>
  <si>
    <t>Obnova šport. Infraštruktúry</t>
  </si>
  <si>
    <t>Zníž. Svetel. Znečistenia (výmena svietidiel)</t>
  </si>
  <si>
    <t>zapoj.nevyčerp.FPŠ Obnova šport.infraštr.</t>
  </si>
  <si>
    <t>Obnova budovy ZŠ</t>
  </si>
  <si>
    <t>zapoj.nevyčerp.EF Zníž.svetel.znečistenia</t>
  </si>
  <si>
    <t>KT Rekonštrukcia objektu č. 589</t>
  </si>
  <si>
    <t>Predkladá: Miroslav Lilko - starosta obce</t>
  </si>
  <si>
    <t>Vybudovanie vodovodu Teplica II.</t>
  </si>
  <si>
    <t>Rekonštrukcia telocvične ZŠ</t>
  </si>
  <si>
    <t>upravený 2023-11</t>
  </si>
  <si>
    <t>Návrh viacročného rozpočtu obce Heľpa na roky 2024-2026 bol vyvesený na úradnej tabuli na pripomienkovanie dňa 29.11.2023</t>
  </si>
  <si>
    <t>Pripomienky OZ k návrhu predloženého viacročného rozpočtu na roky 2024 - 2026 boli zapracované dňa 29.11.2023 a 7.12.2023</t>
  </si>
  <si>
    <t>Pripomienky finančnej komisie k návrhu predloženého viacročného rozpočtu na roky 2024-2026 boli zapracované dňa 29.11.2023.</t>
  </si>
  <si>
    <t>Rozpočet obce Heľpa na rok 2024 bol schválený OZ uz.č. 264/2023 dňa 15.12.2023</t>
  </si>
  <si>
    <t>Viacročný rozpočet obce Heľpa na roky 2024 - 2026 bol vyvesený na úradnej tabuli obce dňa 29.12.2023</t>
  </si>
  <si>
    <t>Obnova budovy ZŠ autor. Dozor</t>
  </si>
  <si>
    <t>Obnova budovy ZUŠ autor. Dozor</t>
  </si>
  <si>
    <t>zapoj.nevyčerp.MIRRI Zvýš.kapac.MŠ</t>
  </si>
  <si>
    <t>zapojenie nevyčerp.prostr.mr. ZŠ normatív, energie, UA</t>
  </si>
  <si>
    <t>zapojenie rezervného fondu na prevádzku</t>
  </si>
  <si>
    <t>Účel.rezerva 46</t>
  </si>
  <si>
    <t>RP 322</t>
  </si>
  <si>
    <t>RP 453</t>
  </si>
  <si>
    <t>Heľpa 15.12.2023</t>
  </si>
  <si>
    <t>Rozpočet obce Heľpa na roky 2025-2026 vzalo na vedomie OZ uz.č. 264/2023  dňa 15.12.2023</t>
  </si>
  <si>
    <t>KT EF Vybudovanie vodovodu Teplica II.</t>
  </si>
  <si>
    <t>0630</t>
  </si>
  <si>
    <t>Rekonštrukcia objektu-spoločenská miestnosť č.589</t>
  </si>
  <si>
    <t xml:space="preserve"> Obnova budovy ZUŠ</t>
  </si>
  <si>
    <t>zapojenie účel.rezervy na obnovu kanalizácie</t>
  </si>
  <si>
    <t>1BB1</t>
  </si>
  <si>
    <t>1BB2</t>
  </si>
  <si>
    <t>Príjmy 2026</t>
  </si>
  <si>
    <t>72g</t>
  </si>
  <si>
    <t>72j</t>
  </si>
  <si>
    <t>131N</t>
  </si>
  <si>
    <t>spolu:</t>
  </si>
  <si>
    <t>Výdavky 2026</t>
  </si>
  <si>
    <t xml:space="preserve"> vl.príjem škôl</t>
  </si>
  <si>
    <t>Rozpočet za obec podľa kategórií rok 2024</t>
  </si>
  <si>
    <t>Heľpa, dňa 29.12.2023</t>
  </si>
  <si>
    <t>P-V=školy</t>
  </si>
  <si>
    <t>Eko rozpočet za obec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</si>
</sst>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E_U_R_-;\-* #,##0.00\ _E_U_R_-;_-* &quot;-&quot;??\ _E_U_R_-;_-@_-"/>
    <numFmt numFmtId="165" formatCode="_-* #,##0\ _E_U_R_-;\-* #,##0\ _E_U_R_-;_-* &quot;-&quot;??\ _E_U_R_-;_-@_-"/>
  </numFmts>
  <fonts count="49" x14ac:knownFonts="1"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1"/>
      <name val="Calibri"/>
      <family val="2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14"/>
      <name val="Bookman Old Style"/>
      <family val="1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0" tint="-0.499984740745262"/>
      <name val="Arial"/>
      <family val="2"/>
      <charset val="238"/>
    </font>
    <font>
      <i/>
      <sz val="11"/>
      <color theme="3" tint="0.59999389629810485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8" tint="0.7999816888943144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5" fillId="0" borderId="0"/>
  </cellStyleXfs>
  <cellXfs count="674">
    <xf numFmtId="0" fontId="0" fillId="0" borderId="0" xfId="0"/>
    <xf numFmtId="0" fontId="2" fillId="0" borderId="0" xfId="0" applyFont="1"/>
    <xf numFmtId="3" fontId="3" fillId="2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3" fontId="5" fillId="0" borderId="12" xfId="0" applyNumberFormat="1" applyFont="1" applyFill="1" applyBorder="1"/>
    <xf numFmtId="3" fontId="6" fillId="0" borderId="13" xfId="0" applyNumberFormat="1" applyFont="1" applyFill="1" applyBorder="1"/>
    <xf numFmtId="3" fontId="4" fillId="0" borderId="13" xfId="0" applyNumberFormat="1" applyFont="1" applyFill="1" applyBorder="1"/>
    <xf numFmtId="0" fontId="2" fillId="0" borderId="14" xfId="0" applyFont="1" applyFill="1" applyBorder="1"/>
    <xf numFmtId="0" fontId="2" fillId="0" borderId="15" xfId="0" applyFont="1" applyBorder="1"/>
    <xf numFmtId="3" fontId="5" fillId="0" borderId="16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0" fontId="2" fillId="0" borderId="17" xfId="0" applyFont="1" applyFill="1" applyBorder="1"/>
    <xf numFmtId="0" fontId="2" fillId="0" borderId="18" xfId="0" applyFont="1" applyBorder="1"/>
    <xf numFmtId="3" fontId="5" fillId="0" borderId="19" xfId="0" applyNumberFormat="1" applyFont="1" applyBorder="1"/>
    <xf numFmtId="3" fontId="2" fillId="0" borderId="20" xfId="0" applyNumberFormat="1" applyFont="1" applyBorder="1"/>
    <xf numFmtId="3" fontId="2" fillId="0" borderId="20" xfId="0" applyNumberFormat="1" applyFont="1" applyFill="1" applyBorder="1"/>
    <xf numFmtId="0" fontId="2" fillId="0" borderId="21" xfId="0" applyFont="1" applyFill="1" applyBorder="1"/>
    <xf numFmtId="0" fontId="2" fillId="0" borderId="22" xfId="0" applyFont="1" applyBorder="1"/>
    <xf numFmtId="3" fontId="5" fillId="0" borderId="23" xfId="0" applyNumberFormat="1" applyFont="1" applyBorder="1"/>
    <xf numFmtId="3" fontId="2" fillId="0" borderId="24" xfId="0" applyNumberFormat="1" applyFont="1" applyBorder="1"/>
    <xf numFmtId="3" fontId="2" fillId="0" borderId="24" xfId="0" applyNumberFormat="1" applyFont="1" applyFill="1" applyBorder="1"/>
    <xf numFmtId="0" fontId="2" fillId="0" borderId="25" xfId="0" applyFont="1" applyFill="1" applyBorder="1"/>
    <xf numFmtId="0" fontId="2" fillId="0" borderId="26" xfId="0" applyFont="1" applyBorder="1"/>
    <xf numFmtId="3" fontId="5" fillId="0" borderId="27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Fill="1" applyBorder="1"/>
    <xf numFmtId="3" fontId="2" fillId="0" borderId="0" xfId="0" applyNumberFormat="1" applyFont="1"/>
    <xf numFmtId="0" fontId="2" fillId="0" borderId="28" xfId="0" applyFont="1" applyFill="1" applyBorder="1"/>
    <xf numFmtId="0" fontId="2" fillId="0" borderId="29" xfId="0" applyFont="1" applyBorder="1"/>
    <xf numFmtId="3" fontId="5" fillId="0" borderId="3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7" fillId="0" borderId="24" xfId="0" applyNumberFormat="1" applyFont="1" applyFill="1" applyBorder="1"/>
    <xf numFmtId="3" fontId="5" fillId="0" borderId="23" xfId="0" applyNumberFormat="1" applyFont="1" applyFill="1" applyBorder="1"/>
    <xf numFmtId="0" fontId="2" fillId="0" borderId="10" xfId="0" applyFont="1" applyFill="1" applyBorder="1"/>
    <xf numFmtId="0" fontId="2" fillId="0" borderId="11" xfId="0" applyFont="1" applyBorder="1"/>
    <xf numFmtId="3" fontId="5" fillId="0" borderId="12" xfId="0" applyNumberFormat="1" applyFont="1" applyBorder="1"/>
    <xf numFmtId="3" fontId="2" fillId="0" borderId="13" xfId="0" applyNumberFormat="1" applyFont="1" applyBorder="1"/>
    <xf numFmtId="3" fontId="2" fillId="0" borderId="13" xfId="0" applyNumberFormat="1" applyFont="1" applyFill="1" applyBorder="1"/>
    <xf numFmtId="3" fontId="6" fillId="0" borderId="9" xfId="0" applyNumberFormat="1" applyFont="1" applyBorder="1"/>
    <xf numFmtId="3" fontId="6" fillId="0" borderId="9" xfId="0" applyNumberFormat="1" applyFont="1" applyFill="1" applyBorder="1"/>
    <xf numFmtId="3" fontId="2" fillId="0" borderId="31" xfId="0" applyNumberFormat="1" applyFont="1" applyBorder="1"/>
    <xf numFmtId="0" fontId="2" fillId="0" borderId="32" xfId="0" applyFont="1" applyFill="1" applyBorder="1"/>
    <xf numFmtId="0" fontId="2" fillId="0" borderId="33" xfId="0" applyFont="1" applyBorder="1"/>
    <xf numFmtId="3" fontId="2" fillId="0" borderId="23" xfId="0" applyNumberFormat="1" applyFont="1" applyBorder="1"/>
    <xf numFmtId="3" fontId="2" fillId="0" borderId="31" xfId="0" applyNumberFormat="1" applyFont="1" applyFill="1" applyBorder="1"/>
    <xf numFmtId="0" fontId="2" fillId="0" borderId="34" xfId="0" applyFont="1" applyBorder="1"/>
    <xf numFmtId="3" fontId="2" fillId="0" borderId="6" xfId="0" applyNumberFormat="1" applyFont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10" xfId="0" applyFont="1" applyBorder="1"/>
    <xf numFmtId="0" fontId="4" fillId="0" borderId="35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5" fillId="0" borderId="19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3" fontId="6" fillId="0" borderId="20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7" fillId="0" borderId="24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4" fillId="2" borderId="15" xfId="0" applyFont="1" applyFill="1" applyBorder="1"/>
    <xf numFmtId="0" fontId="8" fillId="0" borderId="21" xfId="0" applyFont="1" applyFill="1" applyBorder="1"/>
    <xf numFmtId="3" fontId="8" fillId="0" borderId="24" xfId="0" applyNumberFormat="1" applyFont="1" applyFill="1" applyBorder="1"/>
    <xf numFmtId="0" fontId="8" fillId="0" borderId="17" xfId="0" applyFont="1" applyFill="1" applyBorder="1"/>
    <xf numFmtId="3" fontId="8" fillId="0" borderId="20" xfId="0" applyNumberFormat="1" applyFont="1" applyFill="1" applyBorder="1"/>
    <xf numFmtId="0" fontId="4" fillId="0" borderId="17" xfId="0" applyFont="1" applyFill="1" applyBorder="1"/>
    <xf numFmtId="0" fontId="4" fillId="0" borderId="22" xfId="0" applyFont="1" applyBorder="1"/>
    <xf numFmtId="3" fontId="5" fillId="0" borderId="20" xfId="0" applyNumberFormat="1" applyFont="1" applyFill="1" applyBorder="1"/>
    <xf numFmtId="0" fontId="8" fillId="0" borderId="25" xfId="0" applyFont="1" applyFill="1" applyBorder="1"/>
    <xf numFmtId="3" fontId="8" fillId="0" borderId="6" xfId="0" applyNumberFormat="1" applyFont="1" applyFill="1" applyBorder="1"/>
    <xf numFmtId="0" fontId="4" fillId="0" borderId="18" xfId="0" applyFont="1" applyBorder="1"/>
    <xf numFmtId="0" fontId="4" fillId="0" borderId="25" xfId="0" applyFont="1" applyFill="1" applyBorder="1"/>
    <xf numFmtId="0" fontId="4" fillId="0" borderId="26" xfId="0" applyFont="1" applyBorder="1"/>
    <xf numFmtId="3" fontId="2" fillId="0" borderId="6" xfId="0" applyNumberFormat="1" applyFont="1" applyFill="1" applyBorder="1"/>
    <xf numFmtId="3" fontId="2" fillId="0" borderId="42" xfId="0" applyNumberFormat="1" applyFont="1" applyFill="1" applyBorder="1"/>
    <xf numFmtId="0" fontId="8" fillId="0" borderId="39" xfId="0" applyFont="1" applyFill="1" applyBorder="1"/>
    <xf numFmtId="3" fontId="7" fillId="0" borderId="20" xfId="0" applyNumberFormat="1" applyFont="1" applyFill="1" applyBorder="1"/>
    <xf numFmtId="0" fontId="4" fillId="0" borderId="21" xfId="0" applyFont="1" applyFill="1" applyBorder="1"/>
    <xf numFmtId="0" fontId="4" fillId="0" borderId="38" xfId="0" applyFont="1" applyBorder="1"/>
    <xf numFmtId="0" fontId="9" fillId="2" borderId="14" xfId="0" applyFont="1" applyFill="1" applyBorder="1"/>
    <xf numFmtId="3" fontId="9" fillId="2" borderId="9" xfId="0" applyNumberFormat="1" applyFont="1" applyFill="1" applyBorder="1" applyAlignment="1">
      <alignment horizontal="right"/>
    </xf>
    <xf numFmtId="0" fontId="6" fillId="4" borderId="17" xfId="0" applyFont="1" applyFill="1" applyBorder="1"/>
    <xf numFmtId="0" fontId="6" fillId="4" borderId="18" xfId="0" applyFont="1" applyFill="1" applyBorder="1"/>
    <xf numFmtId="3" fontId="6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3" fontId="6" fillId="4" borderId="24" xfId="0" applyNumberFormat="1" applyFont="1" applyFill="1" applyBorder="1" applyAlignment="1">
      <alignment horizontal="right"/>
    </xf>
    <xf numFmtId="0" fontId="6" fillId="4" borderId="32" xfId="0" applyFont="1" applyFill="1" applyBorder="1"/>
    <xf numFmtId="0" fontId="6" fillId="4" borderId="33" xfId="0" applyFont="1" applyFill="1" applyBorder="1"/>
    <xf numFmtId="3" fontId="6" fillId="4" borderId="31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6" fillId="4" borderId="40" xfId="0" applyFont="1" applyFill="1" applyBorder="1"/>
    <xf numFmtId="0" fontId="6" fillId="4" borderId="44" xfId="0" applyFont="1" applyFill="1" applyBorder="1"/>
    <xf numFmtId="3" fontId="6" fillId="4" borderId="42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Border="1"/>
    <xf numFmtId="0" fontId="4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3" fillId="5" borderId="14" xfId="0" applyFont="1" applyFill="1" applyBorder="1"/>
    <xf numFmtId="0" fontId="3" fillId="5" borderId="47" xfId="0" applyFont="1" applyFill="1" applyBorder="1"/>
    <xf numFmtId="3" fontId="3" fillId="5" borderId="16" xfId="0" applyNumberFormat="1" applyFont="1" applyFill="1" applyBorder="1" applyAlignment="1">
      <alignment horizontal="right"/>
    </xf>
    <xf numFmtId="3" fontId="3" fillId="5" borderId="8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6" fillId="0" borderId="48" xfId="0" applyNumberFormat="1" applyFont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49" fontId="2" fillId="0" borderId="21" xfId="0" applyNumberFormat="1" applyFont="1" applyBorder="1" applyAlignment="1">
      <alignment horizontal="right"/>
    </xf>
    <xf numFmtId="0" fontId="4" fillId="0" borderId="37" xfId="0" applyFont="1" applyBorder="1"/>
    <xf numFmtId="3" fontId="6" fillId="0" borderId="49" xfId="0" applyNumberFormat="1" applyFont="1" applyBorder="1" applyAlignment="1">
      <alignment horizontal="right"/>
    </xf>
    <xf numFmtId="3" fontId="6" fillId="0" borderId="23" xfId="0" applyNumberFormat="1" applyFont="1" applyFill="1" applyBorder="1" applyAlignment="1">
      <alignment horizontal="right"/>
    </xf>
    <xf numFmtId="49" fontId="2" fillId="0" borderId="21" xfId="0" applyNumberFormat="1" applyFont="1" applyFill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4" fillId="0" borderId="34" xfId="0" applyFont="1" applyFill="1" applyBorder="1"/>
    <xf numFmtId="3" fontId="5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49" fontId="2" fillId="0" borderId="40" xfId="0" applyNumberFormat="1" applyFont="1" applyFill="1" applyBorder="1" applyAlignment="1">
      <alignment horizontal="right"/>
    </xf>
    <xf numFmtId="3" fontId="6" fillId="0" borderId="50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49" fontId="4" fillId="0" borderId="28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left"/>
    </xf>
    <xf numFmtId="3" fontId="4" fillId="0" borderId="30" xfId="0" applyNumberFormat="1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49" fontId="4" fillId="0" borderId="4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2" fillId="5" borderId="47" xfId="0" applyFont="1" applyFill="1" applyBorder="1"/>
    <xf numFmtId="49" fontId="4" fillId="0" borderId="17" xfId="0" applyNumberFormat="1" applyFon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3" fontId="4" fillId="0" borderId="4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4" fillId="0" borderId="49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49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49" fontId="2" fillId="0" borderId="28" xfId="0" applyNumberFormat="1" applyFont="1" applyFill="1" applyBorder="1" applyAlignment="1">
      <alignment horizontal="right"/>
    </xf>
    <xf numFmtId="0" fontId="4" fillId="0" borderId="52" xfId="0" applyFont="1" applyBorder="1"/>
    <xf numFmtId="3" fontId="11" fillId="0" borderId="30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4" fillId="0" borderId="41" xfId="0" applyFont="1" applyBorder="1"/>
    <xf numFmtId="3" fontId="11" fillId="0" borderId="5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53" xfId="0" applyNumberFormat="1" applyFont="1" applyBorder="1" applyAlignment="1">
      <alignment horizontal="right"/>
    </xf>
    <xf numFmtId="3" fontId="4" fillId="0" borderId="53" xfId="0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right"/>
    </xf>
    <xf numFmtId="0" fontId="4" fillId="0" borderId="39" xfId="0" applyFont="1" applyBorder="1"/>
    <xf numFmtId="3" fontId="11" fillId="0" borderId="27" xfId="0" applyNumberFormat="1" applyFont="1" applyBorder="1" applyAlignment="1">
      <alignment horizontal="right"/>
    </xf>
    <xf numFmtId="3" fontId="4" fillId="0" borderId="46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49" fontId="4" fillId="0" borderId="21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>
      <alignment horizontal="right"/>
    </xf>
    <xf numFmtId="3" fontId="4" fillId="0" borderId="46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0" fontId="3" fillId="5" borderId="54" xfId="0" applyFont="1" applyFill="1" applyBorder="1"/>
    <xf numFmtId="0" fontId="2" fillId="5" borderId="55" xfId="0" applyFont="1" applyFill="1" applyBorder="1"/>
    <xf numFmtId="3" fontId="3" fillId="5" borderId="50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5" fillId="0" borderId="30" xfId="0" applyNumberFormat="1" applyFont="1" applyBorder="1" applyAlignment="1">
      <alignment horizontal="right"/>
    </xf>
    <xf numFmtId="0" fontId="4" fillId="0" borderId="45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49" xfId="0" applyFont="1" applyBorder="1"/>
    <xf numFmtId="3" fontId="6" fillId="0" borderId="23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right"/>
    </xf>
    <xf numFmtId="0" fontId="4" fillId="0" borderId="34" xfId="0" applyFont="1" applyBorder="1"/>
    <xf numFmtId="0" fontId="4" fillId="0" borderId="12" xfId="0" applyFont="1" applyBorder="1"/>
    <xf numFmtId="0" fontId="4" fillId="0" borderId="2" xfId="0" applyFont="1" applyBorder="1"/>
    <xf numFmtId="3" fontId="4" fillId="0" borderId="13" xfId="0" applyNumberFormat="1" applyFont="1" applyBorder="1" applyAlignment="1">
      <alignment horizontal="right"/>
    </xf>
    <xf numFmtId="49" fontId="3" fillId="5" borderId="10" xfId="0" applyNumberFormat="1" applyFont="1" applyFill="1" applyBorder="1" applyAlignment="1">
      <alignment horizontal="left"/>
    </xf>
    <xf numFmtId="0" fontId="3" fillId="5" borderId="34" xfId="0" applyFont="1" applyFill="1" applyBorder="1"/>
    <xf numFmtId="3" fontId="3" fillId="5" borderId="1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right"/>
    </xf>
    <xf numFmtId="0" fontId="4" fillId="0" borderId="38" xfId="0" applyFont="1" applyFill="1" applyBorder="1"/>
    <xf numFmtId="3" fontId="6" fillId="0" borderId="48" xfId="0" applyNumberFormat="1" applyFont="1" applyFill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49" fontId="4" fillId="0" borderId="56" xfId="0" applyNumberFormat="1" applyFont="1" applyFill="1" applyBorder="1" applyAlignment="1">
      <alignment horizontal="right"/>
    </xf>
    <xf numFmtId="0" fontId="4" fillId="0" borderId="52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49" fontId="4" fillId="0" borderId="36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left"/>
    </xf>
    <xf numFmtId="49" fontId="4" fillId="0" borderId="57" xfId="0" applyNumberFormat="1" applyFont="1" applyFill="1" applyBorder="1" applyAlignment="1">
      <alignment horizontal="right"/>
    </xf>
    <xf numFmtId="3" fontId="5" fillId="0" borderId="58" xfId="0" applyNumberFormat="1" applyFont="1" applyFill="1" applyBorder="1" applyAlignment="1">
      <alignment horizontal="right"/>
    </xf>
    <xf numFmtId="3" fontId="4" fillId="0" borderId="59" xfId="0" applyNumberFormat="1" applyFont="1" applyFill="1" applyBorder="1" applyAlignment="1">
      <alignment horizontal="right"/>
    </xf>
    <xf numFmtId="3" fontId="4" fillId="0" borderId="58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0" fontId="9" fillId="5" borderId="54" xfId="0" applyFont="1" applyFill="1" applyBorder="1"/>
    <xf numFmtId="3" fontId="9" fillId="5" borderId="50" xfId="0" applyNumberFormat="1" applyFont="1" applyFill="1" applyBorder="1" applyAlignment="1">
      <alignment horizontal="right"/>
    </xf>
    <xf numFmtId="3" fontId="9" fillId="5" borderId="4" xfId="0" applyNumberFormat="1" applyFont="1" applyFill="1" applyBorder="1" applyAlignment="1">
      <alignment horizontal="right"/>
    </xf>
    <xf numFmtId="3" fontId="9" fillId="5" borderId="51" xfId="0" applyNumberFormat="1" applyFont="1" applyFill="1" applyBorder="1" applyAlignment="1">
      <alignment horizontal="right"/>
    </xf>
    <xf numFmtId="0" fontId="6" fillId="6" borderId="52" xfId="0" applyFont="1" applyFill="1" applyBorder="1"/>
    <xf numFmtId="3" fontId="6" fillId="6" borderId="30" xfId="0" applyNumberFormat="1" applyFont="1" applyFill="1" applyBorder="1" applyAlignment="1">
      <alignment horizontal="right"/>
    </xf>
    <xf numFmtId="3" fontId="6" fillId="6" borderId="45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49" fontId="6" fillId="6" borderId="36" xfId="0" applyNumberFormat="1" applyFont="1" applyFill="1" applyBorder="1" applyAlignment="1">
      <alignment horizontal="right"/>
    </xf>
    <xf numFmtId="0" fontId="6" fillId="6" borderId="37" xfId="0" applyFont="1" applyFill="1" applyBorder="1"/>
    <xf numFmtId="3" fontId="6" fillId="6" borderId="23" xfId="0" applyNumberFormat="1" applyFont="1" applyFill="1" applyBorder="1" applyAlignment="1">
      <alignment horizontal="right"/>
    </xf>
    <xf numFmtId="3" fontId="6" fillId="6" borderId="49" xfId="0" applyNumberFormat="1" applyFont="1" applyFill="1" applyBorder="1" applyAlignment="1">
      <alignment horizontal="right"/>
    </xf>
    <xf numFmtId="3" fontId="6" fillId="6" borderId="24" xfId="0" applyNumberFormat="1" applyFont="1" applyFill="1" applyBorder="1" applyAlignment="1">
      <alignment horizontal="right"/>
    </xf>
    <xf numFmtId="0" fontId="6" fillId="6" borderId="39" xfId="0" applyFont="1" applyFill="1" applyBorder="1"/>
    <xf numFmtId="3" fontId="6" fillId="6" borderId="27" xfId="0" applyNumberFormat="1" applyFont="1" applyFill="1" applyBorder="1" applyAlignment="1">
      <alignment horizontal="right"/>
    </xf>
    <xf numFmtId="3" fontId="6" fillId="6" borderId="46" xfId="0" applyNumberFormat="1" applyFont="1" applyFill="1" applyBorder="1" applyAlignment="1">
      <alignment horizontal="right"/>
    </xf>
    <xf numFmtId="3" fontId="6" fillId="6" borderId="6" xfId="0" applyNumberFormat="1" applyFont="1" applyFill="1" applyBorder="1" applyAlignment="1">
      <alignment horizontal="right"/>
    </xf>
    <xf numFmtId="49" fontId="6" fillId="6" borderId="35" xfId="0" applyNumberFormat="1" applyFont="1" applyFill="1" applyBorder="1" applyAlignment="1">
      <alignment horizontal="right"/>
    </xf>
    <xf numFmtId="0" fontId="6" fillId="6" borderId="38" xfId="0" applyFont="1" applyFill="1" applyBorder="1"/>
    <xf numFmtId="3" fontId="6" fillId="6" borderId="19" xfId="0" applyNumberFormat="1" applyFont="1" applyFill="1" applyBorder="1" applyAlignment="1">
      <alignment horizontal="right"/>
    </xf>
    <xf numFmtId="3" fontId="6" fillId="6" borderId="48" xfId="0" applyNumberFormat="1" applyFont="1" applyFill="1" applyBorder="1" applyAlignment="1">
      <alignment horizontal="right"/>
    </xf>
    <xf numFmtId="3" fontId="6" fillId="6" borderId="20" xfId="0" applyNumberFormat="1" applyFont="1" applyFill="1" applyBorder="1" applyAlignment="1">
      <alignment horizontal="right"/>
    </xf>
    <xf numFmtId="3" fontId="3" fillId="7" borderId="16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 horizontal="right"/>
    </xf>
    <xf numFmtId="49" fontId="4" fillId="4" borderId="56" xfId="0" applyNumberFormat="1" applyFont="1" applyFill="1" applyBorder="1" applyAlignment="1">
      <alignment horizontal="right"/>
    </xf>
    <xf numFmtId="0" fontId="6" fillId="4" borderId="52" xfId="0" applyFont="1" applyFill="1" applyBorder="1"/>
    <xf numFmtId="3" fontId="6" fillId="4" borderId="30" xfId="0" applyNumberFormat="1" applyFont="1" applyFill="1" applyBorder="1" applyAlignment="1">
      <alignment horizontal="right"/>
    </xf>
    <xf numFmtId="3" fontId="6" fillId="4" borderId="45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49" fontId="4" fillId="4" borderId="35" xfId="0" applyNumberFormat="1" applyFont="1" applyFill="1" applyBorder="1" applyAlignment="1">
      <alignment horizontal="right"/>
    </xf>
    <xf numFmtId="0" fontId="6" fillId="4" borderId="38" xfId="0" applyFont="1" applyFill="1" applyBorder="1"/>
    <xf numFmtId="3" fontId="6" fillId="4" borderId="19" xfId="0" applyNumberFormat="1" applyFont="1" applyFill="1" applyBorder="1" applyAlignment="1">
      <alignment horizontal="right"/>
    </xf>
    <xf numFmtId="3" fontId="6" fillId="4" borderId="48" xfId="0" applyNumberFormat="1" applyFont="1" applyFill="1" applyBorder="1" applyAlignment="1">
      <alignment horizontal="right"/>
    </xf>
    <xf numFmtId="3" fontId="10" fillId="4" borderId="50" xfId="0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>
      <alignment horizontal="right"/>
    </xf>
    <xf numFmtId="3" fontId="10" fillId="4" borderId="51" xfId="0" applyNumberFormat="1" applyFont="1" applyFill="1" applyBorder="1" applyAlignment="1">
      <alignment horizontal="right"/>
    </xf>
    <xf numFmtId="3" fontId="3" fillId="8" borderId="16" xfId="0" applyNumberFormat="1" applyFont="1" applyFill="1" applyBorder="1" applyAlignment="1">
      <alignment horizontal="right"/>
    </xf>
    <xf numFmtId="3" fontId="3" fillId="8" borderId="8" xfId="0" applyNumberFormat="1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9" fillId="5" borderId="14" xfId="0" applyFont="1" applyFill="1" applyBorder="1"/>
    <xf numFmtId="3" fontId="9" fillId="5" borderId="16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  <xf numFmtId="3" fontId="9" fillId="5" borderId="9" xfId="0" applyNumberFormat="1" applyFont="1" applyFill="1" applyBorder="1" applyAlignment="1">
      <alignment horizontal="right"/>
    </xf>
    <xf numFmtId="3" fontId="9" fillId="9" borderId="16" xfId="0" applyNumberFormat="1" applyFont="1" applyFill="1" applyBorder="1" applyAlignment="1"/>
    <xf numFmtId="3" fontId="4" fillId="0" borderId="27" xfId="0" applyNumberFormat="1" applyFont="1" applyBorder="1" applyAlignment="1"/>
    <xf numFmtId="3" fontId="4" fillId="0" borderId="27" xfId="0" applyNumberFormat="1" applyFont="1" applyFill="1" applyBorder="1" applyAlignment="1"/>
    <xf numFmtId="3" fontId="4" fillId="0" borderId="58" xfId="0" applyNumberFormat="1" applyFont="1" applyBorder="1" applyAlignment="1"/>
    <xf numFmtId="3" fontId="4" fillId="0" borderId="58" xfId="0" applyNumberFormat="1" applyFont="1" applyFill="1" applyBorder="1" applyAlignment="1"/>
    <xf numFmtId="0" fontId="4" fillId="0" borderId="36" xfId="0" applyFont="1" applyFill="1" applyBorder="1"/>
    <xf numFmtId="3" fontId="4" fillId="0" borderId="23" xfId="0" applyNumberFormat="1" applyFont="1" applyBorder="1" applyAlignment="1"/>
    <xf numFmtId="3" fontId="4" fillId="0" borderId="23" xfId="0" applyNumberFormat="1" applyFont="1" applyFill="1" applyBorder="1" applyAlignment="1"/>
    <xf numFmtId="0" fontId="4" fillId="0" borderId="35" xfId="0" applyFont="1" applyFill="1" applyBorder="1"/>
    <xf numFmtId="3" fontId="4" fillId="0" borderId="19" xfId="0" applyNumberFormat="1" applyFont="1" applyBorder="1" applyAlignment="1"/>
    <xf numFmtId="3" fontId="4" fillId="0" borderId="19" xfId="0" applyNumberFormat="1" applyFont="1" applyFill="1" applyBorder="1" applyAlignment="1"/>
    <xf numFmtId="0" fontId="4" fillId="0" borderId="24" xfId="0" applyFont="1" applyBorder="1"/>
    <xf numFmtId="0" fontId="5" fillId="0" borderId="18" xfId="0" applyFont="1" applyBorder="1"/>
    <xf numFmtId="49" fontId="5" fillId="0" borderId="56" xfId="0" applyNumberFormat="1" applyFont="1" applyFill="1" applyBorder="1" applyAlignment="1">
      <alignment horizontal="right"/>
    </xf>
    <xf numFmtId="0" fontId="5" fillId="0" borderId="29" xfId="0" applyFont="1" applyBorder="1"/>
    <xf numFmtId="3" fontId="5" fillId="0" borderId="30" xfId="0" applyNumberFormat="1" applyFont="1" applyFill="1" applyBorder="1" applyAlignment="1"/>
    <xf numFmtId="49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/>
    <xf numFmtId="49" fontId="5" fillId="0" borderId="25" xfId="0" applyNumberFormat="1" applyFont="1" applyFill="1" applyBorder="1" applyAlignment="1">
      <alignment horizontal="right"/>
    </xf>
    <xf numFmtId="0" fontId="5" fillId="0" borderId="26" xfId="0" applyFont="1" applyBorder="1"/>
    <xf numFmtId="3" fontId="5" fillId="0" borderId="27" xfId="0" applyNumberFormat="1" applyFont="1" applyFill="1" applyBorder="1" applyAlignment="1"/>
    <xf numFmtId="3" fontId="5" fillId="0" borderId="12" xfId="0" applyNumberFormat="1" applyFont="1" applyFill="1" applyBorder="1" applyAlignment="1"/>
    <xf numFmtId="49" fontId="5" fillId="0" borderId="35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/>
    <xf numFmtId="49" fontId="5" fillId="0" borderId="61" xfId="0" applyNumberFormat="1" applyFont="1" applyFill="1" applyBorder="1" applyAlignment="1">
      <alignment horizontal="right"/>
    </xf>
    <xf numFmtId="0" fontId="5" fillId="0" borderId="44" xfId="0" applyFont="1" applyBorder="1"/>
    <xf numFmtId="3" fontId="5" fillId="0" borderId="53" xfId="0" applyNumberFormat="1" applyFont="1" applyFill="1" applyBorder="1" applyAlignment="1"/>
    <xf numFmtId="49" fontId="5" fillId="0" borderId="32" xfId="0" applyNumberFormat="1" applyFont="1" applyFill="1" applyBorder="1" applyAlignment="1">
      <alignment horizontal="right"/>
    </xf>
    <xf numFmtId="0" fontId="5" fillId="0" borderId="33" xfId="0" applyFont="1" applyBorder="1"/>
    <xf numFmtId="3" fontId="5" fillId="0" borderId="58" xfId="0" applyNumberFormat="1" applyFont="1" applyFill="1" applyBorder="1" applyAlignment="1"/>
    <xf numFmtId="49" fontId="5" fillId="0" borderId="22" xfId="0" applyNumberFormat="1" applyFont="1" applyFill="1" applyBorder="1" applyAlignment="1">
      <alignment horizontal="left"/>
    </xf>
    <xf numFmtId="49" fontId="5" fillId="0" borderId="36" xfId="0" applyNumberFormat="1" applyFont="1" applyBorder="1" applyAlignment="1">
      <alignment horizontal="right"/>
    </xf>
    <xf numFmtId="49" fontId="5" fillId="0" borderId="18" xfId="0" applyNumberFormat="1" applyFont="1" applyFill="1" applyBorder="1" applyAlignment="1">
      <alignment horizontal="left"/>
    </xf>
    <xf numFmtId="49" fontId="5" fillId="0" borderId="60" xfId="0" applyNumberFormat="1" applyFont="1" applyBorder="1" applyAlignment="1">
      <alignment horizontal="right"/>
    </xf>
    <xf numFmtId="49" fontId="5" fillId="0" borderId="35" xfId="0" applyNumberFormat="1" applyFont="1" applyBorder="1" applyAlignment="1">
      <alignment horizontal="right"/>
    </xf>
    <xf numFmtId="49" fontId="5" fillId="0" borderId="61" xfId="0" applyNumberFormat="1" applyFont="1" applyBorder="1" applyAlignment="1">
      <alignment horizontal="right"/>
    </xf>
    <xf numFmtId="49" fontId="5" fillId="0" borderId="57" xfId="0" applyNumberFormat="1" applyFont="1" applyBorder="1" applyAlignment="1">
      <alignment horizontal="right"/>
    </xf>
    <xf numFmtId="49" fontId="5" fillId="0" borderId="33" xfId="0" applyNumberFormat="1" applyFont="1" applyFill="1" applyBorder="1" applyAlignment="1">
      <alignment horizontal="left"/>
    </xf>
    <xf numFmtId="49" fontId="5" fillId="0" borderId="10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57" xfId="0" applyFont="1" applyBorder="1"/>
    <xf numFmtId="0" fontId="2" fillId="0" borderId="33" xfId="0" applyFont="1" applyFill="1" applyBorder="1"/>
    <xf numFmtId="3" fontId="7" fillId="0" borderId="31" xfId="0" applyNumberFormat="1" applyFont="1" applyFill="1" applyBorder="1" applyAlignment="1">
      <alignment horizontal="right"/>
    </xf>
    <xf numFmtId="0" fontId="2" fillId="0" borderId="60" xfId="0" applyFont="1" applyBorder="1"/>
    <xf numFmtId="0" fontId="2" fillId="0" borderId="26" xfId="0" applyFont="1" applyFill="1" applyBorder="1"/>
    <xf numFmtId="3" fontId="7" fillId="0" borderId="6" xfId="0" applyNumberFormat="1" applyFont="1" applyFill="1" applyBorder="1" applyAlignment="1">
      <alignment horizontal="right"/>
    </xf>
    <xf numFmtId="0" fontId="14" fillId="0" borderId="56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left"/>
    </xf>
    <xf numFmtId="0" fontId="15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17" fillId="0" borderId="28" xfId="0" applyFont="1" applyBorder="1"/>
    <xf numFmtId="3" fontId="4" fillId="0" borderId="5" xfId="0" applyNumberFormat="1" applyFont="1" applyBorder="1"/>
    <xf numFmtId="0" fontId="17" fillId="0" borderId="21" xfId="0" applyFont="1" applyBorder="1"/>
    <xf numFmtId="0" fontId="2" fillId="0" borderId="22" xfId="0" applyFont="1" applyBorder="1" applyAlignment="1">
      <alignment horizontal="center"/>
    </xf>
    <xf numFmtId="3" fontId="4" fillId="0" borderId="24" xfId="0" applyNumberFormat="1" applyFont="1" applyBorder="1"/>
    <xf numFmtId="3" fontId="9" fillId="10" borderId="24" xfId="0" applyNumberFormat="1" applyFont="1" applyFill="1" applyBorder="1"/>
    <xf numFmtId="0" fontId="17" fillId="0" borderId="3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3" fontId="4" fillId="0" borderId="24" xfId="0" applyNumberFormat="1" applyFont="1" applyFill="1" applyBorder="1"/>
    <xf numFmtId="3" fontId="9" fillId="10" borderId="31" xfId="0" applyNumberFormat="1" applyFont="1" applyFill="1" applyBorder="1"/>
    <xf numFmtId="0" fontId="19" fillId="2" borderId="7" xfId="0" applyFont="1" applyFill="1" applyBorder="1" applyAlignment="1"/>
    <xf numFmtId="0" fontId="20" fillId="2" borderId="8" xfId="0" applyFont="1" applyFill="1" applyBorder="1" applyAlignment="1"/>
    <xf numFmtId="3" fontId="9" fillId="2" borderId="9" xfId="0" applyNumberFormat="1" applyFont="1" applyFill="1" applyBorder="1"/>
    <xf numFmtId="0" fontId="4" fillId="0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10" xfId="0" applyFont="1" applyFill="1" applyBorder="1"/>
    <xf numFmtId="3" fontId="8" fillId="0" borderId="13" xfId="0" applyNumberFormat="1" applyFont="1" applyFill="1" applyBorder="1"/>
    <xf numFmtId="0" fontId="2" fillId="0" borderId="47" xfId="0" applyFont="1" applyBorder="1"/>
    <xf numFmtId="0" fontId="2" fillId="0" borderId="38" xfId="0" applyFont="1" applyBorder="1"/>
    <xf numFmtId="0" fontId="2" fillId="0" borderId="37" xfId="0" applyFont="1" applyBorder="1"/>
    <xf numFmtId="0" fontId="2" fillId="0" borderId="39" xfId="0" applyFont="1" applyBorder="1"/>
    <xf numFmtId="3" fontId="3" fillId="2" borderId="16" xfId="0" applyNumberFormat="1" applyFont="1" applyFill="1" applyBorder="1" applyAlignment="1">
      <alignment horizontal="right"/>
    </xf>
    <xf numFmtId="3" fontId="3" fillId="2" borderId="6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12" xfId="0" applyFont="1" applyBorder="1"/>
    <xf numFmtId="0" fontId="4" fillId="2" borderId="47" xfId="0" applyFont="1" applyFill="1" applyBorder="1"/>
    <xf numFmtId="0" fontId="8" fillId="0" borderId="37" xfId="0" applyFont="1" applyFill="1" applyBorder="1"/>
    <xf numFmtId="0" fontId="8" fillId="0" borderId="34" xfId="0" applyFont="1" applyFill="1" applyBorder="1"/>
    <xf numFmtId="0" fontId="2" fillId="0" borderId="37" xfId="0" applyFont="1" applyFill="1" applyBorder="1"/>
    <xf numFmtId="0" fontId="6" fillId="0" borderId="37" xfId="0" applyFont="1" applyFill="1" applyBorder="1"/>
    <xf numFmtId="0" fontId="2" fillId="2" borderId="47" xfId="0" applyFont="1" applyFill="1" applyBorder="1"/>
    <xf numFmtId="0" fontId="8" fillId="0" borderId="46" xfId="0" applyFont="1" applyFill="1" applyBorder="1"/>
    <xf numFmtId="3" fontId="2" fillId="0" borderId="48" xfId="0" applyNumberFormat="1" applyFont="1" applyBorder="1"/>
    <xf numFmtId="0" fontId="4" fillId="0" borderId="48" xfId="0" applyFont="1" applyBorder="1"/>
    <xf numFmtId="3" fontId="8" fillId="0" borderId="23" xfId="0" applyNumberFormat="1" applyFont="1" applyFill="1" applyBorder="1"/>
    <xf numFmtId="3" fontId="8" fillId="0" borderId="19" xfId="0" applyNumberFormat="1" applyFont="1" applyFill="1" applyBorder="1"/>
    <xf numFmtId="3" fontId="2" fillId="0" borderId="19" xfId="0" applyNumberFormat="1" applyFont="1" applyBorder="1"/>
    <xf numFmtId="3" fontId="4" fillId="0" borderId="19" xfId="0" applyNumberFormat="1" applyFont="1" applyBorder="1"/>
    <xf numFmtId="3" fontId="8" fillId="0" borderId="12" xfId="0" applyNumberFormat="1" applyFont="1" applyFill="1" applyBorder="1"/>
    <xf numFmtId="3" fontId="4" fillId="0" borderId="27" xfId="0" applyNumberFormat="1" applyFont="1" applyBorder="1"/>
    <xf numFmtId="3" fontId="8" fillId="0" borderId="27" xfId="0" applyNumberFormat="1" applyFont="1" applyFill="1" applyBorder="1"/>
    <xf numFmtId="3" fontId="2" fillId="0" borderId="23" xfId="0" applyNumberFormat="1" applyFont="1" applyFill="1" applyBorder="1"/>
    <xf numFmtId="3" fontId="6" fillId="0" borderId="23" xfId="0" applyNumberFormat="1" applyFont="1" applyFill="1" applyBorder="1"/>
    <xf numFmtId="3" fontId="9" fillId="2" borderId="16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6" fillId="0" borderId="49" xfId="0" applyNumberFormat="1" applyFont="1" applyFill="1" applyBorder="1"/>
    <xf numFmtId="3" fontId="7" fillId="0" borderId="49" xfId="0" applyNumberFormat="1" applyFont="1" applyBorder="1"/>
    <xf numFmtId="3" fontId="7" fillId="0" borderId="2" xfId="0" applyNumberFormat="1" applyFont="1" applyBorder="1"/>
    <xf numFmtId="3" fontId="2" fillId="0" borderId="46" xfId="0" applyNumberFormat="1" applyFont="1" applyBorder="1"/>
    <xf numFmtId="3" fontId="7" fillId="0" borderId="48" xfId="0" applyNumberFormat="1" applyFont="1" applyBorder="1"/>
    <xf numFmtId="3" fontId="2" fillId="0" borderId="49" xfId="0" applyNumberFormat="1" applyFont="1" applyFill="1" applyBorder="1"/>
    <xf numFmtId="3" fontId="7" fillId="0" borderId="49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3" fontId="2" fillId="0" borderId="27" xfId="0" applyNumberFormat="1" applyFont="1" applyBorder="1"/>
    <xf numFmtId="3" fontId="7" fillId="0" borderId="19" xfId="0" applyNumberFormat="1" applyFont="1" applyFill="1" applyBorder="1"/>
    <xf numFmtId="3" fontId="7" fillId="0" borderId="23" xfId="0" applyNumberFormat="1" applyFont="1" applyFill="1" applyBorder="1"/>
    <xf numFmtId="3" fontId="2" fillId="0" borderId="19" xfId="0" applyNumberFormat="1" applyFont="1" applyFill="1" applyBorder="1"/>
    <xf numFmtId="3" fontId="6" fillId="6" borderId="52" xfId="0" applyNumberFormat="1" applyFont="1" applyFill="1" applyBorder="1" applyAlignment="1">
      <alignment horizontal="right"/>
    </xf>
    <xf numFmtId="3" fontId="6" fillId="6" borderId="36" xfId="0" applyNumberFormat="1" applyFont="1" applyFill="1" applyBorder="1" applyAlignment="1">
      <alignment horizontal="right"/>
    </xf>
    <xf numFmtId="3" fontId="6" fillId="6" borderId="60" xfId="0" applyNumberFormat="1" applyFont="1" applyFill="1" applyBorder="1" applyAlignment="1">
      <alignment horizontal="right"/>
    </xf>
    <xf numFmtId="3" fontId="6" fillId="6" borderId="3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2" fillId="0" borderId="18" xfId="0" applyFont="1" applyFill="1" applyBorder="1"/>
    <xf numFmtId="0" fontId="2" fillId="0" borderId="56" xfId="0" applyFont="1" applyBorder="1"/>
    <xf numFmtId="0" fontId="2" fillId="0" borderId="29" xfId="0" applyFont="1" applyFill="1" applyBorder="1"/>
    <xf numFmtId="3" fontId="7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6" xfId="0" applyFill="1" applyBorder="1"/>
    <xf numFmtId="3" fontId="4" fillId="0" borderId="53" xfId="0" applyNumberFormat="1" applyFont="1" applyFill="1" applyBorder="1" applyAlignment="1"/>
    <xf numFmtId="0" fontId="7" fillId="0" borderId="0" xfId="0" applyFont="1" applyFill="1"/>
    <xf numFmtId="0" fontId="3" fillId="3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3" fontId="8" fillId="0" borderId="65" xfId="0" applyNumberFormat="1" applyFont="1" applyFill="1" applyBorder="1"/>
    <xf numFmtId="3" fontId="8" fillId="0" borderId="66" xfId="0" applyNumberFormat="1" applyFont="1" applyFill="1" applyBorder="1"/>
    <xf numFmtId="3" fontId="2" fillId="0" borderId="66" xfId="0" applyNumberFormat="1" applyFont="1" applyBorder="1"/>
    <xf numFmtId="3" fontId="5" fillId="0" borderId="66" xfId="0" applyNumberFormat="1" applyFont="1" applyBorder="1"/>
    <xf numFmtId="3" fontId="8" fillId="0" borderId="67" xfId="0" applyNumberFormat="1" applyFont="1" applyFill="1" applyBorder="1"/>
    <xf numFmtId="3" fontId="8" fillId="0" borderId="68" xfId="0" applyNumberFormat="1" applyFont="1" applyFill="1" applyBorder="1"/>
    <xf numFmtId="3" fontId="2" fillId="0" borderId="66" xfId="0" applyNumberFormat="1" applyFont="1" applyFill="1" applyBorder="1"/>
    <xf numFmtId="3" fontId="4" fillId="0" borderId="67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66" xfId="0" applyNumberFormat="1" applyFont="1" applyFill="1" applyBorder="1" applyAlignment="1">
      <alignment horizontal="right"/>
    </xf>
    <xf numFmtId="3" fontId="7" fillId="0" borderId="46" xfId="0" applyNumberFormat="1" applyFont="1" applyBorder="1"/>
    <xf numFmtId="49" fontId="5" fillId="0" borderId="24" xfId="0" applyNumberFormat="1" applyFont="1" applyFill="1" applyBorder="1" applyAlignment="1">
      <alignment horizontal="left"/>
    </xf>
    <xf numFmtId="0" fontId="5" fillId="0" borderId="24" xfId="0" applyFont="1" applyFill="1" applyBorder="1"/>
    <xf numFmtId="0" fontId="2" fillId="0" borderId="36" xfId="0" applyFont="1" applyBorder="1"/>
    <xf numFmtId="0" fontId="2" fillId="0" borderId="22" xfId="0" applyFont="1" applyFill="1" applyBorder="1"/>
    <xf numFmtId="3" fontId="3" fillId="5" borderId="51" xfId="0" applyNumberFormat="1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0" borderId="15" xfId="0" applyFont="1" applyBorder="1"/>
    <xf numFmtId="0" fontId="5" fillId="0" borderId="11" xfId="0" applyFont="1" applyBorder="1"/>
    <xf numFmtId="0" fontId="9" fillId="12" borderId="7" xfId="0" applyFont="1" applyFill="1" applyBorder="1" applyAlignment="1">
      <alignment horizontal="left"/>
    </xf>
    <xf numFmtId="0" fontId="9" fillId="12" borderId="8" xfId="0" applyFont="1" applyFill="1" applyBorder="1" applyAlignment="1">
      <alignment horizontal="left"/>
    </xf>
    <xf numFmtId="3" fontId="9" fillId="12" borderId="9" xfId="0" applyNumberFormat="1" applyFont="1" applyFill="1" applyBorder="1" applyAlignment="1">
      <alignment horizontal="right"/>
    </xf>
    <xf numFmtId="0" fontId="8" fillId="0" borderId="38" xfId="0" applyFont="1" applyFill="1" applyBorder="1"/>
    <xf numFmtId="3" fontId="10" fillId="4" borderId="42" xfId="0" applyNumberFormat="1" applyFont="1" applyFill="1" applyBorder="1" applyAlignment="1">
      <alignment horizontal="right"/>
    </xf>
    <xf numFmtId="0" fontId="6" fillId="4" borderId="56" xfId="0" applyFont="1" applyFill="1" applyBorder="1" applyAlignment="1">
      <alignment horizontal="left"/>
    </xf>
    <xf numFmtId="3" fontId="10" fillId="4" borderId="5" xfId="0" applyNumberFormat="1" applyFont="1" applyFill="1" applyBorder="1" applyAlignment="1">
      <alignment horizontal="right"/>
    </xf>
    <xf numFmtId="3" fontId="6" fillId="4" borderId="27" xfId="0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3" fontId="4" fillId="0" borderId="16" xfId="0" applyNumberFormat="1" applyFont="1" applyBorder="1" applyAlignment="1"/>
    <xf numFmtId="3" fontId="4" fillId="0" borderId="16" xfId="0" applyNumberFormat="1" applyFont="1" applyFill="1" applyBorder="1" applyAlignment="1"/>
    <xf numFmtId="0" fontId="13" fillId="0" borderId="24" xfId="0" applyFont="1" applyFill="1" applyBorder="1"/>
    <xf numFmtId="0" fontId="2" fillId="13" borderId="1" xfId="0" applyFont="1" applyFill="1" applyBorder="1"/>
    <xf numFmtId="0" fontId="2" fillId="13" borderId="11" xfId="0" applyFont="1" applyFill="1" applyBorder="1"/>
    <xf numFmtId="3" fontId="7" fillId="13" borderId="13" xfId="0" applyNumberFormat="1" applyFont="1" applyFill="1" applyBorder="1" applyAlignment="1">
      <alignment horizontal="right"/>
    </xf>
    <xf numFmtId="0" fontId="2" fillId="0" borderId="46" xfId="0" applyFont="1" applyFill="1" applyBorder="1"/>
    <xf numFmtId="3" fontId="0" fillId="0" borderId="0" xfId="0" applyNumberFormat="1"/>
    <xf numFmtId="3" fontId="5" fillId="14" borderId="23" xfId="0" applyNumberFormat="1" applyFont="1" applyFill="1" applyBorder="1" applyAlignment="1"/>
    <xf numFmtId="0" fontId="23" fillId="0" borderId="0" xfId="0" applyFont="1"/>
    <xf numFmtId="0" fontId="24" fillId="15" borderId="16" xfId="0" applyFont="1" applyFill="1" applyBorder="1" applyAlignment="1">
      <alignment horizontal="center" vertical="center"/>
    </xf>
    <xf numFmtId="3" fontId="24" fillId="15" borderId="16" xfId="0" applyNumberFormat="1" applyFont="1" applyFill="1" applyBorder="1" applyAlignment="1">
      <alignment horizontal="center" vertical="center" wrapText="1"/>
    </xf>
    <xf numFmtId="3" fontId="25" fillId="16" borderId="1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right"/>
    </xf>
    <xf numFmtId="0" fontId="5" fillId="0" borderId="19" xfId="0" applyFont="1" applyBorder="1"/>
    <xf numFmtId="3" fontId="27" fillId="16" borderId="19" xfId="0" applyNumberFormat="1" applyFont="1" applyFill="1" applyBorder="1"/>
    <xf numFmtId="3" fontId="28" fillId="0" borderId="0" xfId="0" applyNumberFormat="1" applyFont="1"/>
    <xf numFmtId="0" fontId="26" fillId="0" borderId="14" xfId="0" applyFont="1" applyBorder="1"/>
    <xf numFmtId="0" fontId="26" fillId="0" borderId="15" xfId="0" applyFont="1" applyBorder="1"/>
    <xf numFmtId="0" fontId="26" fillId="0" borderId="9" xfId="0" applyFont="1" applyBorder="1"/>
    <xf numFmtId="49" fontId="5" fillId="0" borderId="23" xfId="0" applyNumberFormat="1" applyFont="1" applyFill="1" applyBorder="1" applyAlignment="1">
      <alignment horizontal="right"/>
    </xf>
    <xf numFmtId="0" fontId="29" fillId="0" borderId="21" xfId="0" applyFont="1" applyBorder="1"/>
    <xf numFmtId="3" fontId="30" fillId="0" borderId="22" xfId="0" applyNumberFormat="1" applyFont="1" applyFill="1" applyBorder="1" applyAlignment="1">
      <alignment horizontal="right"/>
    </xf>
    <xf numFmtId="49" fontId="5" fillId="0" borderId="30" xfId="0" applyNumberFormat="1" applyFont="1" applyFill="1" applyBorder="1" applyAlignment="1">
      <alignment horizontal="right"/>
    </xf>
    <xf numFmtId="3" fontId="27" fillId="16" borderId="30" xfId="0" applyNumberFormat="1" applyFont="1" applyFill="1" applyBorder="1"/>
    <xf numFmtId="0" fontId="29" fillId="0" borderId="21" xfId="0" applyFont="1" applyFill="1" applyBorder="1"/>
    <xf numFmtId="3" fontId="27" fillId="16" borderId="23" xfId="0" applyNumberFormat="1" applyFont="1" applyFill="1" applyBorder="1"/>
    <xf numFmtId="49" fontId="5" fillId="0" borderId="53" xfId="0" applyNumberFormat="1" applyFont="1" applyFill="1" applyBorder="1" applyAlignment="1">
      <alignment horizontal="right"/>
    </xf>
    <xf numFmtId="49" fontId="5" fillId="0" borderId="27" xfId="0" applyNumberFormat="1" applyFont="1" applyFill="1" applyBorder="1" applyAlignment="1">
      <alignment horizontal="right"/>
    </xf>
    <xf numFmtId="3" fontId="5" fillId="17" borderId="27" xfId="0" applyNumberFormat="1" applyFont="1" applyFill="1" applyBorder="1" applyAlignment="1"/>
    <xf numFmtId="3" fontId="27" fillId="16" borderId="27" xfId="0" applyNumberFormat="1" applyFont="1" applyFill="1" applyBorder="1"/>
    <xf numFmtId="3" fontId="29" fillId="0" borderId="22" xfId="0" applyNumberFormat="1" applyFont="1" applyFill="1" applyBorder="1" applyAlignment="1">
      <alignment horizontal="right"/>
    </xf>
    <xf numFmtId="49" fontId="5" fillId="14" borderId="23" xfId="0" applyNumberFormat="1" applyFont="1" applyFill="1" applyBorder="1" applyAlignment="1">
      <alignment horizontal="right"/>
    </xf>
    <xf numFmtId="49" fontId="5" fillId="14" borderId="23" xfId="0" applyNumberFormat="1" applyFont="1" applyFill="1" applyBorder="1" applyAlignment="1">
      <alignment horizontal="left"/>
    </xf>
    <xf numFmtId="49" fontId="5" fillId="0" borderId="58" xfId="0" applyNumberFormat="1" applyFont="1" applyFill="1" applyBorder="1" applyAlignment="1">
      <alignment horizontal="right"/>
    </xf>
    <xf numFmtId="49" fontId="5" fillId="0" borderId="23" xfId="0" applyNumberFormat="1" applyFont="1" applyFill="1" applyBorder="1" applyAlignment="1">
      <alignment horizontal="left"/>
    </xf>
    <xf numFmtId="49" fontId="5" fillId="0" borderId="58" xfId="0" applyNumberFormat="1" applyFont="1" applyFill="1" applyBorder="1" applyAlignment="1">
      <alignment horizontal="left"/>
    </xf>
    <xf numFmtId="0" fontId="5" fillId="0" borderId="53" xfId="0" applyFont="1" applyFill="1" applyBorder="1"/>
    <xf numFmtId="3" fontId="34" fillId="15" borderId="64" xfId="0" applyNumberFormat="1" applyFont="1" applyFill="1" applyBorder="1"/>
    <xf numFmtId="3" fontId="33" fillId="0" borderId="19" xfId="0" applyNumberFormat="1" applyFont="1" applyFill="1" applyBorder="1" applyAlignment="1"/>
    <xf numFmtId="0" fontId="5" fillId="0" borderId="20" xfId="0" applyFont="1" applyBorder="1"/>
    <xf numFmtId="3" fontId="0" fillId="0" borderId="19" xfId="0" applyNumberFormat="1" applyFill="1" applyBorder="1"/>
    <xf numFmtId="49" fontId="33" fillId="0" borderId="0" xfId="0" applyNumberFormat="1" applyFont="1" applyFill="1" applyBorder="1" applyAlignment="1">
      <alignment horizontal="center"/>
    </xf>
    <xf numFmtId="3" fontId="35" fillId="0" borderId="0" xfId="0" applyNumberFormat="1" applyFont="1" applyFill="1" applyBorder="1"/>
    <xf numFmtId="3" fontId="34" fillId="0" borderId="0" xfId="0" applyNumberFormat="1" applyFont="1" applyFill="1" applyBorder="1"/>
    <xf numFmtId="3" fontId="36" fillId="0" borderId="0" xfId="0" applyNumberFormat="1" applyFont="1"/>
    <xf numFmtId="3" fontId="11" fillId="0" borderId="0" xfId="0" applyNumberFormat="1" applyFont="1" applyFill="1" applyBorder="1"/>
    <xf numFmtId="3" fontId="28" fillId="0" borderId="0" xfId="0" applyNumberFormat="1" applyFont="1" applyFill="1"/>
    <xf numFmtId="0" fontId="0" fillId="0" borderId="0" xfId="0" applyFill="1"/>
    <xf numFmtId="3" fontId="33" fillId="0" borderId="0" xfId="0" applyNumberFormat="1" applyFont="1"/>
    <xf numFmtId="0" fontId="23" fillId="0" borderId="0" xfId="0" applyFont="1" applyFill="1"/>
    <xf numFmtId="0" fontId="31" fillId="0" borderId="32" xfId="0" applyFont="1" applyFill="1" applyBorder="1"/>
    <xf numFmtId="3" fontId="31" fillId="0" borderId="33" xfId="0" applyNumberFormat="1" applyFont="1" applyFill="1" applyBorder="1" applyAlignment="1">
      <alignment horizontal="right"/>
    </xf>
    <xf numFmtId="0" fontId="26" fillId="14" borderId="14" xfId="0" applyFont="1" applyFill="1" applyBorder="1"/>
    <xf numFmtId="3" fontId="32" fillId="14" borderId="15" xfId="0" applyNumberFormat="1" applyFont="1" applyFill="1" applyBorder="1" applyAlignment="1">
      <alignment horizontal="right"/>
    </xf>
    <xf numFmtId="164" fontId="26" fillId="14" borderId="9" xfId="1" applyNumberFormat="1" applyFont="1" applyFill="1" applyBorder="1"/>
    <xf numFmtId="3" fontId="37" fillId="0" borderId="0" xfId="0" applyNumberFormat="1" applyFont="1" applyBorder="1"/>
    <xf numFmtId="3" fontId="27" fillId="16" borderId="16" xfId="0" applyNumberFormat="1" applyFont="1" applyFill="1" applyBorder="1"/>
    <xf numFmtId="49" fontId="5" fillId="17" borderId="26" xfId="0" applyNumberFormat="1" applyFont="1" applyFill="1" applyBorder="1" applyAlignment="1">
      <alignment horizontal="left"/>
    </xf>
    <xf numFmtId="0" fontId="4" fillId="0" borderId="29" xfId="0" applyFont="1" applyBorder="1"/>
    <xf numFmtId="0" fontId="6" fillId="0" borderId="22" xfId="0" applyFont="1" applyFill="1" applyBorder="1" applyAlignment="1">
      <alignment horizontal="left"/>
    </xf>
    <xf numFmtId="3" fontId="6" fillId="0" borderId="48" xfId="0" applyNumberFormat="1" applyFont="1" applyFill="1" applyBorder="1"/>
    <xf numFmtId="0" fontId="4" fillId="0" borderId="46" xfId="0" applyFont="1" applyBorder="1"/>
    <xf numFmtId="3" fontId="2" fillId="0" borderId="27" xfId="0" applyNumberFormat="1" applyFont="1" applyFill="1" applyBorder="1"/>
    <xf numFmtId="3" fontId="2" fillId="0" borderId="68" xfId="0" applyNumberFormat="1" applyFont="1" applyFill="1" applyBorder="1"/>
    <xf numFmtId="164" fontId="29" fillId="0" borderId="24" xfId="1" applyNumberFormat="1" applyFont="1" applyBorder="1"/>
    <xf numFmtId="165" fontId="29" fillId="0" borderId="24" xfId="1" applyNumberFormat="1" applyFont="1" applyBorder="1"/>
    <xf numFmtId="3" fontId="28" fillId="0" borderId="0" xfId="0" applyNumberFormat="1" applyFont="1" applyBorder="1"/>
    <xf numFmtId="165" fontId="29" fillId="0" borderId="24" xfId="1" applyNumberFormat="1" applyFont="1" applyFill="1" applyBorder="1" applyAlignment="1">
      <alignment horizontal="left"/>
    </xf>
    <xf numFmtId="165" fontId="29" fillId="0" borderId="24" xfId="1" applyNumberFormat="1" applyFont="1" applyFill="1" applyBorder="1"/>
    <xf numFmtId="0" fontId="29" fillId="0" borderId="32" xfId="0" applyFont="1" applyFill="1" applyBorder="1"/>
    <xf numFmtId="3" fontId="29" fillId="0" borderId="33" xfId="0" applyNumberFormat="1" applyFont="1" applyFill="1" applyBorder="1" applyAlignment="1">
      <alignment horizontal="right"/>
    </xf>
    <xf numFmtId="165" fontId="29" fillId="0" borderId="31" xfId="1" applyNumberFormat="1" applyFont="1" applyFill="1" applyBorder="1"/>
    <xf numFmtId="164" fontId="29" fillId="0" borderId="31" xfId="1" applyNumberFormat="1" applyFont="1" applyFill="1" applyBorder="1"/>
    <xf numFmtId="3" fontId="7" fillId="0" borderId="0" xfId="0" applyNumberFormat="1" applyFont="1"/>
    <xf numFmtId="0" fontId="3" fillId="18" borderId="5" xfId="0" applyFont="1" applyFill="1" applyBorder="1" applyAlignment="1">
      <alignment horizontal="center" vertical="center" wrapText="1"/>
    </xf>
    <xf numFmtId="0" fontId="2" fillId="0" borderId="61" xfId="0" applyFont="1" applyBorder="1"/>
    <xf numFmtId="3" fontId="7" fillId="0" borderId="42" xfId="0" applyNumberFormat="1" applyFont="1" applyFill="1" applyBorder="1" applyAlignment="1">
      <alignment horizontal="right"/>
    </xf>
    <xf numFmtId="0" fontId="5" fillId="0" borderId="41" xfId="0" applyFont="1" applyBorder="1"/>
    <xf numFmtId="0" fontId="0" fillId="19" borderId="14" xfId="0" applyFill="1" applyBorder="1"/>
    <xf numFmtId="0" fontId="0" fillId="19" borderId="15" xfId="0" applyFill="1" applyBorder="1" applyAlignment="1">
      <alignment horizontal="center"/>
    </xf>
    <xf numFmtId="0" fontId="0" fillId="19" borderId="47" xfId="0" applyFill="1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0" fillId="0" borderId="17" xfId="0" applyBorder="1"/>
    <xf numFmtId="3" fontId="0" fillId="0" borderId="18" xfId="0" applyNumberFormat="1" applyBorder="1"/>
    <xf numFmtId="3" fontId="0" fillId="0" borderId="38" xfId="0" applyNumberFormat="1" applyBorder="1"/>
    <xf numFmtId="3" fontId="0" fillId="20" borderId="19" xfId="0" applyNumberFormat="1" applyFill="1" applyBorder="1"/>
    <xf numFmtId="0" fontId="0" fillId="0" borderId="21" xfId="0" applyBorder="1"/>
    <xf numFmtId="3" fontId="0" fillId="0" borderId="22" xfId="0" applyNumberFormat="1" applyBorder="1"/>
    <xf numFmtId="3" fontId="0" fillId="0" borderId="37" xfId="0" applyNumberFormat="1" applyBorder="1"/>
    <xf numFmtId="0" fontId="0" fillId="0" borderId="32" xfId="0" applyBorder="1"/>
    <xf numFmtId="3" fontId="0" fillId="0" borderId="33" xfId="0" applyNumberFormat="1" applyBorder="1"/>
    <xf numFmtId="3" fontId="0" fillId="0" borderId="71" xfId="0" applyNumberFormat="1" applyBorder="1"/>
    <xf numFmtId="3" fontId="39" fillId="0" borderId="0" xfId="0" applyNumberFormat="1" applyFont="1"/>
    <xf numFmtId="3" fontId="0" fillId="19" borderId="15" xfId="0" applyNumberFormat="1" applyFill="1" applyBorder="1"/>
    <xf numFmtId="3" fontId="0" fillId="19" borderId="47" xfId="0" applyNumberFormat="1" applyFill="1" applyBorder="1"/>
    <xf numFmtId="3" fontId="0" fillId="20" borderId="16" xfId="0" applyNumberFormat="1" applyFill="1" applyBorder="1"/>
    <xf numFmtId="3" fontId="0" fillId="0" borderId="18" xfId="0" applyNumberFormat="1" applyFill="1" applyBorder="1"/>
    <xf numFmtId="0" fontId="40" fillId="0" borderId="0" xfId="0" applyFont="1"/>
    <xf numFmtId="0" fontId="0" fillId="0" borderId="21" xfId="0" applyBorder="1" applyAlignment="1">
      <alignment horizontal="right"/>
    </xf>
    <xf numFmtId="0" fontId="0" fillId="0" borderId="22" xfId="0" applyBorder="1"/>
    <xf numFmtId="0" fontId="0" fillId="0" borderId="24" xfId="0" applyBorder="1"/>
    <xf numFmtId="0" fontId="0" fillId="0" borderId="32" xfId="0" applyBorder="1" applyAlignment="1">
      <alignment horizontal="right"/>
    </xf>
    <xf numFmtId="0" fontId="0" fillId="0" borderId="33" xfId="0" applyBorder="1"/>
    <xf numFmtId="0" fontId="0" fillId="0" borderId="31" xfId="0" applyBorder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0" borderId="40" xfId="0" applyBorder="1"/>
    <xf numFmtId="3" fontId="0" fillId="0" borderId="44" xfId="0" applyNumberFormat="1" applyBorder="1"/>
    <xf numFmtId="3" fontId="0" fillId="0" borderId="41" xfId="0" applyNumberFormat="1" applyBorder="1"/>
    <xf numFmtId="3" fontId="0" fillId="20" borderId="53" xfId="0" applyNumberFormat="1" applyFill="1" applyBorder="1"/>
    <xf numFmtId="0" fontId="0" fillId="0" borderId="18" xfId="0" applyBorder="1"/>
    <xf numFmtId="0" fontId="0" fillId="0" borderId="44" xfId="0" applyBorder="1"/>
    <xf numFmtId="0" fontId="0" fillId="11" borderId="14" xfId="0" applyFill="1" applyBorder="1"/>
    <xf numFmtId="3" fontId="0" fillId="11" borderId="15" xfId="0" applyNumberFormat="1" applyFill="1" applyBorder="1"/>
    <xf numFmtId="3" fontId="0" fillId="11" borderId="47" xfId="0" applyNumberFormat="1" applyFill="1" applyBorder="1"/>
    <xf numFmtId="3" fontId="0" fillId="11" borderId="16" xfId="0" applyNumberFormat="1" applyFill="1" applyBorder="1"/>
    <xf numFmtId="0" fontId="38" fillId="19" borderId="14" xfId="0" applyFont="1" applyFill="1" applyBorder="1" applyAlignment="1">
      <alignment horizontal="center"/>
    </xf>
    <xf numFmtId="3" fontId="38" fillId="19" borderId="15" xfId="0" applyNumberFormat="1" applyFont="1" applyFill="1" applyBorder="1"/>
    <xf numFmtId="3" fontId="38" fillId="19" borderId="16" xfId="0" applyNumberFormat="1" applyFont="1" applyFill="1" applyBorder="1"/>
    <xf numFmtId="3" fontId="40" fillId="0" borderId="0" xfId="0" applyNumberFormat="1" applyFont="1"/>
    <xf numFmtId="3" fontId="0" fillId="11" borderId="19" xfId="0" applyNumberFormat="1" applyFill="1" applyBorder="1"/>
    <xf numFmtId="0" fontId="0" fillId="11" borderId="54" xfId="0" applyFill="1" applyBorder="1"/>
    <xf numFmtId="3" fontId="0" fillId="11" borderId="72" xfId="0" applyNumberFormat="1" applyFill="1" applyBorder="1"/>
    <xf numFmtId="3" fontId="0" fillId="11" borderId="53" xfId="0" applyNumberFormat="1" applyFill="1" applyBorder="1"/>
    <xf numFmtId="0" fontId="0" fillId="0" borderId="0" xfId="0" applyAlignment="1">
      <alignment horizontal="right"/>
    </xf>
    <xf numFmtId="0" fontId="4" fillId="0" borderId="40" xfId="0" applyFont="1" applyFill="1" applyBorder="1"/>
    <xf numFmtId="3" fontId="4" fillId="0" borderId="53" xfId="0" applyNumberFormat="1" applyFont="1" applyBorder="1"/>
    <xf numFmtId="3" fontId="2" fillId="0" borderId="53" xfId="0" applyNumberFormat="1" applyFont="1" applyFill="1" applyBorder="1"/>
    <xf numFmtId="3" fontId="4" fillId="0" borderId="23" xfId="0" applyNumberFormat="1" applyFont="1" applyBorder="1"/>
    <xf numFmtId="0" fontId="8" fillId="0" borderId="40" xfId="0" applyFont="1" applyFill="1" applyBorder="1"/>
    <xf numFmtId="0" fontId="8" fillId="0" borderId="41" xfId="0" applyFont="1" applyFill="1" applyBorder="1"/>
    <xf numFmtId="0" fontId="2" fillId="0" borderId="44" xfId="0" applyFont="1" applyFill="1" applyBorder="1"/>
    <xf numFmtId="0" fontId="2" fillId="0" borderId="35" xfId="0" applyFont="1" applyBorder="1"/>
    <xf numFmtId="3" fontId="7" fillId="0" borderId="20" xfId="0" applyNumberFormat="1" applyFont="1" applyFill="1" applyBorder="1" applyAlignment="1">
      <alignment horizontal="right"/>
    </xf>
    <xf numFmtId="0" fontId="41" fillId="0" borderId="0" xfId="0" applyFont="1" applyAlignment="1">
      <alignment horizontal="right" vertical="center"/>
    </xf>
    <xf numFmtId="3" fontId="41" fillId="0" borderId="0" xfId="0" applyNumberFormat="1" applyFont="1"/>
    <xf numFmtId="0" fontId="42" fillId="0" borderId="0" xfId="0" applyFont="1" applyAlignment="1">
      <alignment horizontal="right"/>
    </xf>
    <xf numFmtId="3" fontId="42" fillId="0" borderId="0" xfId="0" applyNumberFormat="1" applyFont="1"/>
    <xf numFmtId="0" fontId="42" fillId="0" borderId="0" xfId="0" applyFont="1"/>
    <xf numFmtId="49" fontId="5" fillId="0" borderId="60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0" fontId="5" fillId="0" borderId="20" xfId="0" applyFont="1" applyFill="1" applyBorder="1"/>
    <xf numFmtId="49" fontId="5" fillId="0" borderId="37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49" fontId="5" fillId="0" borderId="34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0" fontId="5" fillId="0" borderId="6" xfId="0" applyFont="1" applyBorder="1"/>
    <xf numFmtId="0" fontId="2" fillId="0" borderId="41" xfId="0" applyFont="1" applyBorder="1"/>
    <xf numFmtId="3" fontId="8" fillId="0" borderId="31" xfId="0" applyNumberFormat="1" applyFont="1" applyFill="1" applyBorder="1"/>
    <xf numFmtId="3" fontId="5" fillId="0" borderId="31" xfId="0" applyNumberFormat="1" applyFont="1" applyFill="1" applyBorder="1"/>
    <xf numFmtId="3" fontId="5" fillId="0" borderId="24" xfId="0" applyNumberFormat="1" applyFont="1" applyFill="1" applyBorder="1"/>
    <xf numFmtId="49" fontId="6" fillId="6" borderId="28" xfId="0" applyNumberFormat="1" applyFont="1" applyFill="1" applyBorder="1" applyAlignment="1">
      <alignment horizontal="right"/>
    </xf>
    <xf numFmtId="49" fontId="6" fillId="6" borderId="17" xfId="0" applyNumberFormat="1" applyFont="1" applyFill="1" applyBorder="1" applyAlignment="1">
      <alignment horizontal="right"/>
    </xf>
    <xf numFmtId="49" fontId="6" fillId="6" borderId="21" xfId="0" applyNumberFormat="1" applyFont="1" applyFill="1" applyBorder="1" applyAlignment="1">
      <alignment horizontal="right"/>
    </xf>
    <xf numFmtId="49" fontId="6" fillId="6" borderId="25" xfId="0" applyNumberFormat="1" applyFont="1" applyFill="1" applyBorder="1" applyAlignment="1">
      <alignment horizontal="right"/>
    </xf>
    <xf numFmtId="0" fontId="4" fillId="0" borderId="61" xfId="0" applyFont="1" applyFill="1" applyBorder="1"/>
    <xf numFmtId="0" fontId="43" fillId="4" borderId="17" xfId="0" applyFont="1" applyFill="1" applyBorder="1"/>
    <xf numFmtId="0" fontId="43" fillId="4" borderId="18" xfId="0" applyFont="1" applyFill="1" applyBorder="1"/>
    <xf numFmtId="3" fontId="43" fillId="0" borderId="19" xfId="0" applyNumberFormat="1" applyFont="1" applyBorder="1"/>
    <xf numFmtId="0" fontId="43" fillId="4" borderId="48" xfId="0" applyFont="1" applyFill="1" applyBorder="1"/>
    <xf numFmtId="3" fontId="43" fillId="4" borderId="19" xfId="0" applyNumberFormat="1" applyFont="1" applyFill="1" applyBorder="1"/>
    <xf numFmtId="3" fontId="43" fillId="4" borderId="66" xfId="0" applyNumberFormat="1" applyFont="1" applyFill="1" applyBorder="1"/>
    <xf numFmtId="3" fontId="43" fillId="4" borderId="20" xfId="0" applyNumberFormat="1" applyFont="1" applyFill="1" applyBorder="1"/>
    <xf numFmtId="0" fontId="43" fillId="4" borderId="21" xfId="0" applyFont="1" applyFill="1" applyBorder="1"/>
    <xf numFmtId="0" fontId="43" fillId="4" borderId="37" xfId="0" applyFont="1" applyFill="1" applyBorder="1"/>
    <xf numFmtId="3" fontId="43" fillId="4" borderId="23" xfId="0" applyNumberFormat="1" applyFont="1" applyFill="1" applyBorder="1"/>
    <xf numFmtId="0" fontId="43" fillId="4" borderId="49" xfId="0" applyFont="1" applyFill="1" applyBorder="1"/>
    <xf numFmtId="3" fontId="43" fillId="4" borderId="65" xfId="0" applyNumberFormat="1" applyFont="1" applyFill="1" applyBorder="1"/>
    <xf numFmtId="3" fontId="43" fillId="4" borderId="24" xfId="0" applyNumberFormat="1" applyFont="1" applyFill="1" applyBorder="1"/>
    <xf numFmtId="3" fontId="44" fillId="0" borderId="0" xfId="0" applyNumberFormat="1" applyFont="1"/>
    <xf numFmtId="49" fontId="5" fillId="0" borderId="27" xfId="0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/>
    </xf>
    <xf numFmtId="0" fontId="4" fillId="0" borderId="20" xfId="0" applyFont="1" applyBorder="1"/>
    <xf numFmtId="14" fontId="7" fillId="0" borderId="0" xfId="0" applyNumberFormat="1" applyFont="1"/>
    <xf numFmtId="3" fontId="7" fillId="0" borderId="23" xfId="0" applyNumberFormat="1" applyFont="1" applyFill="1" applyBorder="1" applyAlignment="1">
      <alignment horizontal="right"/>
    </xf>
    <xf numFmtId="3" fontId="27" fillId="16" borderId="12" xfId="0" applyNumberFormat="1" applyFont="1" applyFill="1" applyBorder="1"/>
    <xf numFmtId="0" fontId="5" fillId="0" borderId="30" xfId="0" applyFont="1" applyFill="1" applyBorder="1"/>
    <xf numFmtId="49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3" fontId="45" fillId="0" borderId="0" xfId="0" applyNumberFormat="1" applyFont="1"/>
    <xf numFmtId="3" fontId="44" fillId="0" borderId="48" xfId="0" applyNumberFormat="1" applyFont="1" applyBorder="1"/>
    <xf numFmtId="3" fontId="46" fillId="0" borderId="0" xfId="0" applyNumberFormat="1" applyFont="1"/>
    <xf numFmtId="0" fontId="44" fillId="0" borderId="0" xfId="0" applyFont="1" applyAlignment="1">
      <alignment horizontal="right"/>
    </xf>
    <xf numFmtId="49" fontId="5" fillId="0" borderId="38" xfId="0" applyNumberFormat="1" applyFont="1" applyFill="1" applyBorder="1" applyAlignment="1">
      <alignment horizontal="left"/>
    </xf>
    <xf numFmtId="0" fontId="5" fillId="0" borderId="31" xfId="0" applyFont="1" applyFill="1" applyBorder="1"/>
    <xf numFmtId="0" fontId="5" fillId="0" borderId="34" xfId="0" applyFont="1" applyBorder="1"/>
    <xf numFmtId="3" fontId="47" fillId="0" borderId="0" xfId="0" applyNumberFormat="1" applyFont="1"/>
    <xf numFmtId="0" fontId="3" fillId="3" borderId="3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18" fillId="10" borderId="36" xfId="0" applyFont="1" applyFill="1" applyBorder="1" applyAlignment="1">
      <alignment horizontal="center"/>
    </xf>
    <xf numFmtId="0" fontId="18" fillId="10" borderId="62" xfId="0" applyFont="1" applyFill="1" applyBorder="1" applyAlignment="1">
      <alignment horizontal="center"/>
    </xf>
    <xf numFmtId="0" fontId="9" fillId="10" borderId="60" xfId="0" applyFont="1" applyFill="1" applyBorder="1" applyAlignment="1">
      <alignment horizontal="center"/>
    </xf>
    <xf numFmtId="0" fontId="9" fillId="10" borderId="63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2" fillId="9" borderId="4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49" fontId="3" fillId="8" borderId="7" xfId="0" applyNumberFormat="1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0" fontId="3" fillId="5" borderId="7" xfId="0" applyFont="1" applyFill="1" applyBorder="1" applyAlignment="1"/>
    <xf numFmtId="0" fontId="2" fillId="0" borderId="8" xfId="0" applyFont="1" applyBorder="1" applyAlignment="1"/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14" borderId="7" xfId="0" applyFont="1" applyFill="1" applyBorder="1" applyAlignment="1">
      <alignment horizontal="center"/>
    </xf>
    <xf numFmtId="0" fontId="26" fillId="14" borderId="8" xfId="0" applyFont="1" applyFill="1" applyBorder="1" applyAlignment="1">
      <alignment horizontal="center"/>
    </xf>
    <xf numFmtId="0" fontId="26" fillId="14" borderId="64" xfId="0" applyFont="1" applyFill="1" applyBorder="1" applyAlignment="1">
      <alignment horizontal="center"/>
    </xf>
    <xf numFmtId="49" fontId="33" fillId="15" borderId="7" xfId="0" applyNumberFormat="1" applyFont="1" applyFill="1" applyBorder="1" applyAlignment="1">
      <alignment horizontal="center"/>
    </xf>
    <xf numFmtId="49" fontId="33" fillId="15" borderId="64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3" fontId="0" fillId="0" borderId="26" xfId="0" applyNumberFormat="1" applyFill="1" applyBorder="1"/>
    <xf numFmtId="0" fontId="0" fillId="0" borderId="25" xfId="0" applyBorder="1" applyAlignment="1">
      <alignment horizontal="right"/>
    </xf>
    <xf numFmtId="3" fontId="0" fillId="0" borderId="33" xfId="0" applyNumberFormat="1" applyFill="1" applyBorder="1"/>
    <xf numFmtId="0" fontId="0" fillId="0" borderId="31" xfId="0" applyFill="1" applyBorder="1"/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69" xfId="0" applyFill="1" applyBorder="1" applyAlignment="1">
      <alignment horizontal="center"/>
    </xf>
    <xf numFmtId="0" fontId="38" fillId="11" borderId="14" xfId="0" applyFont="1" applyFill="1" applyBorder="1"/>
    <xf numFmtId="3" fontId="38" fillId="11" borderId="15" xfId="0" applyNumberFormat="1" applyFont="1" applyFill="1" applyBorder="1"/>
    <xf numFmtId="3" fontId="38" fillId="11" borderId="47" xfId="0" applyNumberFormat="1" applyFont="1" applyFill="1" applyBorder="1"/>
    <xf numFmtId="3" fontId="38" fillId="11" borderId="14" xfId="0" applyNumberFormat="1" applyFont="1" applyFill="1" applyBorder="1"/>
    <xf numFmtId="3" fontId="38" fillId="11" borderId="9" xfId="0" applyNumberFormat="1" applyFont="1" applyFill="1" applyBorder="1"/>
    <xf numFmtId="0" fontId="0" fillId="20" borderId="21" xfId="0" applyFill="1" applyBorder="1" applyAlignment="1">
      <alignment horizontal="center"/>
    </xf>
    <xf numFmtId="0" fontId="0" fillId="20" borderId="22" xfId="0" applyFill="1" applyBorder="1" applyAlignment="1">
      <alignment horizontal="center"/>
    </xf>
    <xf numFmtId="0" fontId="0" fillId="20" borderId="24" xfId="0" applyFill="1" applyBorder="1" applyAlignment="1">
      <alignment horizontal="center"/>
    </xf>
    <xf numFmtId="0" fontId="48" fillId="0" borderId="0" xfId="0" applyFont="1" applyFill="1" applyBorder="1"/>
    <xf numFmtId="3" fontId="48" fillId="0" borderId="0" xfId="0" applyNumberFormat="1" applyFont="1" applyFill="1" applyBorder="1"/>
    <xf numFmtId="0" fontId="4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3" fontId="6" fillId="13" borderId="24" xfId="0" applyNumberFormat="1" applyFont="1" applyFill="1" applyBorder="1" applyAlignment="1">
      <alignment horizontal="right"/>
    </xf>
  </cellXfs>
  <cellStyles count="3">
    <cellStyle name="Čiarka" xfId="1" builtinId="3"/>
    <cellStyle name="Normálna" xfId="0" builtinId="0"/>
    <cellStyle name="Normálna 2" xfId="2" xr:uid="{00000000-0005-0000-0000-000001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1"/>
  <sheetViews>
    <sheetView tabSelected="1" zoomScale="124" zoomScaleNormal="124" workbookViewId="0">
      <selection sqref="A1:M1"/>
    </sheetView>
  </sheetViews>
  <sheetFormatPr defaultRowHeight="15" x14ac:dyDescent="0.25"/>
  <cols>
    <col min="1" max="1" width="6.42578125" customWidth="1"/>
    <col min="2" max="2" width="42.5703125" customWidth="1"/>
    <col min="3" max="3" width="0.5703125" customWidth="1"/>
    <col min="4" max="4" width="0.7109375" customWidth="1"/>
    <col min="5" max="5" width="0.42578125" customWidth="1"/>
    <col min="6" max="6" width="11.28515625" customWidth="1"/>
    <col min="7" max="7" width="11.85546875" customWidth="1"/>
    <col min="8" max="8" width="12" customWidth="1"/>
    <col min="9" max="10" width="11.5703125" customWidth="1"/>
    <col min="11" max="11" width="13.28515625" customWidth="1"/>
    <col min="12" max="12" width="12.7109375" customWidth="1"/>
    <col min="13" max="13" width="12.85546875" customWidth="1"/>
    <col min="14" max="14" width="14.42578125" customWidth="1"/>
  </cols>
  <sheetData>
    <row r="1" spans="1:22" ht="18.75" thickBot="1" x14ac:dyDescent="0.3">
      <c r="A1" s="612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1"/>
    </row>
    <row r="2" spans="1:22" ht="46.5" customHeight="1" thickBot="1" x14ac:dyDescent="0.3">
      <c r="A2" s="610" t="s">
        <v>1</v>
      </c>
      <c r="B2" s="611"/>
      <c r="C2" s="385" t="s">
        <v>2</v>
      </c>
      <c r="D2" s="386" t="s">
        <v>3</v>
      </c>
      <c r="E2" s="386" t="s">
        <v>190</v>
      </c>
      <c r="F2" s="386" t="s">
        <v>209</v>
      </c>
      <c r="G2" s="494" t="s">
        <v>254</v>
      </c>
      <c r="H2" s="494" t="s">
        <v>338</v>
      </c>
      <c r="I2" s="387" t="s">
        <v>339</v>
      </c>
      <c r="J2" s="387" t="s">
        <v>381</v>
      </c>
      <c r="K2" s="387" t="s">
        <v>255</v>
      </c>
      <c r="L2" s="387" t="s">
        <v>256</v>
      </c>
      <c r="M2" s="387" t="s">
        <v>341</v>
      </c>
      <c r="N2" s="1"/>
    </row>
    <row r="3" spans="1:22" ht="15.75" thickBot="1" x14ac:dyDescent="0.3">
      <c r="A3" s="614" t="s">
        <v>4</v>
      </c>
      <c r="B3" s="615"/>
      <c r="C3" s="336">
        <f t="shared" ref="C3:M3" si="0">SUM(C4:C10)</f>
        <v>1027468</v>
      </c>
      <c r="D3" s="2">
        <f t="shared" si="0"/>
        <v>1080198</v>
      </c>
      <c r="E3" s="2">
        <f t="shared" si="0"/>
        <v>1187235</v>
      </c>
      <c r="F3" s="2">
        <f t="shared" si="0"/>
        <v>1227590</v>
      </c>
      <c r="G3" s="2">
        <f t="shared" si="0"/>
        <v>1222598</v>
      </c>
      <c r="H3" s="2">
        <f t="shared" si="0"/>
        <v>1302175</v>
      </c>
      <c r="I3" s="2">
        <f t="shared" si="0"/>
        <v>1452500</v>
      </c>
      <c r="J3" s="2">
        <f t="shared" si="0"/>
        <v>1463600</v>
      </c>
      <c r="K3" s="2">
        <f t="shared" si="0"/>
        <v>1485800</v>
      </c>
      <c r="L3" s="2">
        <f t="shared" si="0"/>
        <v>1525800</v>
      </c>
      <c r="M3" s="2">
        <f t="shared" si="0"/>
        <v>1612800</v>
      </c>
      <c r="N3" s="1"/>
    </row>
    <row r="4" spans="1:22" ht="15.75" thickBot="1" x14ac:dyDescent="0.3">
      <c r="A4" s="3">
        <v>111</v>
      </c>
      <c r="B4" s="120" t="s">
        <v>5</v>
      </c>
      <c r="C4" s="4">
        <v>972038</v>
      </c>
      <c r="D4" s="5">
        <v>1022504</v>
      </c>
      <c r="E4" s="6">
        <v>1127294</v>
      </c>
      <c r="F4" s="6">
        <v>1165143</v>
      </c>
      <c r="G4" s="6">
        <v>1156712</v>
      </c>
      <c r="H4" s="6">
        <v>1229241</v>
      </c>
      <c r="I4" s="6">
        <v>1368000</v>
      </c>
      <c r="J4" s="6">
        <v>1379000</v>
      </c>
      <c r="K4" s="6">
        <v>1373000</v>
      </c>
      <c r="L4" s="6">
        <v>1413000</v>
      </c>
      <c r="M4" s="6">
        <v>1500000</v>
      </c>
      <c r="N4" s="1"/>
    </row>
    <row r="5" spans="1:22" ht="15.75" thickBot="1" x14ac:dyDescent="0.3">
      <c r="A5" s="7">
        <v>121</v>
      </c>
      <c r="B5" s="332" t="s">
        <v>6</v>
      </c>
      <c r="C5" s="9">
        <v>31944</v>
      </c>
      <c r="D5" s="10">
        <v>32263</v>
      </c>
      <c r="E5" s="10">
        <v>32335</v>
      </c>
      <c r="F5" s="11">
        <v>34337</v>
      </c>
      <c r="G5" s="11">
        <v>34690</v>
      </c>
      <c r="H5" s="11">
        <v>39338</v>
      </c>
      <c r="I5" s="11">
        <v>43200</v>
      </c>
      <c r="J5" s="11">
        <v>43200</v>
      </c>
      <c r="K5" s="11">
        <v>60400</v>
      </c>
      <c r="L5" s="11">
        <v>60400</v>
      </c>
      <c r="M5" s="11">
        <v>60400</v>
      </c>
      <c r="N5" s="1"/>
    </row>
    <row r="6" spans="1:22" x14ac:dyDescent="0.25">
      <c r="A6" s="12">
        <v>133</v>
      </c>
      <c r="B6" s="333" t="s">
        <v>7</v>
      </c>
      <c r="C6" s="14">
        <v>894</v>
      </c>
      <c r="D6" s="15">
        <v>882</v>
      </c>
      <c r="E6" s="15">
        <v>837</v>
      </c>
      <c r="F6" s="16">
        <v>807</v>
      </c>
      <c r="G6" s="16">
        <v>771</v>
      </c>
      <c r="H6" s="16">
        <v>1052</v>
      </c>
      <c r="I6" s="16">
        <v>1100</v>
      </c>
      <c r="J6" s="16">
        <v>1100</v>
      </c>
      <c r="K6" s="16">
        <v>2000</v>
      </c>
      <c r="L6" s="16">
        <v>2000</v>
      </c>
      <c r="M6" s="16">
        <v>2000</v>
      </c>
      <c r="N6" s="1"/>
    </row>
    <row r="7" spans="1:22" x14ac:dyDescent="0.25">
      <c r="A7" s="17">
        <v>133</v>
      </c>
      <c r="B7" s="334" t="s">
        <v>8</v>
      </c>
      <c r="C7" s="19">
        <v>280</v>
      </c>
      <c r="D7" s="20">
        <v>280</v>
      </c>
      <c r="E7" s="20">
        <v>520</v>
      </c>
      <c r="F7" s="21">
        <v>160</v>
      </c>
      <c r="G7" s="21">
        <v>327</v>
      </c>
      <c r="H7" s="21">
        <v>160</v>
      </c>
      <c r="I7" s="21">
        <v>200</v>
      </c>
      <c r="J7" s="21">
        <v>160</v>
      </c>
      <c r="K7" s="21">
        <v>400</v>
      </c>
      <c r="L7" s="21">
        <v>400</v>
      </c>
      <c r="M7" s="21">
        <v>400</v>
      </c>
      <c r="N7" s="1"/>
    </row>
    <row r="8" spans="1:22" x14ac:dyDescent="0.25">
      <c r="A8" s="17">
        <v>133</v>
      </c>
      <c r="B8" s="334" t="s">
        <v>9</v>
      </c>
      <c r="C8" s="19">
        <v>1454</v>
      </c>
      <c r="D8" s="20">
        <v>1587</v>
      </c>
      <c r="E8" s="20">
        <v>2465</v>
      </c>
      <c r="F8" s="21">
        <v>1486</v>
      </c>
      <c r="G8" s="21">
        <v>385</v>
      </c>
      <c r="H8" s="21">
        <v>1464</v>
      </c>
      <c r="I8" s="21">
        <v>2000</v>
      </c>
      <c r="J8" s="21">
        <v>2040</v>
      </c>
      <c r="K8" s="21">
        <v>5000</v>
      </c>
      <c r="L8" s="21">
        <v>5000</v>
      </c>
      <c r="M8" s="21">
        <v>5000</v>
      </c>
      <c r="N8" s="1"/>
    </row>
    <row r="9" spans="1:22" x14ac:dyDescent="0.25">
      <c r="A9" s="17">
        <v>133</v>
      </c>
      <c r="B9" s="334" t="s">
        <v>10</v>
      </c>
      <c r="C9" s="19">
        <v>3624</v>
      </c>
      <c r="D9" s="20">
        <v>3468</v>
      </c>
      <c r="E9" s="20">
        <v>5114</v>
      </c>
      <c r="F9" s="21">
        <v>1386</v>
      </c>
      <c r="G9" s="21">
        <v>1483</v>
      </c>
      <c r="H9" s="21">
        <v>5319</v>
      </c>
      <c r="I9" s="21">
        <v>6000</v>
      </c>
      <c r="J9" s="21">
        <v>6100</v>
      </c>
      <c r="K9" s="21">
        <v>7000</v>
      </c>
      <c r="L9" s="21">
        <v>7000</v>
      </c>
      <c r="M9" s="21">
        <v>7000</v>
      </c>
      <c r="N9" s="1"/>
    </row>
    <row r="10" spans="1:22" ht="15.75" thickBot="1" x14ac:dyDescent="0.3">
      <c r="A10" s="22">
        <v>133</v>
      </c>
      <c r="B10" s="335" t="s">
        <v>11</v>
      </c>
      <c r="C10" s="24">
        <v>17234</v>
      </c>
      <c r="D10" s="25">
        <v>19214</v>
      </c>
      <c r="E10" s="26">
        <v>18670</v>
      </c>
      <c r="F10" s="26">
        <v>24271</v>
      </c>
      <c r="G10" s="26">
        <v>28230</v>
      </c>
      <c r="H10" s="26">
        <v>25601</v>
      </c>
      <c r="I10" s="26">
        <v>32000</v>
      </c>
      <c r="J10" s="26">
        <v>32000</v>
      </c>
      <c r="K10" s="26">
        <v>38000</v>
      </c>
      <c r="L10" s="26">
        <v>38000</v>
      </c>
      <c r="M10" s="26">
        <v>38000</v>
      </c>
      <c r="N10" s="27">
        <f>SUM(K6:K10)</f>
        <v>52400</v>
      </c>
      <c r="O10" s="27">
        <f t="shared" ref="O10:P10" si="1">SUM(L6:L10)</f>
        <v>52400</v>
      </c>
      <c r="P10" s="27">
        <f t="shared" si="1"/>
        <v>52400</v>
      </c>
    </row>
    <row r="11" spans="1:22" ht="15.75" thickBot="1" x14ac:dyDescent="0.3">
      <c r="A11" s="614" t="s">
        <v>12</v>
      </c>
      <c r="B11" s="615"/>
      <c r="C11" s="336">
        <f t="shared" ref="C11:M11" si="2">SUM(C12:C31)</f>
        <v>132648</v>
      </c>
      <c r="D11" s="336">
        <f t="shared" si="2"/>
        <v>200169</v>
      </c>
      <c r="E11" s="336">
        <f t="shared" si="2"/>
        <v>185006</v>
      </c>
      <c r="F11" s="336">
        <f t="shared" si="2"/>
        <v>130051</v>
      </c>
      <c r="G11" s="336">
        <f t="shared" si="2"/>
        <v>158058</v>
      </c>
      <c r="H11" s="336">
        <f t="shared" si="2"/>
        <v>165802</v>
      </c>
      <c r="I11" s="336">
        <f t="shared" si="2"/>
        <v>245915</v>
      </c>
      <c r="J11" s="336">
        <f t="shared" si="2"/>
        <v>255615</v>
      </c>
      <c r="K11" s="336">
        <f t="shared" si="2"/>
        <v>246161</v>
      </c>
      <c r="L11" s="336">
        <f t="shared" si="2"/>
        <v>242861</v>
      </c>
      <c r="M11" s="336">
        <f t="shared" si="2"/>
        <v>242861</v>
      </c>
      <c r="N11" s="1"/>
    </row>
    <row r="12" spans="1:22" x14ac:dyDescent="0.25">
      <c r="A12" s="28">
        <v>212</v>
      </c>
      <c r="B12" s="29" t="s">
        <v>13</v>
      </c>
      <c r="C12" s="30">
        <v>2027</v>
      </c>
      <c r="D12" s="31">
        <v>2117</v>
      </c>
      <c r="E12" s="32">
        <v>2105</v>
      </c>
      <c r="F12" s="32">
        <v>1874</v>
      </c>
      <c r="G12" s="32">
        <v>1824</v>
      </c>
      <c r="H12" s="32">
        <v>1294</v>
      </c>
      <c r="I12" s="32">
        <v>1294</v>
      </c>
      <c r="J12" s="32">
        <v>2373</v>
      </c>
      <c r="K12" s="32">
        <v>2913</v>
      </c>
      <c r="L12" s="32">
        <v>2913</v>
      </c>
      <c r="M12" s="32">
        <v>2913</v>
      </c>
      <c r="N12" s="1"/>
    </row>
    <row r="13" spans="1:22" ht="15.75" thickBot="1" x14ac:dyDescent="0.3">
      <c r="A13" s="22">
        <v>212</v>
      </c>
      <c r="B13" s="23" t="s">
        <v>14</v>
      </c>
      <c r="C13" s="24">
        <v>189</v>
      </c>
      <c r="D13" s="48">
        <v>23970</v>
      </c>
      <c r="E13" s="79">
        <v>7680</v>
      </c>
      <c r="F13" s="79">
        <v>2530</v>
      </c>
      <c r="G13" s="79">
        <v>1030</v>
      </c>
      <c r="H13" s="79">
        <v>540</v>
      </c>
      <c r="I13" s="79">
        <v>1000</v>
      </c>
      <c r="J13" s="79">
        <v>1000</v>
      </c>
      <c r="K13" s="79">
        <v>1000</v>
      </c>
      <c r="L13" s="79">
        <v>1000</v>
      </c>
      <c r="M13" s="79">
        <v>1000</v>
      </c>
      <c r="N13" s="27">
        <f>SUM(K12:K13)</f>
        <v>3913</v>
      </c>
    </row>
    <row r="14" spans="1:22" x14ac:dyDescent="0.25">
      <c r="A14" s="12">
        <v>212</v>
      </c>
      <c r="B14" s="13" t="s">
        <v>15</v>
      </c>
      <c r="C14" s="14">
        <v>3975</v>
      </c>
      <c r="D14" s="15">
        <v>3731</v>
      </c>
      <c r="E14" s="82">
        <v>3649</v>
      </c>
      <c r="F14" s="82">
        <v>3815</v>
      </c>
      <c r="G14" s="82">
        <v>3729</v>
      </c>
      <c r="H14" s="82">
        <v>3121</v>
      </c>
      <c r="I14" s="82">
        <v>3713</v>
      </c>
      <c r="J14" s="82">
        <v>3484</v>
      </c>
      <c r="K14" s="82">
        <v>3425</v>
      </c>
      <c r="L14" s="82">
        <v>3425</v>
      </c>
      <c r="M14" s="82">
        <v>3425</v>
      </c>
      <c r="N14" s="1"/>
    </row>
    <row r="15" spans="1:22" x14ac:dyDescent="0.25">
      <c r="A15" s="17">
        <v>212</v>
      </c>
      <c r="B15" s="18" t="s">
        <v>16</v>
      </c>
      <c r="C15" s="34">
        <v>17332</v>
      </c>
      <c r="D15" s="21">
        <v>17507</v>
      </c>
      <c r="E15" s="21">
        <v>17433</v>
      </c>
      <c r="F15" s="21">
        <v>15521</v>
      </c>
      <c r="G15" s="21">
        <v>19016</v>
      </c>
      <c r="H15" s="21">
        <v>15195</v>
      </c>
      <c r="I15" s="21">
        <v>19848</v>
      </c>
      <c r="J15" s="21">
        <v>19808</v>
      </c>
      <c r="K15" s="21">
        <v>19813</v>
      </c>
      <c r="L15" s="21">
        <v>19813</v>
      </c>
      <c r="M15" s="21">
        <v>19813</v>
      </c>
      <c r="N15" s="27"/>
    </row>
    <row r="16" spans="1:22" ht="15.75" thickBot="1" x14ac:dyDescent="0.3">
      <c r="A16" s="35">
        <v>212</v>
      </c>
      <c r="B16" s="36" t="s">
        <v>17</v>
      </c>
      <c r="C16" s="37">
        <v>5</v>
      </c>
      <c r="D16" s="38">
        <v>400</v>
      </c>
      <c r="E16" s="39">
        <v>1280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426">
        <f>SUM(K12:K16)</f>
        <v>27151</v>
      </c>
      <c r="O16" s="426">
        <f t="shared" ref="O16:P16" si="3">SUM(L12:L16)</f>
        <v>27151</v>
      </c>
      <c r="P16" s="426">
        <f t="shared" si="3"/>
        <v>27151</v>
      </c>
      <c r="U16" s="27"/>
      <c r="V16" s="426"/>
    </row>
    <row r="17" spans="1:22" ht="15.75" thickBot="1" x14ac:dyDescent="0.3">
      <c r="A17" s="7">
        <v>221</v>
      </c>
      <c r="B17" s="8" t="s">
        <v>18</v>
      </c>
      <c r="C17" s="9">
        <v>4093</v>
      </c>
      <c r="D17" s="40">
        <v>4796</v>
      </c>
      <c r="E17" s="41">
        <v>5069</v>
      </c>
      <c r="F17" s="41">
        <v>3283</v>
      </c>
      <c r="G17" s="41">
        <v>3292</v>
      </c>
      <c r="H17" s="41">
        <v>4693</v>
      </c>
      <c r="I17" s="41">
        <v>5100</v>
      </c>
      <c r="J17" s="41">
        <v>5100</v>
      </c>
      <c r="K17" s="41">
        <v>7200</v>
      </c>
      <c r="L17" s="41">
        <v>7200</v>
      </c>
      <c r="M17" s="41">
        <v>7200</v>
      </c>
      <c r="N17" s="1"/>
    </row>
    <row r="18" spans="1:22" ht="15.75" thickBot="1" x14ac:dyDescent="0.3">
      <c r="A18" s="35">
        <v>222</v>
      </c>
      <c r="B18" s="36" t="s">
        <v>19</v>
      </c>
      <c r="C18" s="37">
        <v>0</v>
      </c>
      <c r="D18" s="38">
        <v>90</v>
      </c>
      <c r="E18" s="39">
        <v>400</v>
      </c>
      <c r="F18" s="39">
        <v>0</v>
      </c>
      <c r="G18" s="39">
        <v>0</v>
      </c>
      <c r="H18" s="39">
        <v>200</v>
      </c>
      <c r="I18" s="39">
        <v>0</v>
      </c>
      <c r="J18" s="39">
        <v>30</v>
      </c>
      <c r="K18" s="39">
        <v>0</v>
      </c>
      <c r="L18" s="39">
        <v>0</v>
      </c>
      <c r="M18" s="39">
        <v>0</v>
      </c>
      <c r="N18" s="1"/>
    </row>
    <row r="19" spans="1:22" x14ac:dyDescent="0.25">
      <c r="A19" s="12">
        <v>223</v>
      </c>
      <c r="B19" s="13" t="s">
        <v>20</v>
      </c>
      <c r="C19" s="14">
        <v>713</v>
      </c>
      <c r="D19" s="15">
        <v>671</v>
      </c>
      <c r="E19" s="16">
        <v>503</v>
      </c>
      <c r="F19" s="16">
        <v>143</v>
      </c>
      <c r="G19" s="16">
        <v>448</v>
      </c>
      <c r="H19" s="16">
        <v>536</v>
      </c>
      <c r="I19" s="16">
        <v>750</v>
      </c>
      <c r="J19" s="16">
        <v>750</v>
      </c>
      <c r="K19" s="16">
        <v>1000</v>
      </c>
      <c r="L19" s="16">
        <v>1000</v>
      </c>
      <c r="M19" s="16">
        <v>1000</v>
      </c>
      <c r="N19" s="1"/>
    </row>
    <row r="20" spans="1:22" x14ac:dyDescent="0.25">
      <c r="A20" s="17">
        <v>223</v>
      </c>
      <c r="B20" s="18" t="s">
        <v>21</v>
      </c>
      <c r="C20" s="19">
        <v>16518</v>
      </c>
      <c r="D20" s="20">
        <v>17452</v>
      </c>
      <c r="E20" s="21">
        <v>15427</v>
      </c>
      <c r="F20" s="21">
        <v>15517</v>
      </c>
      <c r="G20" s="21">
        <v>15804</v>
      </c>
      <c r="H20" s="21">
        <v>17265</v>
      </c>
      <c r="I20" s="21">
        <f t="shared" ref="I20" si="4">19000+3000</f>
        <v>22000</v>
      </c>
      <c r="J20" s="21">
        <v>19000</v>
      </c>
      <c r="K20" s="21">
        <v>21000</v>
      </c>
      <c r="L20" s="21">
        <v>21000</v>
      </c>
      <c r="M20" s="21">
        <v>21000</v>
      </c>
      <c r="N20" s="1"/>
    </row>
    <row r="21" spans="1:22" x14ac:dyDescent="0.25">
      <c r="A21" s="17">
        <v>223</v>
      </c>
      <c r="B21" s="18" t="s">
        <v>22</v>
      </c>
      <c r="C21" s="19">
        <v>0</v>
      </c>
      <c r="D21" s="20">
        <v>0</v>
      </c>
      <c r="E21" s="21">
        <v>0</v>
      </c>
      <c r="F21" s="21">
        <v>0</v>
      </c>
      <c r="G21" s="21">
        <v>0</v>
      </c>
      <c r="H21" s="21">
        <v>0</v>
      </c>
      <c r="I21" s="21">
        <v>50</v>
      </c>
      <c r="J21" s="21">
        <v>50</v>
      </c>
      <c r="K21" s="21">
        <v>50</v>
      </c>
      <c r="L21" s="21">
        <v>50</v>
      </c>
      <c r="M21" s="21">
        <v>50</v>
      </c>
      <c r="N21" s="1"/>
    </row>
    <row r="22" spans="1:22" x14ac:dyDescent="0.25">
      <c r="A22" s="17">
        <v>223</v>
      </c>
      <c r="B22" s="18" t="s">
        <v>370</v>
      </c>
      <c r="C22" s="19">
        <v>34491</v>
      </c>
      <c r="D22" s="20">
        <v>32466</v>
      </c>
      <c r="E22" s="21">
        <v>31823</v>
      </c>
      <c r="F22" s="21">
        <v>630</v>
      </c>
      <c r="G22" s="21">
        <v>182</v>
      </c>
      <c r="H22" s="21">
        <v>1540</v>
      </c>
      <c r="I22" s="21">
        <v>2000</v>
      </c>
      <c r="J22" s="21">
        <v>4630</v>
      </c>
      <c r="K22" s="21">
        <v>4000</v>
      </c>
      <c r="L22" s="21">
        <v>4000</v>
      </c>
      <c r="M22" s="21">
        <v>4000</v>
      </c>
      <c r="N22" s="1"/>
    </row>
    <row r="23" spans="1:22" x14ac:dyDescent="0.25">
      <c r="A23" s="17">
        <v>223</v>
      </c>
      <c r="B23" s="18" t="s">
        <v>23</v>
      </c>
      <c r="C23" s="19">
        <v>519</v>
      </c>
      <c r="D23" s="20">
        <v>342</v>
      </c>
      <c r="E23" s="21">
        <v>255</v>
      </c>
      <c r="F23" s="21">
        <v>257</v>
      </c>
      <c r="G23" s="21">
        <v>656</v>
      </c>
      <c r="H23" s="21">
        <v>362</v>
      </c>
      <c r="I23" s="21">
        <v>1000</v>
      </c>
      <c r="J23" s="21">
        <v>1000</v>
      </c>
      <c r="K23" s="21">
        <v>1000</v>
      </c>
      <c r="L23" s="21">
        <v>1000</v>
      </c>
      <c r="M23" s="21">
        <v>1000</v>
      </c>
      <c r="N23" s="1"/>
    </row>
    <row r="24" spans="1:22" x14ac:dyDescent="0.25">
      <c r="A24" s="17">
        <v>223</v>
      </c>
      <c r="B24" s="18" t="s">
        <v>24</v>
      </c>
      <c r="C24" s="19">
        <v>490</v>
      </c>
      <c r="D24" s="20">
        <v>597</v>
      </c>
      <c r="E24" s="21">
        <v>913</v>
      </c>
      <c r="F24" s="21">
        <v>1080</v>
      </c>
      <c r="G24" s="21">
        <v>730</v>
      </c>
      <c r="H24" s="21">
        <v>480</v>
      </c>
      <c r="I24" s="21">
        <v>1000</v>
      </c>
      <c r="J24" s="21">
        <v>1000</v>
      </c>
      <c r="K24" s="21">
        <v>1000</v>
      </c>
      <c r="L24" s="21">
        <v>1000</v>
      </c>
      <c r="M24" s="21">
        <v>1000</v>
      </c>
      <c r="N24" s="1"/>
    </row>
    <row r="25" spans="1:22" x14ac:dyDescent="0.25">
      <c r="A25" s="17">
        <v>223</v>
      </c>
      <c r="B25" s="18" t="s">
        <v>25</v>
      </c>
      <c r="C25" s="19">
        <v>33709</v>
      </c>
      <c r="D25" s="20">
        <v>32850</v>
      </c>
      <c r="E25" s="21">
        <v>30304</v>
      </c>
      <c r="F25" s="21">
        <v>33431</v>
      </c>
      <c r="G25" s="21">
        <v>43133</v>
      </c>
      <c r="H25" s="21">
        <v>36866</v>
      </c>
      <c r="I25" s="21">
        <v>40000</v>
      </c>
      <c r="J25" s="21">
        <v>46000</v>
      </c>
      <c r="K25" s="21">
        <v>46000</v>
      </c>
      <c r="L25" s="21">
        <v>46000</v>
      </c>
      <c r="M25" s="21">
        <v>46000</v>
      </c>
      <c r="N25" s="1"/>
    </row>
    <row r="26" spans="1:22" x14ac:dyDescent="0.25">
      <c r="A26" s="17">
        <v>223</v>
      </c>
      <c r="B26" s="18" t="s">
        <v>26</v>
      </c>
      <c r="C26" s="19">
        <f>17009</f>
        <v>17009</v>
      </c>
      <c r="D26" s="20">
        <v>17553</v>
      </c>
      <c r="E26" s="21">
        <v>24783</v>
      </c>
      <c r="F26" s="21">
        <v>26360</v>
      </c>
      <c r="G26" s="21">
        <v>30450</v>
      </c>
      <c r="H26" s="21">
        <v>34393</v>
      </c>
      <c r="I26" s="21">
        <v>59000</v>
      </c>
      <c r="J26" s="21">
        <v>59000</v>
      </c>
      <c r="K26" s="21">
        <v>45000</v>
      </c>
      <c r="L26" s="21">
        <v>45000</v>
      </c>
      <c r="M26" s="21">
        <v>45000</v>
      </c>
      <c r="N26" s="1"/>
    </row>
    <row r="27" spans="1:22" x14ac:dyDescent="0.25">
      <c r="A27" s="17">
        <v>223</v>
      </c>
      <c r="B27" s="18" t="s">
        <v>27</v>
      </c>
      <c r="C27" s="19">
        <v>4</v>
      </c>
      <c r="D27" s="20">
        <v>87</v>
      </c>
      <c r="E27" s="21">
        <v>43</v>
      </c>
      <c r="F27" s="21">
        <v>27</v>
      </c>
      <c r="G27" s="21">
        <v>10</v>
      </c>
      <c r="H27" s="21">
        <v>13</v>
      </c>
      <c r="I27" s="21">
        <v>60</v>
      </c>
      <c r="J27" s="21">
        <v>60</v>
      </c>
      <c r="K27" s="21">
        <v>60</v>
      </c>
      <c r="L27" s="21">
        <v>60</v>
      </c>
      <c r="M27" s="21">
        <v>60</v>
      </c>
      <c r="N27" s="27"/>
    </row>
    <row r="28" spans="1:22" x14ac:dyDescent="0.25">
      <c r="A28" s="17">
        <v>223</v>
      </c>
      <c r="B28" s="18" t="s">
        <v>28</v>
      </c>
      <c r="C28" s="19">
        <v>1568</v>
      </c>
      <c r="D28" s="42">
        <v>45540</v>
      </c>
      <c r="E28" s="45">
        <v>2057</v>
      </c>
      <c r="F28" s="20">
        <v>1746</v>
      </c>
      <c r="G28" s="21">
        <v>2040</v>
      </c>
      <c r="H28" s="21">
        <v>1902</v>
      </c>
      <c r="I28" s="21">
        <v>2400</v>
      </c>
      <c r="J28" s="21">
        <v>2400</v>
      </c>
      <c r="K28" s="21">
        <v>2100</v>
      </c>
      <c r="L28" s="21">
        <v>2100</v>
      </c>
      <c r="M28" s="21">
        <v>2100</v>
      </c>
      <c r="N28" s="1"/>
    </row>
    <row r="29" spans="1:22" x14ac:dyDescent="0.25">
      <c r="A29" s="17">
        <v>223</v>
      </c>
      <c r="B29" s="18" t="s">
        <v>224</v>
      </c>
      <c r="C29" s="19"/>
      <c r="D29" s="20">
        <v>0</v>
      </c>
      <c r="E29" s="46">
        <v>0</v>
      </c>
      <c r="F29" s="356">
        <v>0</v>
      </c>
      <c r="G29" s="21">
        <v>390</v>
      </c>
      <c r="H29" s="21">
        <v>1080</v>
      </c>
      <c r="I29" s="21">
        <v>2600</v>
      </c>
      <c r="J29" s="21">
        <v>2600</v>
      </c>
      <c r="K29" s="21">
        <v>1300</v>
      </c>
      <c r="L29" s="21">
        <v>1300</v>
      </c>
      <c r="M29" s="21">
        <v>1300</v>
      </c>
      <c r="N29" s="1"/>
    </row>
    <row r="30" spans="1:22" x14ac:dyDescent="0.25">
      <c r="A30" s="43">
        <v>223</v>
      </c>
      <c r="B30" s="44" t="s">
        <v>29</v>
      </c>
      <c r="C30" s="19">
        <v>0</v>
      </c>
      <c r="D30" s="45">
        <v>0</v>
      </c>
      <c r="E30" s="80">
        <v>41282</v>
      </c>
      <c r="F30" s="80">
        <v>23837</v>
      </c>
      <c r="G30" s="46">
        <v>35324</v>
      </c>
      <c r="H30" s="46">
        <v>46322</v>
      </c>
      <c r="I30" s="46">
        <v>84000</v>
      </c>
      <c r="J30" s="46">
        <v>84000</v>
      </c>
      <c r="K30" s="46">
        <v>85900</v>
      </c>
      <c r="L30" s="46">
        <v>85900</v>
      </c>
      <c r="M30" s="46">
        <v>85900</v>
      </c>
      <c r="N30" s="27"/>
    </row>
    <row r="31" spans="1:22" ht="15.75" thickBot="1" x14ac:dyDescent="0.3">
      <c r="A31" s="22">
        <v>223</v>
      </c>
      <c r="B31" s="23" t="s">
        <v>30</v>
      </c>
      <c r="C31" s="24">
        <v>6</v>
      </c>
      <c r="D31" s="47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100</v>
      </c>
      <c r="J31" s="48">
        <v>3330</v>
      </c>
      <c r="K31" s="79">
        <v>3400</v>
      </c>
      <c r="L31" s="48">
        <v>100</v>
      </c>
      <c r="M31" s="48">
        <v>100</v>
      </c>
      <c r="N31" s="27">
        <f>SUM(K19:K31)</f>
        <v>211810</v>
      </c>
      <c r="O31" s="27">
        <f t="shared" ref="O31:P31" si="5">SUM(L19:L31)</f>
        <v>208510</v>
      </c>
      <c r="P31" s="27">
        <f t="shared" si="5"/>
        <v>208510</v>
      </c>
      <c r="U31" s="426"/>
      <c r="V31" s="426"/>
    </row>
    <row r="32" spans="1:22" ht="15.75" thickBot="1" x14ac:dyDescent="0.3">
      <c r="A32" s="49" t="s">
        <v>31</v>
      </c>
      <c r="B32" s="50"/>
      <c r="C32" s="336">
        <f t="shared" ref="C32:M32" si="6">SUM(C33)</f>
        <v>363</v>
      </c>
      <c r="D32" s="337">
        <f t="shared" si="6"/>
        <v>258</v>
      </c>
      <c r="E32" s="2">
        <f t="shared" si="6"/>
        <v>396</v>
      </c>
      <c r="F32" s="2">
        <f t="shared" si="6"/>
        <v>52</v>
      </c>
      <c r="G32" s="2">
        <f t="shared" si="6"/>
        <v>9</v>
      </c>
      <c r="H32" s="2">
        <f t="shared" si="6"/>
        <v>11</v>
      </c>
      <c r="I32" s="2">
        <f t="shared" si="6"/>
        <v>50</v>
      </c>
      <c r="J32" s="2">
        <f t="shared" si="6"/>
        <v>50</v>
      </c>
      <c r="K32" s="2">
        <f t="shared" si="6"/>
        <v>50</v>
      </c>
      <c r="L32" s="2">
        <f t="shared" si="6"/>
        <v>50</v>
      </c>
      <c r="M32" s="2">
        <f t="shared" si="6"/>
        <v>50</v>
      </c>
      <c r="N32" s="1"/>
    </row>
    <row r="33" spans="1:16" ht="15.75" thickBot="1" x14ac:dyDescent="0.3">
      <c r="A33" s="51">
        <v>240</v>
      </c>
      <c r="B33" s="47" t="s">
        <v>32</v>
      </c>
      <c r="C33" s="339">
        <v>363</v>
      </c>
      <c r="D33" s="338">
        <v>258</v>
      </c>
      <c r="E33" s="38">
        <v>396</v>
      </c>
      <c r="F33" s="38">
        <v>52</v>
      </c>
      <c r="G33" s="38">
        <v>9</v>
      </c>
      <c r="H33" s="38">
        <v>11</v>
      </c>
      <c r="I33" s="38">
        <v>50</v>
      </c>
      <c r="J33" s="38">
        <v>50</v>
      </c>
      <c r="K33" s="38">
        <v>50</v>
      </c>
      <c r="L33" s="38">
        <v>50</v>
      </c>
      <c r="M33" s="38">
        <v>50</v>
      </c>
      <c r="N33" s="1"/>
    </row>
    <row r="34" spans="1:16" ht="15.75" thickBot="1" x14ac:dyDescent="0.3">
      <c r="A34" s="49" t="s">
        <v>33</v>
      </c>
      <c r="B34" s="50"/>
      <c r="C34" s="336">
        <f t="shared" ref="C34:M34" si="7">SUM(C35:C41)</f>
        <v>36541</v>
      </c>
      <c r="D34" s="336">
        <f t="shared" si="7"/>
        <v>32063</v>
      </c>
      <c r="E34" s="336">
        <f t="shared" si="7"/>
        <v>24990</v>
      </c>
      <c r="F34" s="336">
        <f t="shared" si="7"/>
        <v>28915</v>
      </c>
      <c r="G34" s="336">
        <f t="shared" si="7"/>
        <v>44894</v>
      </c>
      <c r="H34" s="336">
        <f t="shared" si="7"/>
        <v>41751</v>
      </c>
      <c r="I34" s="336">
        <f t="shared" si="7"/>
        <v>71875</v>
      </c>
      <c r="J34" s="336">
        <f t="shared" si="7"/>
        <v>73505</v>
      </c>
      <c r="K34" s="336">
        <f t="shared" si="7"/>
        <v>71070</v>
      </c>
      <c r="L34" s="336">
        <f t="shared" si="7"/>
        <v>67880</v>
      </c>
      <c r="M34" s="336">
        <f t="shared" si="7"/>
        <v>67890</v>
      </c>
      <c r="N34" s="1"/>
    </row>
    <row r="35" spans="1:16" x14ac:dyDescent="0.25">
      <c r="A35" s="52">
        <v>292</v>
      </c>
      <c r="B35" s="53" t="s">
        <v>34</v>
      </c>
      <c r="C35" s="54">
        <v>1054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830</v>
      </c>
      <c r="K35" s="55">
        <v>0</v>
      </c>
      <c r="L35" s="55"/>
      <c r="M35" s="55">
        <v>0</v>
      </c>
      <c r="N35" s="1"/>
    </row>
    <row r="36" spans="1:16" x14ac:dyDescent="0.25">
      <c r="A36" s="52">
        <v>292</v>
      </c>
      <c r="B36" s="53" t="s">
        <v>35</v>
      </c>
      <c r="C36" s="54">
        <v>326</v>
      </c>
      <c r="D36" s="56">
        <v>279</v>
      </c>
      <c r="E36" s="55">
        <v>241</v>
      </c>
      <c r="F36" s="55">
        <v>247</v>
      </c>
      <c r="G36" s="55">
        <v>152</v>
      </c>
      <c r="H36" s="55">
        <v>25</v>
      </c>
      <c r="I36" s="55">
        <v>200</v>
      </c>
      <c r="J36" s="55">
        <v>200</v>
      </c>
      <c r="K36" s="55">
        <v>0</v>
      </c>
      <c r="L36" s="55">
        <v>0</v>
      </c>
      <c r="M36" s="55">
        <v>0</v>
      </c>
      <c r="N36" s="1"/>
    </row>
    <row r="37" spans="1:16" x14ac:dyDescent="0.25">
      <c r="A37" s="57">
        <v>292</v>
      </c>
      <c r="B37" s="58" t="s">
        <v>36</v>
      </c>
      <c r="C37" s="59">
        <v>1998</v>
      </c>
      <c r="D37" s="60">
        <v>3206</v>
      </c>
      <c r="E37" s="61">
        <v>2949</v>
      </c>
      <c r="F37" s="61">
        <v>441</v>
      </c>
      <c r="G37" s="61">
        <v>10988</v>
      </c>
      <c r="H37" s="61">
        <v>413</v>
      </c>
      <c r="I37" s="61">
        <v>1000</v>
      </c>
      <c r="J37" s="61">
        <v>1000</v>
      </c>
      <c r="K37" s="61">
        <v>1000</v>
      </c>
      <c r="L37" s="61">
        <v>1000</v>
      </c>
      <c r="M37" s="61">
        <v>1000</v>
      </c>
      <c r="N37" s="1"/>
    </row>
    <row r="38" spans="1:16" x14ac:dyDescent="0.25">
      <c r="A38" s="57">
        <v>292</v>
      </c>
      <c r="B38" s="58" t="s">
        <v>37</v>
      </c>
      <c r="C38" s="59">
        <v>16161</v>
      </c>
      <c r="D38" s="60">
        <v>7460</v>
      </c>
      <c r="E38" s="60">
        <v>308</v>
      </c>
      <c r="F38" s="60">
        <v>19</v>
      </c>
      <c r="G38" s="60">
        <v>240</v>
      </c>
      <c r="H38" s="60">
        <v>6</v>
      </c>
      <c r="I38" s="60">
        <v>500</v>
      </c>
      <c r="J38" s="60">
        <v>500</v>
      </c>
      <c r="K38" s="60">
        <v>500</v>
      </c>
      <c r="L38" s="60">
        <v>500</v>
      </c>
      <c r="M38" s="60">
        <v>500</v>
      </c>
      <c r="N38" s="1"/>
    </row>
    <row r="39" spans="1:16" x14ac:dyDescent="0.25">
      <c r="A39" s="57">
        <v>292</v>
      </c>
      <c r="B39" s="18" t="s">
        <v>38</v>
      </c>
      <c r="C39" s="62">
        <v>210</v>
      </c>
      <c r="D39" s="63">
        <v>232</v>
      </c>
      <c r="E39" s="64">
        <v>252</v>
      </c>
      <c r="F39" s="64">
        <v>280</v>
      </c>
      <c r="G39" s="64">
        <v>301</v>
      </c>
      <c r="H39" s="64">
        <v>312</v>
      </c>
      <c r="I39" s="64">
        <v>340</v>
      </c>
      <c r="J39" s="64">
        <v>340</v>
      </c>
      <c r="K39" s="64">
        <v>350</v>
      </c>
      <c r="L39" s="64">
        <v>360</v>
      </c>
      <c r="M39" s="64">
        <v>370</v>
      </c>
      <c r="N39" s="1"/>
    </row>
    <row r="40" spans="1:16" x14ac:dyDescent="0.25">
      <c r="A40" s="57">
        <v>292</v>
      </c>
      <c r="B40" s="58" t="s">
        <v>192</v>
      </c>
      <c r="C40" s="59">
        <f>16422-C39</f>
        <v>16212</v>
      </c>
      <c r="D40" s="61">
        <f>21118-D39</f>
        <v>20886</v>
      </c>
      <c r="E40" s="60">
        <v>21100</v>
      </c>
      <c r="F40" s="60">
        <v>27928</v>
      </c>
      <c r="G40" s="60">
        <v>33213</v>
      </c>
      <c r="H40" s="60">
        <v>40995</v>
      </c>
      <c r="I40" s="60">
        <v>69785</v>
      </c>
      <c r="J40" s="60">
        <v>70585</v>
      </c>
      <c r="K40" s="60">
        <v>69200</v>
      </c>
      <c r="L40" s="60">
        <v>66000</v>
      </c>
      <c r="M40" s="60">
        <v>66000</v>
      </c>
      <c r="N40" s="27"/>
      <c r="O40" s="27"/>
      <c r="P40" s="27"/>
    </row>
    <row r="41" spans="1:16" ht="15.75" thickBot="1" x14ac:dyDescent="0.3">
      <c r="A41" s="57">
        <v>292</v>
      </c>
      <c r="B41" s="58" t="s">
        <v>284</v>
      </c>
      <c r="C41" s="59">
        <v>580</v>
      </c>
      <c r="D41" s="60">
        <v>0</v>
      </c>
      <c r="E41" s="60">
        <v>140</v>
      </c>
      <c r="F41" s="60">
        <v>0</v>
      </c>
      <c r="G41" s="60">
        <v>0</v>
      </c>
      <c r="H41" s="60">
        <v>0</v>
      </c>
      <c r="I41" s="60">
        <v>50</v>
      </c>
      <c r="J41" s="60">
        <v>50</v>
      </c>
      <c r="K41" s="60">
        <v>20</v>
      </c>
      <c r="L41" s="60">
        <v>20</v>
      </c>
      <c r="M41" s="60">
        <v>20</v>
      </c>
      <c r="N41" s="1"/>
    </row>
    <row r="42" spans="1:16" ht="15.75" thickBot="1" x14ac:dyDescent="0.3">
      <c r="A42" s="65" t="s">
        <v>39</v>
      </c>
      <c r="B42" s="340"/>
      <c r="C42" s="336">
        <f t="shared" ref="C42:M42" si="8">SUM(C43:C80)</f>
        <v>537043</v>
      </c>
      <c r="D42" s="359">
        <f t="shared" si="8"/>
        <v>553992</v>
      </c>
      <c r="E42" s="336">
        <f t="shared" si="8"/>
        <v>673247</v>
      </c>
      <c r="F42" s="336">
        <f t="shared" si="8"/>
        <v>814828</v>
      </c>
      <c r="G42" s="336">
        <f t="shared" si="8"/>
        <v>864949</v>
      </c>
      <c r="H42" s="336">
        <f t="shared" si="8"/>
        <v>772149</v>
      </c>
      <c r="I42" s="336">
        <f t="shared" si="8"/>
        <v>761910</v>
      </c>
      <c r="J42" s="336">
        <f t="shared" si="8"/>
        <v>1079376</v>
      </c>
      <c r="K42" s="336">
        <f t="shared" si="8"/>
        <v>955422</v>
      </c>
      <c r="L42" s="336">
        <f t="shared" si="8"/>
        <v>903110</v>
      </c>
      <c r="M42" s="336">
        <f t="shared" si="8"/>
        <v>903110</v>
      </c>
      <c r="N42" s="1"/>
    </row>
    <row r="43" spans="1:16" x14ac:dyDescent="0.25">
      <c r="A43" s="67">
        <v>311</v>
      </c>
      <c r="B43" s="341" t="s">
        <v>40</v>
      </c>
      <c r="C43" s="349">
        <v>2000</v>
      </c>
      <c r="D43" s="360">
        <v>8000</v>
      </c>
      <c r="E43" s="349">
        <v>3000</v>
      </c>
      <c r="F43" s="390">
        <v>0</v>
      </c>
      <c r="G43" s="68">
        <v>0</v>
      </c>
      <c r="H43" s="68">
        <v>8000</v>
      </c>
      <c r="I43" s="68">
        <v>0</v>
      </c>
      <c r="J43" s="68">
        <v>3000</v>
      </c>
      <c r="K43" s="68">
        <v>0</v>
      </c>
      <c r="L43" s="68">
        <v>0</v>
      </c>
      <c r="M43" s="68">
        <v>0</v>
      </c>
      <c r="N43" s="1"/>
    </row>
    <row r="44" spans="1:16" x14ac:dyDescent="0.25">
      <c r="A44" s="71">
        <v>312</v>
      </c>
      <c r="B44" s="76" t="s">
        <v>210</v>
      </c>
      <c r="C44" s="350"/>
      <c r="D44" s="480">
        <v>0</v>
      </c>
      <c r="E44" s="350">
        <v>0</v>
      </c>
      <c r="F44" s="391">
        <v>8895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1"/>
    </row>
    <row r="45" spans="1:16" x14ac:dyDescent="0.25">
      <c r="A45" s="67">
        <v>312</v>
      </c>
      <c r="B45" s="341" t="s">
        <v>277</v>
      </c>
      <c r="C45" s="349">
        <v>2089</v>
      </c>
      <c r="D45" s="347">
        <v>2072</v>
      </c>
      <c r="E45" s="349">
        <v>6211</v>
      </c>
      <c r="F45" s="390">
        <v>3420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1"/>
    </row>
    <row r="46" spans="1:16" x14ac:dyDescent="0.25">
      <c r="A46" s="67">
        <v>312</v>
      </c>
      <c r="B46" s="341" t="s">
        <v>225</v>
      </c>
      <c r="C46" s="350"/>
      <c r="D46" s="347">
        <v>0</v>
      </c>
      <c r="E46" s="350">
        <v>0</v>
      </c>
      <c r="F46" s="391">
        <v>0</v>
      </c>
      <c r="G46" s="70">
        <v>13857</v>
      </c>
      <c r="H46" s="70">
        <v>4619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1"/>
    </row>
    <row r="47" spans="1:16" x14ac:dyDescent="0.25">
      <c r="A47" s="69">
        <v>312</v>
      </c>
      <c r="B47" s="413" t="s">
        <v>257</v>
      </c>
      <c r="C47" s="350"/>
      <c r="D47" s="347">
        <v>0</v>
      </c>
      <c r="E47" s="350">
        <v>0</v>
      </c>
      <c r="F47" s="391">
        <v>0</v>
      </c>
      <c r="G47" s="70">
        <v>0</v>
      </c>
      <c r="H47" s="70">
        <v>2881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1"/>
    </row>
    <row r="48" spans="1:16" x14ac:dyDescent="0.25">
      <c r="A48" s="69">
        <v>312</v>
      </c>
      <c r="B48" s="413" t="s">
        <v>274</v>
      </c>
      <c r="C48" s="350"/>
      <c r="D48" s="347">
        <v>0</v>
      </c>
      <c r="E48" s="350">
        <v>0</v>
      </c>
      <c r="F48" s="391">
        <v>0</v>
      </c>
      <c r="G48" s="70">
        <f>52865+150</f>
        <v>53015</v>
      </c>
      <c r="H48" s="70">
        <v>767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1"/>
    </row>
    <row r="49" spans="1:15" x14ac:dyDescent="0.25">
      <c r="A49" s="67">
        <v>312</v>
      </c>
      <c r="B49" s="341" t="s">
        <v>358</v>
      </c>
      <c r="C49" s="350"/>
      <c r="D49" s="347"/>
      <c r="E49" s="350"/>
      <c r="F49" s="391">
        <v>0</v>
      </c>
      <c r="G49" s="391">
        <v>0</v>
      </c>
      <c r="H49" s="391">
        <v>0</v>
      </c>
      <c r="I49" s="391">
        <v>0</v>
      </c>
      <c r="J49" s="569">
        <v>22165</v>
      </c>
      <c r="K49" s="70">
        <v>0</v>
      </c>
      <c r="L49" s="70">
        <v>0</v>
      </c>
      <c r="M49" s="70">
        <v>0</v>
      </c>
      <c r="N49" s="1"/>
    </row>
    <row r="50" spans="1:15" x14ac:dyDescent="0.25">
      <c r="A50" s="67">
        <v>312</v>
      </c>
      <c r="B50" s="334" t="s">
        <v>359</v>
      </c>
      <c r="C50" s="350"/>
      <c r="D50" s="347"/>
      <c r="E50" s="350"/>
      <c r="F50" s="391">
        <v>0</v>
      </c>
      <c r="G50" s="391">
        <v>0</v>
      </c>
      <c r="H50" s="391">
        <v>0</v>
      </c>
      <c r="I50" s="391">
        <v>0</v>
      </c>
      <c r="J50" s="570">
        <v>0</v>
      </c>
      <c r="K50" s="70">
        <v>0</v>
      </c>
      <c r="L50" s="70">
        <v>0</v>
      </c>
      <c r="M50" s="70">
        <v>0</v>
      </c>
      <c r="N50" s="1"/>
    </row>
    <row r="51" spans="1:15" x14ac:dyDescent="0.25">
      <c r="A51" s="67">
        <v>312</v>
      </c>
      <c r="B51" s="341" t="s">
        <v>360</v>
      </c>
      <c r="C51" s="350"/>
      <c r="D51" s="347"/>
      <c r="E51" s="350"/>
      <c r="F51" s="391">
        <v>0</v>
      </c>
      <c r="G51" s="391">
        <v>0</v>
      </c>
      <c r="H51" s="391">
        <v>0</v>
      </c>
      <c r="I51" s="391">
        <v>0</v>
      </c>
      <c r="J51" s="68">
        <v>60000</v>
      </c>
      <c r="K51" s="70">
        <v>28000</v>
      </c>
      <c r="L51" s="70">
        <v>0</v>
      </c>
      <c r="M51" s="70">
        <v>0</v>
      </c>
      <c r="N51" s="1"/>
    </row>
    <row r="52" spans="1:15" x14ac:dyDescent="0.25">
      <c r="A52" s="546">
        <v>312</v>
      </c>
      <c r="B52" s="568" t="s">
        <v>361</v>
      </c>
      <c r="C52" s="350"/>
      <c r="D52" s="347"/>
      <c r="E52" s="350"/>
      <c r="F52" s="391">
        <v>0</v>
      </c>
      <c r="G52" s="391">
        <v>0</v>
      </c>
      <c r="H52" s="391">
        <v>0</v>
      </c>
      <c r="I52" s="391">
        <v>0</v>
      </c>
      <c r="J52" s="571">
        <v>18200</v>
      </c>
      <c r="K52" s="70">
        <v>0</v>
      </c>
      <c r="L52" s="70">
        <v>0</v>
      </c>
      <c r="M52" s="70">
        <v>0</v>
      </c>
      <c r="N52" s="1"/>
    </row>
    <row r="53" spans="1:15" x14ac:dyDescent="0.25">
      <c r="A53" s="71">
        <v>312</v>
      </c>
      <c r="B53" s="334" t="s">
        <v>197</v>
      </c>
      <c r="C53" s="351">
        <v>5791</v>
      </c>
      <c r="D53" s="347">
        <v>2899</v>
      </c>
      <c r="E53" s="351">
        <v>27030</v>
      </c>
      <c r="F53" s="392">
        <v>39080</v>
      </c>
      <c r="G53" s="16">
        <v>33071</v>
      </c>
      <c r="H53" s="16">
        <v>5899</v>
      </c>
      <c r="I53" s="16">
        <f>7600+500</f>
        <v>8100</v>
      </c>
      <c r="J53" s="16">
        <v>48950</v>
      </c>
      <c r="K53" s="16">
        <v>55000</v>
      </c>
      <c r="L53" s="16">
        <v>55000</v>
      </c>
      <c r="M53" s="16">
        <v>55000</v>
      </c>
      <c r="N53" s="1"/>
    </row>
    <row r="54" spans="1:15" x14ac:dyDescent="0.25">
      <c r="A54" s="71">
        <v>312</v>
      </c>
      <c r="B54" s="334" t="s">
        <v>198</v>
      </c>
      <c r="C54" s="351">
        <v>645</v>
      </c>
      <c r="D54" s="347">
        <v>739</v>
      </c>
      <c r="E54" s="351">
        <v>227</v>
      </c>
      <c r="F54" s="392">
        <v>225</v>
      </c>
      <c r="G54" s="16">
        <v>25</v>
      </c>
      <c r="H54" s="16">
        <v>0</v>
      </c>
      <c r="I54" s="16">
        <v>0</v>
      </c>
      <c r="J54" s="16">
        <v>480</v>
      </c>
      <c r="K54" s="16">
        <v>180</v>
      </c>
      <c r="L54" s="16">
        <v>0</v>
      </c>
      <c r="M54" s="16">
        <v>0</v>
      </c>
      <c r="N54" s="27"/>
    </row>
    <row r="55" spans="1:15" x14ac:dyDescent="0.25">
      <c r="A55" s="71">
        <v>312</v>
      </c>
      <c r="B55" s="114" t="s">
        <v>41</v>
      </c>
      <c r="C55" s="352">
        <v>13737</v>
      </c>
      <c r="D55" s="347">
        <v>15058</v>
      </c>
      <c r="E55" s="14">
        <v>3305</v>
      </c>
      <c r="F55" s="393">
        <v>3082</v>
      </c>
      <c r="G55" s="73">
        <v>1195</v>
      </c>
      <c r="H55" s="73">
        <v>405</v>
      </c>
      <c r="I55" s="73">
        <v>2040</v>
      </c>
      <c r="J55" s="73">
        <v>2040</v>
      </c>
      <c r="K55" s="73">
        <v>600</v>
      </c>
      <c r="L55" s="73">
        <v>0</v>
      </c>
      <c r="M55" s="73">
        <v>0</v>
      </c>
      <c r="N55" s="27"/>
    </row>
    <row r="56" spans="1:15" x14ac:dyDescent="0.25">
      <c r="A56" s="71">
        <v>312</v>
      </c>
      <c r="B56" s="333" t="s">
        <v>264</v>
      </c>
      <c r="C56" s="352">
        <v>0</v>
      </c>
      <c r="D56" s="347">
        <v>0</v>
      </c>
      <c r="E56" s="14">
        <v>0</v>
      </c>
      <c r="F56" s="393">
        <v>18563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1"/>
    </row>
    <row r="57" spans="1:15" x14ac:dyDescent="0.25">
      <c r="A57" s="71">
        <v>312</v>
      </c>
      <c r="B57" s="333" t="s">
        <v>362</v>
      </c>
      <c r="C57" s="352"/>
      <c r="D57" s="347"/>
      <c r="E57" s="14"/>
      <c r="F57" s="393">
        <v>0</v>
      </c>
      <c r="G57" s="393">
        <v>0</v>
      </c>
      <c r="H57" s="393">
        <v>0</v>
      </c>
      <c r="I57" s="393">
        <v>14170</v>
      </c>
      <c r="J57" s="393">
        <v>14300</v>
      </c>
      <c r="K57" s="73"/>
      <c r="L57" s="73"/>
      <c r="M57" s="73"/>
      <c r="N57" s="1"/>
    </row>
    <row r="58" spans="1:15" x14ac:dyDescent="0.25">
      <c r="A58" s="83">
        <v>312</v>
      </c>
      <c r="B58" s="334" t="s">
        <v>363</v>
      </c>
      <c r="C58" s="352"/>
      <c r="D58" s="347"/>
      <c r="E58" s="14"/>
      <c r="F58" s="393">
        <v>0</v>
      </c>
      <c r="G58" s="393">
        <v>0</v>
      </c>
      <c r="H58" s="393">
        <v>0</v>
      </c>
      <c r="I58" s="393">
        <v>0</v>
      </c>
      <c r="J58" s="393">
        <v>15050</v>
      </c>
      <c r="K58" s="73"/>
      <c r="L58" s="73"/>
      <c r="M58" s="73"/>
      <c r="N58" s="1"/>
    </row>
    <row r="59" spans="1:15" x14ac:dyDescent="0.25">
      <c r="A59" s="71">
        <v>312</v>
      </c>
      <c r="B59" s="76" t="s">
        <v>272</v>
      </c>
      <c r="C59" s="352"/>
      <c r="D59" s="347">
        <v>0</v>
      </c>
      <c r="E59" s="14">
        <v>0</v>
      </c>
      <c r="F59" s="393">
        <v>12159</v>
      </c>
      <c r="G59" s="73">
        <f>12025+8883</f>
        <v>20908</v>
      </c>
      <c r="H59" s="73">
        <v>0</v>
      </c>
      <c r="I59" s="73">
        <v>0</v>
      </c>
      <c r="J59" s="73">
        <v>0</v>
      </c>
      <c r="K59" s="73">
        <v>0</v>
      </c>
      <c r="L59" s="73"/>
      <c r="M59" s="73">
        <v>0</v>
      </c>
      <c r="N59" s="1"/>
    </row>
    <row r="60" spans="1:15" x14ac:dyDescent="0.25">
      <c r="A60" s="71">
        <v>312</v>
      </c>
      <c r="B60" s="114" t="s">
        <v>42</v>
      </c>
      <c r="C60" s="352">
        <v>0</v>
      </c>
      <c r="D60" s="347">
        <v>0</v>
      </c>
      <c r="E60" s="14">
        <v>0</v>
      </c>
      <c r="F60" s="393">
        <v>3669</v>
      </c>
      <c r="G60" s="73">
        <v>0</v>
      </c>
      <c r="H60" s="73"/>
      <c r="I60" s="73">
        <v>0</v>
      </c>
      <c r="J60" s="73">
        <v>0</v>
      </c>
      <c r="K60" s="73">
        <v>0</v>
      </c>
      <c r="L60" s="73"/>
      <c r="M60" s="73">
        <v>0</v>
      </c>
      <c r="N60" s="27"/>
      <c r="O60" s="426"/>
    </row>
    <row r="61" spans="1:15" ht="15.75" thickBot="1" x14ac:dyDescent="0.3">
      <c r="A61" s="74">
        <v>312</v>
      </c>
      <c r="B61" s="81" t="s">
        <v>43</v>
      </c>
      <c r="C61" s="355">
        <v>0</v>
      </c>
      <c r="D61" s="400">
        <v>0</v>
      </c>
      <c r="E61" s="355">
        <v>30</v>
      </c>
      <c r="F61" s="395">
        <v>33</v>
      </c>
      <c r="G61" s="75">
        <v>1536</v>
      </c>
      <c r="H61" s="75">
        <v>37</v>
      </c>
      <c r="I61" s="75">
        <v>40</v>
      </c>
      <c r="J61" s="75">
        <v>41</v>
      </c>
      <c r="K61" s="75">
        <v>50</v>
      </c>
      <c r="L61" s="75">
        <v>50</v>
      </c>
      <c r="M61" s="75">
        <v>50</v>
      </c>
      <c r="N61" s="1"/>
    </row>
    <row r="62" spans="1:15" ht="15.75" thickBot="1" x14ac:dyDescent="0.3">
      <c r="A62" s="330">
        <v>312</v>
      </c>
      <c r="B62" s="342" t="s">
        <v>352</v>
      </c>
      <c r="C62" s="353">
        <v>0</v>
      </c>
      <c r="D62" s="362">
        <v>0</v>
      </c>
      <c r="E62" s="353">
        <v>0</v>
      </c>
      <c r="F62" s="394">
        <v>4439</v>
      </c>
      <c r="G62" s="331">
        <v>4026</v>
      </c>
      <c r="H62" s="331">
        <v>2190</v>
      </c>
      <c r="I62" s="331">
        <v>3000</v>
      </c>
      <c r="J62" s="331">
        <v>4300</v>
      </c>
      <c r="K62" s="331">
        <v>5000</v>
      </c>
      <c r="L62" s="331">
        <v>5000</v>
      </c>
      <c r="M62" s="331">
        <v>5000</v>
      </c>
      <c r="N62" s="27"/>
    </row>
    <row r="63" spans="1:15" x14ac:dyDescent="0.25">
      <c r="A63" s="71">
        <v>312</v>
      </c>
      <c r="B63" s="84" t="s">
        <v>44</v>
      </c>
      <c r="C63" s="352">
        <v>12616</v>
      </c>
      <c r="D63" s="347">
        <v>16521</v>
      </c>
      <c r="E63" s="351">
        <v>19278</v>
      </c>
      <c r="F63" s="16">
        <v>14249</v>
      </c>
      <c r="G63" s="16">
        <v>16620</v>
      </c>
      <c r="H63" s="16">
        <v>19147</v>
      </c>
      <c r="I63" s="16">
        <v>20100</v>
      </c>
      <c r="J63" s="16">
        <v>21000</v>
      </c>
      <c r="K63" s="16">
        <v>21500</v>
      </c>
      <c r="L63" s="16">
        <v>21500</v>
      </c>
      <c r="M63" s="16">
        <v>21500</v>
      </c>
      <c r="N63" s="1"/>
    </row>
    <row r="64" spans="1:15" x14ac:dyDescent="0.25">
      <c r="A64" s="71">
        <v>312</v>
      </c>
      <c r="B64" s="114" t="s">
        <v>45</v>
      </c>
      <c r="C64" s="352">
        <v>22490</v>
      </c>
      <c r="D64" s="347">
        <v>18300</v>
      </c>
      <c r="E64" s="351">
        <v>8700</v>
      </c>
      <c r="F64" s="15">
        <v>10200</v>
      </c>
      <c r="G64" s="16">
        <v>10200</v>
      </c>
      <c r="H64" s="16">
        <v>11000</v>
      </c>
      <c r="I64" s="16">
        <v>12500</v>
      </c>
      <c r="J64" s="16">
        <v>13000</v>
      </c>
      <c r="K64" s="16">
        <v>0</v>
      </c>
      <c r="L64" s="16">
        <v>0</v>
      </c>
      <c r="M64" s="16">
        <v>0</v>
      </c>
      <c r="N64" s="1"/>
    </row>
    <row r="65" spans="1:16" ht="15.75" thickBot="1" x14ac:dyDescent="0.3">
      <c r="A65" s="77">
        <v>312</v>
      </c>
      <c r="B65" s="161" t="s">
        <v>46</v>
      </c>
      <c r="C65" s="354">
        <v>7511</v>
      </c>
      <c r="D65" s="363">
        <v>7851</v>
      </c>
      <c r="E65" s="368">
        <v>8430</v>
      </c>
      <c r="F65" s="79">
        <v>9770</v>
      </c>
      <c r="G65" s="79">
        <v>13229</v>
      </c>
      <c r="H65" s="79">
        <v>8419</v>
      </c>
      <c r="I65" s="79">
        <f>3000+5600</f>
        <v>8600</v>
      </c>
      <c r="J65" s="79">
        <v>8800</v>
      </c>
      <c r="K65" s="79">
        <f>3350+5600</f>
        <v>8950</v>
      </c>
      <c r="L65" s="79">
        <f t="shared" ref="L65:M65" si="9">3350+5600</f>
        <v>8950</v>
      </c>
      <c r="M65" s="79">
        <f t="shared" si="9"/>
        <v>8950</v>
      </c>
      <c r="N65" s="1"/>
    </row>
    <row r="66" spans="1:16" x14ac:dyDescent="0.25">
      <c r="A66" s="71">
        <v>312</v>
      </c>
      <c r="B66" s="84" t="s">
        <v>202</v>
      </c>
      <c r="C66" s="352">
        <v>2100</v>
      </c>
      <c r="D66" s="364">
        <v>2000</v>
      </c>
      <c r="E66" s="351">
        <v>3500</v>
      </c>
      <c r="F66" s="392">
        <v>0</v>
      </c>
      <c r="G66" s="16">
        <v>0</v>
      </c>
      <c r="H66" s="16">
        <v>3200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"/>
    </row>
    <row r="67" spans="1:16" ht="15.75" thickBot="1" x14ac:dyDescent="0.3">
      <c r="A67" s="74">
        <v>312</v>
      </c>
      <c r="B67" s="81" t="s">
        <v>48</v>
      </c>
      <c r="C67" s="355">
        <v>8000</v>
      </c>
      <c r="D67" s="346">
        <v>11300</v>
      </c>
      <c r="E67" s="355">
        <v>13785</v>
      </c>
      <c r="F67" s="395">
        <v>0</v>
      </c>
      <c r="G67" s="75">
        <v>7000</v>
      </c>
      <c r="H67" s="75">
        <v>3200</v>
      </c>
      <c r="I67" s="75">
        <v>3000</v>
      </c>
      <c r="J67" s="75">
        <v>3000</v>
      </c>
      <c r="K67" s="75">
        <v>0</v>
      </c>
      <c r="L67" s="75">
        <v>0</v>
      </c>
      <c r="M67" s="75">
        <v>0</v>
      </c>
      <c r="N67" s="1"/>
    </row>
    <row r="68" spans="1:16" x14ac:dyDescent="0.25">
      <c r="A68" s="71">
        <v>312</v>
      </c>
      <c r="B68" s="333" t="s">
        <v>49</v>
      </c>
      <c r="C68" s="351">
        <v>3966</v>
      </c>
      <c r="D68" s="361">
        <v>4139</v>
      </c>
      <c r="E68" s="369">
        <v>4569</v>
      </c>
      <c r="F68" s="82">
        <v>4904</v>
      </c>
      <c r="G68" s="82">
        <v>5027</v>
      </c>
      <c r="H68" s="82">
        <v>5067</v>
      </c>
      <c r="I68" s="82">
        <v>5120</v>
      </c>
      <c r="J68" s="82">
        <v>5200</v>
      </c>
      <c r="K68" s="82">
        <v>5310</v>
      </c>
      <c r="L68" s="82">
        <v>5310</v>
      </c>
      <c r="M68" s="82">
        <v>5310</v>
      </c>
      <c r="N68" s="27"/>
      <c r="O68" s="27"/>
      <c r="P68" s="27"/>
    </row>
    <row r="69" spans="1:16" x14ac:dyDescent="0.25">
      <c r="A69" s="83">
        <v>312</v>
      </c>
      <c r="B69" s="343" t="s">
        <v>50</v>
      </c>
      <c r="C69" s="356">
        <v>3018</v>
      </c>
      <c r="D69" s="365">
        <v>3476</v>
      </c>
      <c r="E69" s="356">
        <v>3771</v>
      </c>
      <c r="F69" s="21">
        <v>4169</v>
      </c>
      <c r="G69" s="21">
        <v>3664</v>
      </c>
      <c r="H69" s="21">
        <v>3593</v>
      </c>
      <c r="I69" s="21">
        <v>3700</v>
      </c>
      <c r="J69" s="21">
        <v>4160</v>
      </c>
      <c r="K69" s="21">
        <v>4250</v>
      </c>
      <c r="L69" s="21">
        <v>4250</v>
      </c>
      <c r="M69" s="21">
        <v>4250</v>
      </c>
      <c r="N69" s="27"/>
      <c r="O69" s="27"/>
      <c r="P69" s="27"/>
    </row>
    <row r="70" spans="1:16" x14ac:dyDescent="0.25">
      <c r="A70" s="83">
        <v>312</v>
      </c>
      <c r="B70" s="344" t="s">
        <v>252</v>
      </c>
      <c r="C70" s="357">
        <v>2774</v>
      </c>
      <c r="D70" s="366">
        <v>2919</v>
      </c>
      <c r="E70" s="370">
        <v>2837</v>
      </c>
      <c r="F70" s="33">
        <v>3186</v>
      </c>
      <c r="G70" s="33">
        <v>6764</v>
      </c>
      <c r="H70" s="33">
        <v>11269</v>
      </c>
      <c r="I70" s="33">
        <v>5000</v>
      </c>
      <c r="J70" s="33">
        <v>15205</v>
      </c>
      <c r="K70" s="33">
        <v>13200</v>
      </c>
      <c r="L70" s="33">
        <v>13200</v>
      </c>
      <c r="M70" s="33">
        <v>13200</v>
      </c>
      <c r="N70" s="27"/>
      <c r="O70" s="27"/>
      <c r="P70" s="27"/>
    </row>
    <row r="71" spans="1:16" x14ac:dyDescent="0.25">
      <c r="A71" s="71">
        <v>312</v>
      </c>
      <c r="B71" s="114" t="s">
        <v>273</v>
      </c>
      <c r="C71" s="352">
        <v>12162</v>
      </c>
      <c r="D71" s="347">
        <v>12162</v>
      </c>
      <c r="E71" s="371">
        <v>50858</v>
      </c>
      <c r="F71" s="16">
        <v>84215</v>
      </c>
      <c r="G71" s="16">
        <f>11938+71808</f>
        <v>83746</v>
      </c>
      <c r="H71" s="16">
        <v>37246</v>
      </c>
      <c r="I71" s="16">
        <v>52550</v>
      </c>
      <c r="J71" s="16">
        <v>78251</v>
      </c>
      <c r="K71" s="16">
        <v>90000</v>
      </c>
      <c r="L71" s="16">
        <v>90000</v>
      </c>
      <c r="M71" s="16">
        <v>90000</v>
      </c>
      <c r="N71" s="27"/>
    </row>
    <row r="72" spans="1:16" x14ac:dyDescent="0.25">
      <c r="A72" s="71">
        <v>312</v>
      </c>
      <c r="B72" s="333" t="s">
        <v>193</v>
      </c>
      <c r="C72" s="352">
        <v>0</v>
      </c>
      <c r="D72" s="347">
        <v>0</v>
      </c>
      <c r="E72" s="371">
        <v>0</v>
      </c>
      <c r="F72" s="82">
        <v>4640</v>
      </c>
      <c r="G72" s="16">
        <v>5205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27"/>
    </row>
    <row r="73" spans="1:16" x14ac:dyDescent="0.25">
      <c r="A73" s="83">
        <v>312</v>
      </c>
      <c r="B73" s="114" t="s">
        <v>51</v>
      </c>
      <c r="C73" s="549">
        <v>0</v>
      </c>
      <c r="D73" s="178"/>
      <c r="E73" s="356">
        <v>31104</v>
      </c>
      <c r="F73" s="21">
        <v>33696</v>
      </c>
      <c r="G73" s="21">
        <v>16565</v>
      </c>
      <c r="H73" s="21">
        <v>30801</v>
      </c>
      <c r="I73" s="21">
        <v>47340</v>
      </c>
      <c r="J73" s="21">
        <v>49320</v>
      </c>
      <c r="K73" s="21">
        <v>55400</v>
      </c>
      <c r="L73" s="21">
        <v>55400</v>
      </c>
      <c r="M73" s="21">
        <v>55400</v>
      </c>
      <c r="N73" s="27"/>
    </row>
    <row r="74" spans="1:16" x14ac:dyDescent="0.25">
      <c r="A74" s="550">
        <v>312</v>
      </c>
      <c r="B74" s="551" t="s">
        <v>342</v>
      </c>
      <c r="C74" s="547"/>
      <c r="D74" s="312"/>
      <c r="E74" s="548"/>
      <c r="F74" s="548">
        <v>0</v>
      </c>
      <c r="G74" s="80">
        <v>0</v>
      </c>
      <c r="H74" s="80">
        <v>10524</v>
      </c>
      <c r="I74" s="80">
        <v>2000</v>
      </c>
      <c r="J74" s="80">
        <v>4940</v>
      </c>
      <c r="K74" s="80">
        <v>10600</v>
      </c>
      <c r="L74" s="80">
        <v>0</v>
      </c>
      <c r="M74" s="80">
        <v>0</v>
      </c>
      <c r="N74" s="27"/>
      <c r="O74" s="27"/>
      <c r="P74" s="27"/>
    </row>
    <row r="75" spans="1:16" ht="15.75" thickBot="1" x14ac:dyDescent="0.3">
      <c r="A75" s="77">
        <v>312</v>
      </c>
      <c r="B75" s="161" t="s">
        <v>343</v>
      </c>
      <c r="C75" s="354"/>
      <c r="D75" s="481"/>
      <c r="E75" s="482"/>
      <c r="F75" s="482">
        <v>0</v>
      </c>
      <c r="G75" s="79">
        <v>0</v>
      </c>
      <c r="H75" s="79">
        <v>4230</v>
      </c>
      <c r="I75" s="79">
        <v>0</v>
      </c>
      <c r="J75" s="79">
        <v>26200</v>
      </c>
      <c r="K75" s="79">
        <v>0</v>
      </c>
      <c r="L75" s="79">
        <v>0</v>
      </c>
      <c r="M75" s="79">
        <v>0</v>
      </c>
      <c r="N75" s="1"/>
    </row>
    <row r="76" spans="1:16" x14ac:dyDescent="0.25">
      <c r="A76" s="71">
        <v>315</v>
      </c>
      <c r="B76" s="76" t="s">
        <v>47</v>
      </c>
      <c r="C76" s="352"/>
      <c r="D76" s="348">
        <v>0</v>
      </c>
      <c r="E76" s="371">
        <v>0</v>
      </c>
      <c r="F76" s="396">
        <v>3000</v>
      </c>
      <c r="G76" s="16">
        <v>3000</v>
      </c>
      <c r="H76" s="16">
        <v>3000</v>
      </c>
      <c r="I76" s="16">
        <v>3000</v>
      </c>
      <c r="J76" s="16">
        <v>3000</v>
      </c>
      <c r="K76" s="16">
        <v>3000</v>
      </c>
      <c r="L76" s="16">
        <v>3000</v>
      </c>
      <c r="M76" s="16">
        <v>3000</v>
      </c>
      <c r="N76" s="1"/>
    </row>
    <row r="77" spans="1:16" ht="15.75" thickBot="1" x14ac:dyDescent="0.3">
      <c r="A77" s="77">
        <v>315</v>
      </c>
      <c r="B77" s="78" t="s">
        <v>251</v>
      </c>
      <c r="C77" s="354"/>
      <c r="D77" s="481">
        <v>0</v>
      </c>
      <c r="E77" s="482">
        <v>0</v>
      </c>
      <c r="F77" s="483">
        <v>0</v>
      </c>
      <c r="G77" s="79">
        <v>100</v>
      </c>
      <c r="H77" s="79">
        <v>200</v>
      </c>
      <c r="I77" s="79">
        <v>200</v>
      </c>
      <c r="J77" s="79">
        <v>400</v>
      </c>
      <c r="K77" s="79">
        <v>300</v>
      </c>
      <c r="L77" s="79">
        <v>0</v>
      </c>
      <c r="M77" s="79">
        <v>0</v>
      </c>
      <c r="N77" s="1"/>
    </row>
    <row r="78" spans="1:16" x14ac:dyDescent="0.25">
      <c r="A78" s="577">
        <v>312</v>
      </c>
      <c r="B78" s="578" t="s">
        <v>211</v>
      </c>
      <c r="C78" s="579"/>
      <c r="D78" s="580">
        <v>0</v>
      </c>
      <c r="E78" s="581">
        <v>0</v>
      </c>
      <c r="F78" s="582">
        <v>38</v>
      </c>
      <c r="G78" s="583">
        <v>420</v>
      </c>
      <c r="H78" s="583">
        <v>0</v>
      </c>
      <c r="I78" s="583">
        <v>0</v>
      </c>
      <c r="J78" s="583">
        <v>0</v>
      </c>
      <c r="K78" s="583">
        <v>0</v>
      </c>
      <c r="L78" s="583">
        <v>0</v>
      </c>
      <c r="M78" s="583">
        <v>0</v>
      </c>
      <c r="N78" s="1"/>
    </row>
    <row r="79" spans="1:16" x14ac:dyDescent="0.25">
      <c r="A79" s="577">
        <v>312</v>
      </c>
      <c r="B79" s="578" t="s">
        <v>364</v>
      </c>
      <c r="C79" s="579"/>
      <c r="D79" s="580"/>
      <c r="E79" s="581"/>
      <c r="F79" s="582">
        <v>0</v>
      </c>
      <c r="G79" s="583">
        <v>0</v>
      </c>
      <c r="H79" s="583">
        <v>0</v>
      </c>
      <c r="I79" s="583">
        <v>0</v>
      </c>
      <c r="J79" s="583">
        <v>6800</v>
      </c>
      <c r="K79" s="583">
        <f>16381+2891</f>
        <v>19272</v>
      </c>
      <c r="L79" s="583">
        <v>0</v>
      </c>
      <c r="M79" s="583">
        <v>0</v>
      </c>
      <c r="N79" s="1"/>
    </row>
    <row r="80" spans="1:16" ht="15.75" thickBot="1" x14ac:dyDescent="0.3">
      <c r="A80" s="584">
        <v>312</v>
      </c>
      <c r="B80" s="585" t="s">
        <v>52</v>
      </c>
      <c r="C80" s="586">
        <v>438144</v>
      </c>
      <c r="D80" s="587">
        <v>446556</v>
      </c>
      <c r="E80" s="586">
        <v>486612</v>
      </c>
      <c r="F80" s="588">
        <v>549196</v>
      </c>
      <c r="G80" s="589">
        <v>565776</v>
      </c>
      <c r="H80" s="589">
        <v>596455</v>
      </c>
      <c r="I80" s="589">
        <v>571450</v>
      </c>
      <c r="J80" s="589">
        <v>651574</v>
      </c>
      <c r="K80" s="589">
        <v>634810</v>
      </c>
      <c r="L80" s="589">
        <v>641450</v>
      </c>
      <c r="M80" s="589">
        <v>641450</v>
      </c>
      <c r="N80" s="27">
        <f>SUM(K44:K75)+K79+K80</f>
        <v>952122</v>
      </c>
      <c r="O80" s="27">
        <f>SUM(L44:L75)+L80</f>
        <v>900110</v>
      </c>
      <c r="P80" s="27">
        <f>SUM(M44:M75)+M80</f>
        <v>900110</v>
      </c>
    </row>
    <row r="81" spans="1:14" ht="21" customHeight="1" thickBot="1" x14ac:dyDescent="0.3">
      <c r="A81" s="85" t="s">
        <v>53</v>
      </c>
      <c r="B81" s="345"/>
      <c r="C81" s="358">
        <f t="shared" ref="C81:M81" si="10">SUM(C3+C11+C32+C34+C42)</f>
        <v>1734063</v>
      </c>
      <c r="D81" s="367">
        <f t="shared" si="10"/>
        <v>1866680</v>
      </c>
      <c r="E81" s="358">
        <f t="shared" si="10"/>
        <v>2070874</v>
      </c>
      <c r="F81" s="358">
        <f t="shared" si="10"/>
        <v>2201436</v>
      </c>
      <c r="G81" s="358">
        <f t="shared" si="10"/>
        <v>2290508</v>
      </c>
      <c r="H81" s="358">
        <f t="shared" si="10"/>
        <v>2281888</v>
      </c>
      <c r="I81" s="358">
        <f t="shared" si="10"/>
        <v>2532250</v>
      </c>
      <c r="J81" s="358">
        <f t="shared" si="10"/>
        <v>2872146</v>
      </c>
      <c r="K81" s="358">
        <f t="shared" si="10"/>
        <v>2758503</v>
      </c>
      <c r="L81" s="358">
        <f t="shared" si="10"/>
        <v>2739701</v>
      </c>
      <c r="M81" s="358">
        <f t="shared" si="10"/>
        <v>2826711</v>
      </c>
      <c r="N81" s="1"/>
    </row>
    <row r="82" spans="1:14" x14ac:dyDescent="0.25">
      <c r="A82" s="87" t="s">
        <v>54</v>
      </c>
      <c r="B82" s="88" t="s">
        <v>55</v>
      </c>
      <c r="C82" s="89">
        <v>5446</v>
      </c>
      <c r="D82" s="89">
        <v>7593</v>
      </c>
      <c r="E82" s="89">
        <v>7551</v>
      </c>
      <c r="F82" s="89">
        <v>355</v>
      </c>
      <c r="G82" s="89">
        <v>1801</v>
      </c>
      <c r="H82" s="89">
        <v>3603</v>
      </c>
      <c r="I82" s="89">
        <v>2450</v>
      </c>
      <c r="J82" s="89">
        <v>2450</v>
      </c>
      <c r="K82" s="89">
        <v>1550</v>
      </c>
      <c r="L82" s="89">
        <v>1550</v>
      </c>
      <c r="M82" s="89">
        <v>1550</v>
      </c>
      <c r="N82" s="1"/>
    </row>
    <row r="83" spans="1:14" x14ac:dyDescent="0.25">
      <c r="A83" s="90" t="s">
        <v>54</v>
      </c>
      <c r="B83" s="88" t="s">
        <v>56</v>
      </c>
      <c r="C83" s="91">
        <v>1300</v>
      </c>
      <c r="D83" s="91">
        <v>1300</v>
      </c>
      <c r="E83" s="91">
        <v>1308</v>
      </c>
      <c r="F83" s="91">
        <v>1250</v>
      </c>
      <c r="G83" s="91">
        <v>1468</v>
      </c>
      <c r="H83" s="91">
        <v>1752</v>
      </c>
      <c r="I83" s="91">
        <v>2600</v>
      </c>
      <c r="J83" s="91">
        <v>2600</v>
      </c>
      <c r="K83" s="91">
        <v>3600</v>
      </c>
      <c r="L83" s="91">
        <v>3600</v>
      </c>
      <c r="M83" s="91">
        <v>3600</v>
      </c>
      <c r="N83" s="1"/>
    </row>
    <row r="84" spans="1:14" ht="15.75" thickBot="1" x14ac:dyDescent="0.3">
      <c r="A84" s="92" t="s">
        <v>54</v>
      </c>
      <c r="B84" s="93" t="s">
        <v>57</v>
      </c>
      <c r="C84" s="94">
        <v>0</v>
      </c>
      <c r="D84" s="94">
        <v>0</v>
      </c>
      <c r="E84" s="94">
        <v>50402</v>
      </c>
      <c r="F84" s="94">
        <v>28608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/>
      <c r="M84" s="94">
        <v>0</v>
      </c>
      <c r="N84" s="1"/>
    </row>
    <row r="85" spans="1:14" ht="15.75" thickBot="1" x14ac:dyDescent="0.3">
      <c r="A85" s="616" t="s">
        <v>58</v>
      </c>
      <c r="B85" s="617"/>
      <c r="C85" s="95">
        <f t="shared" ref="C85:D85" si="11">SUM(C82:C84)</f>
        <v>6746</v>
      </c>
      <c r="D85" s="95">
        <f t="shared" si="11"/>
        <v>8893</v>
      </c>
      <c r="E85" s="95">
        <f t="shared" ref="E85:M85" si="12">SUM(E82:E84)</f>
        <v>59261</v>
      </c>
      <c r="F85" s="95">
        <f t="shared" si="12"/>
        <v>30213</v>
      </c>
      <c r="G85" s="95">
        <f t="shared" si="12"/>
        <v>3269</v>
      </c>
      <c r="H85" s="95">
        <f t="shared" si="12"/>
        <v>5355</v>
      </c>
      <c r="I85" s="95">
        <f t="shared" si="12"/>
        <v>5050</v>
      </c>
      <c r="J85" s="95">
        <f t="shared" ref="J85:K85" si="13">SUM(J82:J84)</f>
        <v>5050</v>
      </c>
      <c r="K85" s="95">
        <f t="shared" si="13"/>
        <v>5150</v>
      </c>
      <c r="L85" s="95">
        <f t="shared" si="12"/>
        <v>5150</v>
      </c>
      <c r="M85" s="95">
        <f t="shared" si="12"/>
        <v>5150</v>
      </c>
      <c r="N85" s="1"/>
    </row>
    <row r="86" spans="1:14" x14ac:dyDescent="0.25">
      <c r="A86" s="415" t="s">
        <v>54</v>
      </c>
      <c r="B86" s="235" t="s">
        <v>226</v>
      </c>
      <c r="C86" s="416"/>
      <c r="D86" s="238">
        <v>0</v>
      </c>
      <c r="E86" s="238">
        <v>0</v>
      </c>
      <c r="F86" s="238">
        <v>0</v>
      </c>
      <c r="G86" s="238">
        <v>35981</v>
      </c>
      <c r="H86" s="238">
        <v>0</v>
      </c>
      <c r="I86" s="238">
        <v>0</v>
      </c>
      <c r="J86" s="238">
        <v>0</v>
      </c>
      <c r="K86" s="238">
        <v>0</v>
      </c>
      <c r="L86" s="238">
        <v>0</v>
      </c>
      <c r="M86" s="238">
        <v>0</v>
      </c>
      <c r="N86" s="100"/>
    </row>
    <row r="87" spans="1:14" ht="16.5" thickBot="1" x14ac:dyDescent="0.3">
      <c r="A87" s="96" t="s">
        <v>54</v>
      </c>
      <c r="B87" s="97" t="s">
        <v>59</v>
      </c>
      <c r="C87" s="98">
        <v>4930</v>
      </c>
      <c r="D87" s="417">
        <v>10244</v>
      </c>
      <c r="E87" s="418">
        <v>11710</v>
      </c>
      <c r="F87" s="418">
        <v>11266</v>
      </c>
      <c r="G87" s="418">
        <v>11355</v>
      </c>
      <c r="H87" s="418">
        <v>11185</v>
      </c>
      <c r="I87" s="418">
        <v>10980</v>
      </c>
      <c r="J87" s="418">
        <v>12200</v>
      </c>
      <c r="K87" s="418">
        <v>12350</v>
      </c>
      <c r="L87" s="418">
        <v>12350</v>
      </c>
      <c r="M87" s="418">
        <v>12350</v>
      </c>
      <c r="N87" s="103"/>
    </row>
    <row r="88" spans="1:14" ht="15.75" thickBot="1" x14ac:dyDescent="0.3">
      <c r="A88" s="616" t="s">
        <v>227</v>
      </c>
      <c r="B88" s="617"/>
      <c r="C88" s="98"/>
      <c r="D88" s="414">
        <f>SUM(D86:D87)</f>
        <v>10244</v>
      </c>
      <c r="E88" s="414">
        <f t="shared" ref="E88:G88" si="14">SUM(E86:E87)</f>
        <v>11710</v>
      </c>
      <c r="F88" s="414">
        <f t="shared" si="14"/>
        <v>11266</v>
      </c>
      <c r="G88" s="414">
        <f t="shared" si="14"/>
        <v>47336</v>
      </c>
      <c r="H88" s="414">
        <f t="shared" ref="H88:M88" si="15">SUM(H86:H87)</f>
        <v>11185</v>
      </c>
      <c r="I88" s="414">
        <f t="shared" si="15"/>
        <v>10980</v>
      </c>
      <c r="J88" s="414">
        <f t="shared" ref="J88:K88" si="16">SUM(J86:J87)</f>
        <v>12200</v>
      </c>
      <c r="K88" s="414">
        <f t="shared" si="16"/>
        <v>12350</v>
      </c>
      <c r="L88" s="414">
        <f t="shared" si="15"/>
        <v>12350</v>
      </c>
      <c r="M88" s="414">
        <f t="shared" si="15"/>
        <v>12350</v>
      </c>
      <c r="N88" s="1"/>
    </row>
    <row r="89" spans="1:14" ht="19.5" customHeight="1" thickBot="1" x14ac:dyDescent="0.3">
      <c r="A89" s="641" t="s">
        <v>60</v>
      </c>
      <c r="B89" s="642"/>
      <c r="C89" s="99">
        <f t="shared" ref="C89" si="17">C85+C87</f>
        <v>11676</v>
      </c>
      <c r="D89" s="99">
        <f>D85+D88</f>
        <v>19137</v>
      </c>
      <c r="E89" s="99">
        <f t="shared" ref="E89:G89" si="18">E85+E88</f>
        <v>70971</v>
      </c>
      <c r="F89" s="99">
        <f t="shared" si="18"/>
        <v>41479</v>
      </c>
      <c r="G89" s="99">
        <f t="shared" si="18"/>
        <v>50605</v>
      </c>
      <c r="H89" s="99">
        <f t="shared" ref="H89:M89" si="19">H85+H88</f>
        <v>16540</v>
      </c>
      <c r="I89" s="99">
        <f t="shared" si="19"/>
        <v>16030</v>
      </c>
      <c r="J89" s="99">
        <f t="shared" ref="J89:K89" si="20">J85+J88</f>
        <v>17250</v>
      </c>
      <c r="K89" s="99">
        <f t="shared" si="20"/>
        <v>17500</v>
      </c>
      <c r="L89" s="99">
        <f t="shared" si="19"/>
        <v>17500</v>
      </c>
      <c r="M89" s="99">
        <f t="shared" si="19"/>
        <v>17500</v>
      </c>
      <c r="N89" s="1"/>
    </row>
    <row r="90" spans="1:14" ht="30.75" customHeight="1" thickBot="1" x14ac:dyDescent="0.3">
      <c r="A90" s="85" t="s">
        <v>61</v>
      </c>
      <c r="B90" s="66"/>
      <c r="C90" s="86">
        <f t="shared" ref="C90:G90" si="21">C81+C89</f>
        <v>1745739</v>
      </c>
      <c r="D90" s="86">
        <f t="shared" si="21"/>
        <v>1885817</v>
      </c>
      <c r="E90" s="86">
        <f t="shared" si="21"/>
        <v>2141845</v>
      </c>
      <c r="F90" s="86">
        <f t="shared" ref="F90:M90" si="22">F81+F89</f>
        <v>2242915</v>
      </c>
      <c r="G90" s="86">
        <f t="shared" si="22"/>
        <v>2341113</v>
      </c>
      <c r="H90" s="86">
        <f t="shared" si="22"/>
        <v>2298428</v>
      </c>
      <c r="I90" s="86">
        <f t="shared" si="22"/>
        <v>2548280</v>
      </c>
      <c r="J90" s="86">
        <f t="shared" si="22"/>
        <v>2889396</v>
      </c>
      <c r="K90" s="86">
        <f t="shared" si="22"/>
        <v>2776003</v>
      </c>
      <c r="L90" s="86">
        <f t="shared" si="22"/>
        <v>2757201</v>
      </c>
      <c r="M90" s="86">
        <f t="shared" si="22"/>
        <v>2844211</v>
      </c>
      <c r="N90" s="1"/>
    </row>
    <row r="91" spans="1:14" x14ac:dyDescent="0.25">
      <c r="A91" s="1"/>
      <c r="B91" s="1"/>
      <c r="C91" s="1"/>
      <c r="D91" s="1"/>
      <c r="E91" s="100"/>
      <c r="F91" s="100"/>
      <c r="G91" s="100"/>
      <c r="H91" s="100"/>
      <c r="I91" s="100"/>
      <c r="J91" s="100"/>
      <c r="K91" s="100"/>
      <c r="L91" s="100"/>
      <c r="M91" s="100"/>
      <c r="N91" s="1"/>
    </row>
    <row r="92" spans="1:14" ht="15.75" x14ac:dyDescent="0.25">
      <c r="A92" s="101"/>
      <c r="B92" s="102"/>
      <c r="C92" s="102"/>
      <c r="D92" s="102"/>
      <c r="E92" s="103"/>
      <c r="F92" s="103"/>
      <c r="G92" s="103"/>
      <c r="H92" s="103"/>
      <c r="I92" s="103"/>
      <c r="J92" s="103"/>
      <c r="K92" s="103"/>
      <c r="L92" s="103"/>
      <c r="M92" s="103"/>
      <c r="N92" s="1"/>
    </row>
    <row r="93" spans="1:14" ht="18.75" thickBot="1" x14ac:dyDescent="0.3">
      <c r="A93" s="639" t="s">
        <v>62</v>
      </c>
      <c r="B93" s="640"/>
      <c r="C93" s="640"/>
      <c r="D93" s="640"/>
      <c r="E93" s="640"/>
      <c r="F93" s="640"/>
      <c r="G93" s="640"/>
      <c r="H93" s="640"/>
      <c r="I93" s="640"/>
      <c r="J93" s="640"/>
      <c r="K93" s="640"/>
      <c r="L93" s="640"/>
      <c r="M93" s="640"/>
      <c r="N93" s="1"/>
    </row>
    <row r="94" spans="1:14" ht="36" customHeight="1" thickBot="1" x14ac:dyDescent="0.3">
      <c r="A94" s="628" t="s">
        <v>1</v>
      </c>
      <c r="B94" s="629"/>
      <c r="C94" s="389" t="s">
        <v>2</v>
      </c>
      <c r="D94" s="388" t="s">
        <v>3</v>
      </c>
      <c r="E94" s="388" t="s">
        <v>190</v>
      </c>
      <c r="F94" s="388" t="s">
        <v>209</v>
      </c>
      <c r="G94" s="494" t="s">
        <v>254</v>
      </c>
      <c r="H94" s="494" t="s">
        <v>338</v>
      </c>
      <c r="I94" s="387" t="s">
        <v>339</v>
      </c>
      <c r="J94" s="387" t="s">
        <v>340</v>
      </c>
      <c r="K94" s="387" t="s">
        <v>255</v>
      </c>
      <c r="L94" s="387" t="s">
        <v>256</v>
      </c>
      <c r="M94" s="387" t="s">
        <v>341</v>
      </c>
      <c r="N94" s="1"/>
    </row>
    <row r="95" spans="1:14" ht="15.75" thickBot="1" x14ac:dyDescent="0.3">
      <c r="A95" s="104" t="s">
        <v>63</v>
      </c>
      <c r="B95" s="105"/>
      <c r="C95" s="106">
        <f t="shared" ref="C95:G95" si="23">SUM(C96:C100)</f>
        <v>156377</v>
      </c>
      <c r="D95" s="107">
        <f t="shared" si="23"/>
        <v>174936</v>
      </c>
      <c r="E95" s="106">
        <f t="shared" si="23"/>
        <v>231640</v>
      </c>
      <c r="F95" s="108">
        <f t="shared" si="23"/>
        <v>231049</v>
      </c>
      <c r="G95" s="108">
        <f t="shared" si="23"/>
        <v>232468</v>
      </c>
      <c r="H95" s="108">
        <f t="shared" ref="H95" si="24">SUM(H96:H100)</f>
        <v>243637</v>
      </c>
      <c r="I95" s="108">
        <f t="shared" ref="I95:M95" si="25">SUM(I96:I100)</f>
        <v>315730</v>
      </c>
      <c r="J95" s="108">
        <f t="shared" si="25"/>
        <v>316050</v>
      </c>
      <c r="K95" s="108">
        <f t="shared" ref="K95" si="26">SUM(K96:K100)</f>
        <v>331300</v>
      </c>
      <c r="L95" s="108">
        <f t="shared" si="25"/>
        <v>318730</v>
      </c>
      <c r="M95" s="108">
        <f t="shared" si="25"/>
        <v>328680</v>
      </c>
      <c r="N95" s="1"/>
    </row>
    <row r="96" spans="1:14" x14ac:dyDescent="0.25">
      <c r="A96" s="109" t="s">
        <v>64</v>
      </c>
      <c r="B96" s="84" t="s">
        <v>65</v>
      </c>
      <c r="C96" s="110">
        <v>80991</v>
      </c>
      <c r="D96" s="111">
        <v>85746</v>
      </c>
      <c r="E96" s="112">
        <v>107957</v>
      </c>
      <c r="F96" s="56">
        <v>109255</v>
      </c>
      <c r="G96" s="56">
        <v>107887</v>
      </c>
      <c r="H96" s="56">
        <v>112333</v>
      </c>
      <c r="I96" s="56">
        <v>155900</v>
      </c>
      <c r="J96" s="56">
        <f t="shared" ref="J96" si="27">155900-1600+1200+800+400</f>
        <v>156700</v>
      </c>
      <c r="K96" s="56">
        <v>171530</v>
      </c>
      <c r="L96" s="56">
        <v>169600</v>
      </c>
      <c r="M96" s="56">
        <v>179600</v>
      </c>
      <c r="N96" s="1"/>
    </row>
    <row r="97" spans="1:14" x14ac:dyDescent="0.25">
      <c r="A97" s="113" t="s">
        <v>66</v>
      </c>
      <c r="B97" s="114" t="s">
        <v>67</v>
      </c>
      <c r="C97" s="62">
        <v>43743</v>
      </c>
      <c r="D97" s="115">
        <v>51946</v>
      </c>
      <c r="E97" s="116">
        <v>68901</v>
      </c>
      <c r="F97" s="61">
        <v>68993</v>
      </c>
      <c r="G97" s="61">
        <v>71900</v>
      </c>
      <c r="H97" s="61">
        <v>73761</v>
      </c>
      <c r="I97" s="61">
        <f>94000+5700</f>
        <v>99700</v>
      </c>
      <c r="J97" s="61">
        <f t="shared" ref="J97" si="28">94000+5700-1000-2000+500-3600+600</f>
        <v>94200</v>
      </c>
      <c r="K97" s="61">
        <v>89970</v>
      </c>
      <c r="L97" s="61">
        <v>89930</v>
      </c>
      <c r="M97" s="61">
        <v>89880</v>
      </c>
      <c r="N97" s="1"/>
    </row>
    <row r="98" spans="1:14" x14ac:dyDescent="0.25">
      <c r="A98" s="113" t="s">
        <v>68</v>
      </c>
      <c r="B98" s="114" t="s">
        <v>69</v>
      </c>
      <c r="C98" s="62">
        <v>1742</v>
      </c>
      <c r="D98" s="115">
        <v>3680</v>
      </c>
      <c r="E98" s="116">
        <v>4907</v>
      </c>
      <c r="F98" s="61">
        <v>538</v>
      </c>
      <c r="G98" s="61">
        <v>2440</v>
      </c>
      <c r="H98" s="61">
        <v>1591</v>
      </c>
      <c r="I98" s="61">
        <v>2500</v>
      </c>
      <c r="J98" s="61">
        <f t="shared" ref="J98" si="29">2500+2000</f>
        <v>4500</v>
      </c>
      <c r="K98" s="61">
        <v>4200</v>
      </c>
      <c r="L98" s="61">
        <v>4200</v>
      </c>
      <c r="M98" s="61">
        <v>4200</v>
      </c>
      <c r="N98" s="1"/>
    </row>
    <row r="99" spans="1:14" x14ac:dyDescent="0.25">
      <c r="A99" s="117" t="s">
        <v>70</v>
      </c>
      <c r="B99" s="114" t="s">
        <v>71</v>
      </c>
      <c r="C99" s="59">
        <v>27812</v>
      </c>
      <c r="D99" s="118">
        <v>31492</v>
      </c>
      <c r="E99" s="116">
        <v>43664</v>
      </c>
      <c r="F99" s="61">
        <v>44203</v>
      </c>
      <c r="G99" s="61">
        <v>45036</v>
      </c>
      <c r="H99" s="61">
        <v>47394</v>
      </c>
      <c r="I99" s="61">
        <v>53600</v>
      </c>
      <c r="J99" s="61">
        <f t="shared" ref="J99" si="30">53600+80</f>
        <v>53680</v>
      </c>
      <c r="K99" s="61">
        <v>55000</v>
      </c>
      <c r="L99" s="61">
        <v>55000</v>
      </c>
      <c r="M99" s="61">
        <v>55000</v>
      </c>
      <c r="N99" s="1"/>
    </row>
    <row r="100" spans="1:14" ht="15.75" thickBot="1" x14ac:dyDescent="0.3">
      <c r="A100" s="119" t="s">
        <v>72</v>
      </c>
      <c r="B100" s="120" t="s">
        <v>201</v>
      </c>
      <c r="C100" s="121">
        <v>2089</v>
      </c>
      <c r="D100" s="122">
        <v>2072</v>
      </c>
      <c r="E100" s="123">
        <v>6211</v>
      </c>
      <c r="F100" s="124">
        <v>8060</v>
      </c>
      <c r="G100" s="124">
        <v>5205</v>
      </c>
      <c r="H100" s="124">
        <v>8558</v>
      </c>
      <c r="I100" s="124">
        <v>4030</v>
      </c>
      <c r="J100" s="124">
        <f t="shared" ref="J100" si="31">4030-970+6000-290-1800</f>
        <v>6970</v>
      </c>
      <c r="K100" s="124">
        <v>10600</v>
      </c>
      <c r="L100" s="124">
        <v>0</v>
      </c>
      <c r="M100" s="124">
        <v>0</v>
      </c>
      <c r="N100" s="1"/>
    </row>
    <row r="101" spans="1:14" ht="15.75" thickBot="1" x14ac:dyDescent="0.3">
      <c r="A101" s="125" t="s">
        <v>73</v>
      </c>
      <c r="B101" s="126"/>
      <c r="C101" s="106">
        <f t="shared" ref="C101:M101" si="32">SUM(C102)</f>
        <v>1395</v>
      </c>
      <c r="D101" s="107">
        <f t="shared" si="32"/>
        <v>1431</v>
      </c>
      <c r="E101" s="106">
        <f t="shared" si="32"/>
        <v>1635</v>
      </c>
      <c r="F101" s="108">
        <f t="shared" ref="F101" si="33">SUM(F102)</f>
        <v>15024.4</v>
      </c>
      <c r="G101" s="108">
        <f t="shared" ref="G101" si="34">SUM(G102)</f>
        <v>19405</v>
      </c>
      <c r="H101" s="108">
        <f t="shared" ref="H101" si="35">SUM(H102)</f>
        <v>6417</v>
      </c>
      <c r="I101" s="108">
        <f t="shared" si="32"/>
        <v>4900</v>
      </c>
      <c r="J101" s="108">
        <f t="shared" ref="J101" si="36">SUM(J102)</f>
        <v>5900</v>
      </c>
      <c r="K101" s="108">
        <f t="shared" si="32"/>
        <v>5000</v>
      </c>
      <c r="L101" s="108">
        <f t="shared" si="32"/>
        <v>4900</v>
      </c>
      <c r="M101" s="108">
        <f t="shared" si="32"/>
        <v>5000</v>
      </c>
      <c r="N101" s="1"/>
    </row>
    <row r="102" spans="1:14" ht="15.75" thickBot="1" x14ac:dyDescent="0.3">
      <c r="A102" s="127" t="s">
        <v>74</v>
      </c>
      <c r="B102" s="102" t="s">
        <v>229</v>
      </c>
      <c r="C102" s="128">
        <v>1395</v>
      </c>
      <c r="D102" s="129">
        <v>1431</v>
      </c>
      <c r="E102" s="128">
        <v>1635</v>
      </c>
      <c r="F102" s="130">
        <v>15024.4</v>
      </c>
      <c r="G102" s="130">
        <v>19405</v>
      </c>
      <c r="H102" s="130">
        <v>6417</v>
      </c>
      <c r="I102" s="130">
        <v>4900</v>
      </c>
      <c r="J102" s="130">
        <f t="shared" ref="J102" si="37">4900+1000</f>
        <v>5900</v>
      </c>
      <c r="K102" s="130">
        <v>5000</v>
      </c>
      <c r="L102" s="130">
        <v>4900</v>
      </c>
      <c r="M102" s="130">
        <v>5000</v>
      </c>
      <c r="N102" s="1"/>
    </row>
    <row r="103" spans="1:14" ht="15.75" thickBot="1" x14ac:dyDescent="0.3">
      <c r="A103" s="125" t="s">
        <v>75</v>
      </c>
      <c r="B103" s="126"/>
      <c r="C103" s="106">
        <f t="shared" ref="C103:E103" si="38">SUM(C104:C105)</f>
        <v>9689</v>
      </c>
      <c r="D103" s="107">
        <f t="shared" si="38"/>
        <v>8988</v>
      </c>
      <c r="E103" s="106">
        <f t="shared" si="38"/>
        <v>11263</v>
      </c>
      <c r="F103" s="108">
        <f t="shared" ref="F103" si="39">SUM(F104:F105)</f>
        <v>11779</v>
      </c>
      <c r="G103" s="108">
        <f t="shared" ref="G103" si="40">SUM(G104:G105)</f>
        <v>12901</v>
      </c>
      <c r="H103" s="108">
        <f t="shared" ref="H103" si="41">SUM(H104:H105)</f>
        <v>15196</v>
      </c>
      <c r="I103" s="108">
        <f t="shared" ref="I103:M103" si="42">SUM(I104:I105)</f>
        <v>26400</v>
      </c>
      <c r="J103" s="108">
        <f t="shared" ref="J103" si="43">SUM(J104:J105)</f>
        <v>41410</v>
      </c>
      <c r="K103" s="108">
        <f t="shared" ref="K103" si="44">SUM(K104:K105)</f>
        <v>24600</v>
      </c>
      <c r="L103" s="108">
        <f t="shared" si="42"/>
        <v>22300</v>
      </c>
      <c r="M103" s="108">
        <f t="shared" si="42"/>
        <v>22300</v>
      </c>
      <c r="N103" s="1"/>
    </row>
    <row r="104" spans="1:14" x14ac:dyDescent="0.25">
      <c r="A104" s="131" t="s">
        <v>76</v>
      </c>
      <c r="B104" s="132" t="s">
        <v>77</v>
      </c>
      <c r="C104" s="133">
        <v>8907</v>
      </c>
      <c r="D104" s="134">
        <v>8297</v>
      </c>
      <c r="E104" s="133">
        <v>10063</v>
      </c>
      <c r="F104" s="135">
        <v>10579</v>
      </c>
      <c r="G104" s="135">
        <v>11158</v>
      </c>
      <c r="H104" s="135">
        <v>13996</v>
      </c>
      <c r="I104" s="135">
        <v>24600</v>
      </c>
      <c r="J104" s="135">
        <f t="shared" ref="J104" si="45">24600+1700+11750-1000</f>
        <v>37050</v>
      </c>
      <c r="K104" s="135">
        <v>21300</v>
      </c>
      <c r="L104" s="135">
        <v>19000</v>
      </c>
      <c r="M104" s="135">
        <v>19000</v>
      </c>
      <c r="N104" s="1"/>
    </row>
    <row r="105" spans="1:14" ht="15.75" thickBot="1" x14ac:dyDescent="0.3">
      <c r="A105" s="136" t="s">
        <v>78</v>
      </c>
      <c r="B105" s="137" t="s">
        <v>79</v>
      </c>
      <c r="C105" s="138">
        <v>782</v>
      </c>
      <c r="D105" s="139">
        <v>691</v>
      </c>
      <c r="E105" s="138">
        <v>1200</v>
      </c>
      <c r="F105" s="124">
        <v>1200</v>
      </c>
      <c r="G105" s="124">
        <v>1743</v>
      </c>
      <c r="H105" s="124">
        <v>1200</v>
      </c>
      <c r="I105" s="124">
        <v>1800</v>
      </c>
      <c r="J105" s="124">
        <f t="shared" ref="J105" si="46">1800+2000+560</f>
        <v>4360</v>
      </c>
      <c r="K105" s="124">
        <v>3300</v>
      </c>
      <c r="L105" s="124">
        <v>3300</v>
      </c>
      <c r="M105" s="124">
        <v>3300</v>
      </c>
      <c r="N105" s="1"/>
    </row>
    <row r="106" spans="1:14" ht="15.75" thickBot="1" x14ac:dyDescent="0.3">
      <c r="A106" s="104" t="s">
        <v>80</v>
      </c>
      <c r="B106" s="140"/>
      <c r="C106" s="106">
        <f t="shared" ref="C106:M106" si="47">SUM(C107:C109)</f>
        <v>56288</v>
      </c>
      <c r="D106" s="107">
        <f t="shared" si="47"/>
        <v>63855</v>
      </c>
      <c r="E106" s="106">
        <f t="shared" si="47"/>
        <v>56565</v>
      </c>
      <c r="F106" s="108">
        <f t="shared" ref="F106" si="48">SUM(F107:F109)</f>
        <v>56275</v>
      </c>
      <c r="G106" s="108">
        <f t="shared" ref="G106" si="49">SUM(G107:G109)</f>
        <v>123539</v>
      </c>
      <c r="H106" s="108">
        <f t="shared" ref="H106" si="50">SUM(H107:H109)</f>
        <v>59938</v>
      </c>
      <c r="I106" s="108">
        <f t="shared" si="47"/>
        <v>81600</v>
      </c>
      <c r="J106" s="108">
        <f t="shared" ref="J106" si="51">SUM(J107:J109)</f>
        <v>87542</v>
      </c>
      <c r="K106" s="108">
        <f t="shared" ref="K106" si="52">SUM(K107:K109)</f>
        <v>106840</v>
      </c>
      <c r="L106" s="108">
        <f t="shared" si="47"/>
        <v>125240</v>
      </c>
      <c r="M106" s="108">
        <f t="shared" si="47"/>
        <v>135240</v>
      </c>
      <c r="N106" s="1"/>
    </row>
    <row r="107" spans="1:14" x14ac:dyDescent="0.25">
      <c r="A107" s="141" t="s">
        <v>81</v>
      </c>
      <c r="B107" s="142" t="s">
        <v>82</v>
      </c>
      <c r="C107" s="54">
        <v>19779</v>
      </c>
      <c r="D107" s="143">
        <v>23803</v>
      </c>
      <c r="E107" s="144">
        <v>22533</v>
      </c>
      <c r="F107" s="55">
        <v>17512</v>
      </c>
      <c r="G107" s="55">
        <v>22224</v>
      </c>
      <c r="H107" s="55">
        <v>21138</v>
      </c>
      <c r="I107" s="55">
        <v>27600</v>
      </c>
      <c r="J107" s="55">
        <f t="shared" ref="J107" si="53">27600+242</f>
        <v>27842</v>
      </c>
      <c r="K107" s="55">
        <v>45900</v>
      </c>
      <c r="L107" s="55">
        <v>32300</v>
      </c>
      <c r="M107" s="55">
        <v>32300</v>
      </c>
      <c r="N107" s="1"/>
    </row>
    <row r="108" spans="1:14" x14ac:dyDescent="0.25">
      <c r="A108" s="117" t="s">
        <v>83</v>
      </c>
      <c r="B108" s="114" t="s">
        <v>84</v>
      </c>
      <c r="C108" s="62">
        <v>17838</v>
      </c>
      <c r="D108" s="145">
        <v>18459</v>
      </c>
      <c r="E108" s="146">
        <v>23593</v>
      </c>
      <c r="F108" s="60">
        <v>24873</v>
      </c>
      <c r="G108" s="60">
        <v>25498</v>
      </c>
      <c r="H108" s="60">
        <v>25064</v>
      </c>
      <c r="I108" s="60">
        <v>33900</v>
      </c>
      <c r="J108" s="60">
        <f t="shared" ref="J108" si="54">33900+600+1150+60+2560+200+2230-1100</f>
        <v>39600</v>
      </c>
      <c r="K108" s="60">
        <v>37440</v>
      </c>
      <c r="L108" s="60">
        <v>39440</v>
      </c>
      <c r="M108" s="60">
        <v>39440</v>
      </c>
      <c r="N108" s="1"/>
    </row>
    <row r="109" spans="1:14" ht="15.75" thickBot="1" x14ac:dyDescent="0.3">
      <c r="A109" s="117" t="s">
        <v>85</v>
      </c>
      <c r="B109" s="114" t="s">
        <v>86</v>
      </c>
      <c r="C109" s="59">
        <v>18671</v>
      </c>
      <c r="D109" s="147">
        <v>21593</v>
      </c>
      <c r="E109" s="148">
        <v>10439</v>
      </c>
      <c r="F109" s="60">
        <v>13890</v>
      </c>
      <c r="G109" s="60">
        <v>75817</v>
      </c>
      <c r="H109" s="60">
        <v>13736</v>
      </c>
      <c r="I109" s="60">
        <v>20100</v>
      </c>
      <c r="J109" s="60">
        <v>20100</v>
      </c>
      <c r="K109" s="60">
        <v>23500</v>
      </c>
      <c r="L109" s="60">
        <v>53500</v>
      </c>
      <c r="M109" s="60">
        <v>63500</v>
      </c>
      <c r="N109" s="1"/>
    </row>
    <row r="110" spans="1:14" ht="15.75" thickBot="1" x14ac:dyDescent="0.3">
      <c r="A110" s="633" t="s">
        <v>87</v>
      </c>
      <c r="B110" s="634"/>
      <c r="C110" s="106">
        <f t="shared" ref="C110:E110" si="55">SUM(C111:C114)</f>
        <v>78137</v>
      </c>
      <c r="D110" s="107">
        <f t="shared" si="55"/>
        <v>81463</v>
      </c>
      <c r="E110" s="106">
        <f t="shared" si="55"/>
        <v>90857</v>
      </c>
      <c r="F110" s="108">
        <f t="shared" ref="F110" si="56">SUM(F111:F114)</f>
        <v>85176</v>
      </c>
      <c r="G110" s="108">
        <f t="shared" ref="G110" si="57">SUM(G111:G114)</f>
        <v>98095</v>
      </c>
      <c r="H110" s="108">
        <f t="shared" ref="H110" si="58">SUM(H111:H114)</f>
        <v>102087</v>
      </c>
      <c r="I110" s="108">
        <f t="shared" ref="I110:M110" si="59">SUM(I111:I114)</f>
        <v>152200</v>
      </c>
      <c r="J110" s="108">
        <f t="shared" ref="J110" si="60">SUM(J111:J114)</f>
        <v>169430</v>
      </c>
      <c r="K110" s="108">
        <f t="shared" ref="K110" si="61">SUM(K111:K114)</f>
        <v>148890</v>
      </c>
      <c r="L110" s="108">
        <f t="shared" si="59"/>
        <v>144800</v>
      </c>
      <c r="M110" s="108">
        <f t="shared" si="59"/>
        <v>163600</v>
      </c>
      <c r="N110" s="1"/>
    </row>
    <row r="111" spans="1:14" x14ac:dyDescent="0.25">
      <c r="A111" s="149" t="s">
        <v>88</v>
      </c>
      <c r="B111" s="150" t="s">
        <v>89</v>
      </c>
      <c r="C111" s="151">
        <v>41225</v>
      </c>
      <c r="D111" s="152">
        <v>46871</v>
      </c>
      <c r="E111" s="153">
        <v>55351</v>
      </c>
      <c r="F111" s="135">
        <v>53221</v>
      </c>
      <c r="G111" s="135">
        <v>57519</v>
      </c>
      <c r="H111" s="135">
        <v>60933</v>
      </c>
      <c r="I111" s="135">
        <v>70400</v>
      </c>
      <c r="J111" s="135">
        <f t="shared" ref="J111" si="62">70400+930+1300</f>
        <v>72630</v>
      </c>
      <c r="K111" s="135">
        <v>84600</v>
      </c>
      <c r="L111" s="135">
        <v>84600</v>
      </c>
      <c r="M111" s="135">
        <v>94600</v>
      </c>
      <c r="N111" s="1"/>
    </row>
    <row r="112" spans="1:14" x14ac:dyDescent="0.25">
      <c r="A112" s="117" t="s">
        <v>90</v>
      </c>
      <c r="B112" s="114" t="s">
        <v>91</v>
      </c>
      <c r="C112" s="154">
        <v>33622</v>
      </c>
      <c r="D112" s="145">
        <v>29509</v>
      </c>
      <c r="E112" s="146">
        <v>30304</v>
      </c>
      <c r="F112" s="148">
        <v>27431</v>
      </c>
      <c r="G112" s="148">
        <v>34393</v>
      </c>
      <c r="H112" s="148">
        <v>33810</v>
      </c>
      <c r="I112" s="148">
        <v>70300</v>
      </c>
      <c r="J112" s="148">
        <f t="shared" ref="J112" si="63">70300+2900+12100</f>
        <v>85300</v>
      </c>
      <c r="K112" s="148">
        <v>50000</v>
      </c>
      <c r="L112" s="148">
        <v>47200</v>
      </c>
      <c r="M112" s="148">
        <v>46000</v>
      </c>
      <c r="N112" s="1"/>
    </row>
    <row r="113" spans="1:14" x14ac:dyDescent="0.25">
      <c r="A113" s="127" t="s">
        <v>92</v>
      </c>
      <c r="B113" s="155" t="s">
        <v>93</v>
      </c>
      <c r="C113" s="156">
        <v>746</v>
      </c>
      <c r="D113" s="157">
        <v>1245</v>
      </c>
      <c r="E113" s="158">
        <v>1073</v>
      </c>
      <c r="F113" s="159">
        <v>1299</v>
      </c>
      <c r="G113" s="159">
        <v>1269</v>
      </c>
      <c r="H113" s="159">
        <v>1302</v>
      </c>
      <c r="I113" s="159">
        <v>1700</v>
      </c>
      <c r="J113" s="159">
        <v>1700</v>
      </c>
      <c r="K113" s="159">
        <v>1800</v>
      </c>
      <c r="L113" s="159">
        <v>1800</v>
      </c>
      <c r="M113" s="159">
        <v>1800</v>
      </c>
      <c r="N113" s="1"/>
    </row>
    <row r="114" spans="1:14" ht="15.75" thickBot="1" x14ac:dyDescent="0.3">
      <c r="A114" s="160" t="s">
        <v>94</v>
      </c>
      <c r="B114" s="161" t="s">
        <v>95</v>
      </c>
      <c r="C114" s="162">
        <v>2544</v>
      </c>
      <c r="D114" s="163">
        <v>3838</v>
      </c>
      <c r="E114" s="164">
        <v>4129</v>
      </c>
      <c r="F114" s="164">
        <v>3225</v>
      </c>
      <c r="G114" s="170">
        <v>4914</v>
      </c>
      <c r="H114" s="164">
        <v>6042</v>
      </c>
      <c r="I114" s="164">
        <v>9800</v>
      </c>
      <c r="J114" s="164">
        <v>9800</v>
      </c>
      <c r="K114" s="170">
        <v>12490</v>
      </c>
      <c r="L114" s="164">
        <v>11200</v>
      </c>
      <c r="M114" s="164">
        <v>21200</v>
      </c>
      <c r="N114" s="1"/>
    </row>
    <row r="115" spans="1:14" ht="15.75" thickBot="1" x14ac:dyDescent="0.3">
      <c r="A115" s="104" t="s">
        <v>96</v>
      </c>
      <c r="B115" s="140"/>
      <c r="C115" s="106">
        <f t="shared" ref="C115:E115" si="64">SUM(C116:C118)</f>
        <v>107398</v>
      </c>
      <c r="D115" s="107">
        <f t="shared" si="64"/>
        <v>124762</v>
      </c>
      <c r="E115" s="106">
        <f t="shared" si="64"/>
        <v>130822</v>
      </c>
      <c r="F115" s="106">
        <f t="shared" ref="F115" si="65">SUM(F116:F118)</f>
        <v>125647</v>
      </c>
      <c r="G115" s="106">
        <f t="shared" ref="G115" si="66">SUM(G116:G118)</f>
        <v>124483</v>
      </c>
      <c r="H115" s="106">
        <f t="shared" ref="H115" si="67">SUM(H116:H118)</f>
        <v>151919</v>
      </c>
      <c r="I115" s="106">
        <f t="shared" ref="I115:M115" si="68">SUM(I116:I118)</f>
        <v>259100</v>
      </c>
      <c r="J115" s="106">
        <f t="shared" ref="J115" si="69">SUM(J116:J118)</f>
        <v>280210</v>
      </c>
      <c r="K115" s="106">
        <f t="shared" ref="K115" si="70">SUM(K116:K118)</f>
        <v>222291</v>
      </c>
      <c r="L115" s="106">
        <f t="shared" si="68"/>
        <v>236141</v>
      </c>
      <c r="M115" s="106">
        <f t="shared" si="68"/>
        <v>255161</v>
      </c>
      <c r="N115" s="1"/>
    </row>
    <row r="116" spans="1:14" x14ac:dyDescent="0.25">
      <c r="A116" s="141" t="s">
        <v>97</v>
      </c>
      <c r="B116" s="84" t="s">
        <v>98</v>
      </c>
      <c r="C116" s="110">
        <v>78470</v>
      </c>
      <c r="D116" s="111">
        <v>88196</v>
      </c>
      <c r="E116" s="165">
        <v>96103</v>
      </c>
      <c r="F116" s="112">
        <v>81828</v>
      </c>
      <c r="G116" s="112">
        <v>92771</v>
      </c>
      <c r="H116" s="112">
        <v>111832</v>
      </c>
      <c r="I116" s="112">
        <v>181000</v>
      </c>
      <c r="J116" s="112">
        <f t="shared" ref="J116" si="71">181000-18200+3780-1000</f>
        <v>165580</v>
      </c>
      <c r="K116" s="112">
        <v>155451</v>
      </c>
      <c r="L116" s="112">
        <v>185841</v>
      </c>
      <c r="M116" s="112">
        <v>204861</v>
      </c>
      <c r="N116" s="1"/>
    </row>
    <row r="117" spans="1:14" x14ac:dyDescent="0.25">
      <c r="A117" s="166" t="s">
        <v>99</v>
      </c>
      <c r="B117" s="114" t="s">
        <v>100</v>
      </c>
      <c r="C117" s="62">
        <v>18042</v>
      </c>
      <c r="D117" s="145">
        <v>16953</v>
      </c>
      <c r="E117" s="146">
        <v>17218</v>
      </c>
      <c r="F117" s="148">
        <v>27299</v>
      </c>
      <c r="G117" s="148">
        <v>18397</v>
      </c>
      <c r="H117" s="148">
        <v>18379</v>
      </c>
      <c r="I117" s="148">
        <v>58200</v>
      </c>
      <c r="J117" s="148">
        <f>58200+15600+12400+105000-105000</f>
        <v>86200</v>
      </c>
      <c r="K117" s="148">
        <v>49600</v>
      </c>
      <c r="L117" s="148">
        <v>34200</v>
      </c>
      <c r="M117" s="148">
        <v>34200</v>
      </c>
      <c r="N117" s="1"/>
    </row>
    <row r="118" spans="1:14" ht="15.75" thickBot="1" x14ac:dyDescent="0.3">
      <c r="A118" s="167" t="s">
        <v>101</v>
      </c>
      <c r="B118" s="161" t="s">
        <v>102</v>
      </c>
      <c r="C118" s="168">
        <v>10886</v>
      </c>
      <c r="D118" s="169">
        <v>19613</v>
      </c>
      <c r="E118" s="170">
        <v>17501</v>
      </c>
      <c r="F118" s="170">
        <v>16520</v>
      </c>
      <c r="G118" s="170">
        <v>13315</v>
      </c>
      <c r="H118" s="170">
        <v>21708</v>
      </c>
      <c r="I118" s="170">
        <v>19900</v>
      </c>
      <c r="J118" s="170">
        <f t="shared" ref="J118" si="72">19900+7500-3000+3790+240</f>
        <v>28430</v>
      </c>
      <c r="K118" s="170">
        <v>17240</v>
      </c>
      <c r="L118" s="170">
        <v>16100</v>
      </c>
      <c r="M118" s="170">
        <v>16100</v>
      </c>
      <c r="N118" s="1"/>
    </row>
    <row r="119" spans="1:14" ht="15.75" thickBot="1" x14ac:dyDescent="0.3">
      <c r="A119" s="171" t="s">
        <v>103</v>
      </c>
      <c r="B119" s="172"/>
      <c r="C119" s="173">
        <f t="shared" ref="C119:E119" si="73">SUM(C120:C123)</f>
        <v>462</v>
      </c>
      <c r="D119" s="174">
        <f t="shared" si="73"/>
        <v>115</v>
      </c>
      <c r="E119" s="173">
        <f t="shared" si="73"/>
        <v>855</v>
      </c>
      <c r="F119" s="173">
        <f t="shared" ref="F119" si="74">SUM(F120:F123)</f>
        <v>216</v>
      </c>
      <c r="G119" s="405">
        <f t="shared" ref="G119" si="75">SUM(G120:G123)</f>
        <v>57760</v>
      </c>
      <c r="H119" s="173">
        <f t="shared" ref="H119" si="76">SUM(H120:H123)</f>
        <v>1097</v>
      </c>
      <c r="I119" s="173">
        <f t="shared" ref="I119:M119" si="77">SUM(I120:I123)</f>
        <v>830</v>
      </c>
      <c r="J119" s="173">
        <f t="shared" ref="J119" si="78">SUM(J120:J123)</f>
        <v>860</v>
      </c>
      <c r="K119" s="173">
        <f t="shared" ref="K119" si="79">SUM(K120:K123)</f>
        <v>830</v>
      </c>
      <c r="L119" s="173">
        <f t="shared" si="77"/>
        <v>800</v>
      </c>
      <c r="M119" s="173">
        <f t="shared" si="77"/>
        <v>800</v>
      </c>
      <c r="N119" s="1"/>
    </row>
    <row r="120" spans="1:14" x14ac:dyDescent="0.25">
      <c r="A120" s="131" t="s">
        <v>104</v>
      </c>
      <c r="B120" s="150" t="s">
        <v>105</v>
      </c>
      <c r="C120" s="175">
        <v>50</v>
      </c>
      <c r="D120" s="176">
        <v>0</v>
      </c>
      <c r="E120" s="153">
        <v>40</v>
      </c>
      <c r="F120" s="177">
        <v>0</v>
      </c>
      <c r="G120" s="177">
        <v>0</v>
      </c>
      <c r="H120" s="177">
        <v>50</v>
      </c>
      <c r="I120" s="177">
        <v>50</v>
      </c>
      <c r="J120" s="177">
        <v>50</v>
      </c>
      <c r="K120" s="177">
        <v>100</v>
      </c>
      <c r="L120" s="177">
        <v>100</v>
      </c>
      <c r="M120" s="177">
        <v>100</v>
      </c>
      <c r="N120" s="1"/>
    </row>
    <row r="121" spans="1:14" x14ac:dyDescent="0.25">
      <c r="A121" s="166" t="s">
        <v>106</v>
      </c>
      <c r="B121" s="114" t="s">
        <v>107</v>
      </c>
      <c r="C121" s="62">
        <v>84</v>
      </c>
      <c r="D121" s="178">
        <v>3</v>
      </c>
      <c r="E121" s="179">
        <v>28</v>
      </c>
      <c r="F121" s="180">
        <v>76</v>
      </c>
      <c r="G121" s="180">
        <v>8</v>
      </c>
      <c r="H121" s="180">
        <v>45</v>
      </c>
      <c r="I121" s="180">
        <v>50</v>
      </c>
      <c r="J121" s="180">
        <v>50</v>
      </c>
      <c r="K121" s="180">
        <v>100</v>
      </c>
      <c r="L121" s="180">
        <v>100</v>
      </c>
      <c r="M121" s="180">
        <v>100</v>
      </c>
      <c r="N121" s="1"/>
    </row>
    <row r="122" spans="1:14" x14ac:dyDescent="0.25">
      <c r="A122" s="166" t="s">
        <v>108</v>
      </c>
      <c r="B122" s="114" t="s">
        <v>109</v>
      </c>
      <c r="C122" s="62">
        <v>328</v>
      </c>
      <c r="D122" s="178">
        <v>112</v>
      </c>
      <c r="E122" s="146">
        <v>487</v>
      </c>
      <c r="F122" s="60">
        <v>140</v>
      </c>
      <c r="G122" s="60">
        <v>235</v>
      </c>
      <c r="H122" s="60">
        <v>235</v>
      </c>
      <c r="I122" s="60">
        <v>730</v>
      </c>
      <c r="J122" s="60">
        <f t="shared" ref="J122" si="80">730+30</f>
        <v>760</v>
      </c>
      <c r="K122" s="60">
        <v>630</v>
      </c>
      <c r="L122" s="60">
        <v>600</v>
      </c>
      <c r="M122" s="60">
        <v>600</v>
      </c>
      <c r="N122" s="1"/>
    </row>
    <row r="123" spans="1:14" ht="15.75" thickBot="1" x14ac:dyDescent="0.3">
      <c r="A123" s="183" t="s">
        <v>110</v>
      </c>
      <c r="B123" s="184" t="s">
        <v>215</v>
      </c>
      <c r="C123" s="185">
        <v>0</v>
      </c>
      <c r="D123" s="186">
        <v>0</v>
      </c>
      <c r="E123" s="123">
        <v>300</v>
      </c>
      <c r="F123" s="187">
        <v>0</v>
      </c>
      <c r="G123" s="397">
        <v>57517</v>
      </c>
      <c r="H123" s="187">
        <v>767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"/>
    </row>
    <row r="124" spans="1:14" ht="15.75" thickBot="1" x14ac:dyDescent="0.3">
      <c r="A124" s="188" t="s">
        <v>111</v>
      </c>
      <c r="B124" s="189"/>
      <c r="C124" s="190">
        <f t="shared" ref="C124:G124" si="81">SUM(C125:C129)</f>
        <v>113224</v>
      </c>
      <c r="D124" s="191">
        <f t="shared" si="81"/>
        <v>129064</v>
      </c>
      <c r="E124" s="190">
        <f t="shared" si="81"/>
        <v>134379</v>
      </c>
      <c r="F124" s="190">
        <f t="shared" ref="F124" si="82">SUM(F125:F129)</f>
        <v>84983</v>
      </c>
      <c r="G124" s="190">
        <f t="shared" si="81"/>
        <v>60618</v>
      </c>
      <c r="H124" s="190">
        <f t="shared" ref="H124" si="83">SUM(H125:H129)</f>
        <v>113059</v>
      </c>
      <c r="I124" s="190">
        <f t="shared" ref="I124:M124" si="84">SUM(I125:I129)</f>
        <v>123600</v>
      </c>
      <c r="J124" s="190">
        <f t="shared" ref="J124" si="85">SUM(J125:J129)</f>
        <v>139129</v>
      </c>
      <c r="K124" s="190">
        <f t="shared" ref="K124" si="86">SUM(K125:K129)</f>
        <v>131400</v>
      </c>
      <c r="L124" s="190">
        <f t="shared" si="84"/>
        <v>125700</v>
      </c>
      <c r="M124" s="190">
        <f t="shared" si="84"/>
        <v>125700</v>
      </c>
      <c r="N124" s="1"/>
    </row>
    <row r="125" spans="1:14" x14ac:dyDescent="0.25">
      <c r="A125" s="149" t="s">
        <v>112</v>
      </c>
      <c r="B125" s="150" t="s">
        <v>113</v>
      </c>
      <c r="C125" s="175">
        <v>14818</v>
      </c>
      <c r="D125" s="152">
        <v>21592</v>
      </c>
      <c r="E125" s="133">
        <v>16936</v>
      </c>
      <c r="F125" s="135">
        <v>11627</v>
      </c>
      <c r="G125" s="135">
        <v>13339</v>
      </c>
      <c r="H125" s="135">
        <v>25260</v>
      </c>
      <c r="I125" s="135">
        <f>48000-3000</f>
        <v>45000</v>
      </c>
      <c r="J125" s="135">
        <f t="shared" ref="J125" si="87">48000-3000+1700+8920+200</f>
        <v>55820</v>
      </c>
      <c r="K125" s="135">
        <v>46000</v>
      </c>
      <c r="L125" s="135">
        <v>40000</v>
      </c>
      <c r="M125" s="135">
        <v>40000</v>
      </c>
      <c r="N125" s="1"/>
    </row>
    <row r="126" spans="1:14" x14ac:dyDescent="0.25">
      <c r="A126" s="192" t="s">
        <v>114</v>
      </c>
      <c r="B126" s="193" t="s">
        <v>115</v>
      </c>
      <c r="C126" s="54">
        <v>77935</v>
      </c>
      <c r="D126" s="194">
        <v>86797</v>
      </c>
      <c r="E126" s="144">
        <v>80713</v>
      </c>
      <c r="F126" s="55">
        <v>14925</v>
      </c>
      <c r="G126" s="55">
        <v>23993</v>
      </c>
      <c r="H126" s="55">
        <v>61382</v>
      </c>
      <c r="I126" s="55">
        <v>47700</v>
      </c>
      <c r="J126" s="55">
        <f t="shared" ref="J126" si="88">47700-1000+500+1600+540-340+12000+300+1858+3000-12000-2200+630+400</f>
        <v>52988</v>
      </c>
      <c r="K126" s="55">
        <v>55500</v>
      </c>
      <c r="L126" s="55">
        <v>57400</v>
      </c>
      <c r="M126" s="55">
        <v>57400</v>
      </c>
      <c r="N126" s="1"/>
    </row>
    <row r="127" spans="1:14" x14ac:dyDescent="0.25">
      <c r="A127" s="192" t="s">
        <v>116</v>
      </c>
      <c r="B127" s="84" t="s">
        <v>117</v>
      </c>
      <c r="C127" s="110">
        <v>3135</v>
      </c>
      <c r="D127" s="195">
        <v>2921</v>
      </c>
      <c r="E127" s="144">
        <v>3189</v>
      </c>
      <c r="F127" s="55">
        <v>8792</v>
      </c>
      <c r="G127" s="55">
        <v>4003</v>
      </c>
      <c r="H127" s="55">
        <v>4467</v>
      </c>
      <c r="I127" s="55">
        <v>5900</v>
      </c>
      <c r="J127" s="55">
        <f t="shared" ref="J127" si="89">5900+500</f>
        <v>6400</v>
      </c>
      <c r="K127" s="55">
        <v>5800</v>
      </c>
      <c r="L127" s="55">
        <v>5800</v>
      </c>
      <c r="M127" s="55">
        <v>5800</v>
      </c>
      <c r="N127" s="1"/>
    </row>
    <row r="128" spans="1:14" x14ac:dyDescent="0.25">
      <c r="A128" s="192" t="s">
        <v>118</v>
      </c>
      <c r="B128" s="84" t="s">
        <v>119</v>
      </c>
      <c r="C128" s="110">
        <v>8294</v>
      </c>
      <c r="D128" s="195">
        <v>9794</v>
      </c>
      <c r="E128" s="144">
        <v>11638</v>
      </c>
      <c r="F128" s="55">
        <v>44656</v>
      </c>
      <c r="G128" s="55">
        <v>15204</v>
      </c>
      <c r="H128" s="55">
        <v>12029</v>
      </c>
      <c r="I128" s="55">
        <v>20000</v>
      </c>
      <c r="J128" s="55">
        <f t="shared" ref="J128" si="90">20000+1-1500+320</f>
        <v>18821</v>
      </c>
      <c r="K128" s="55">
        <v>19000</v>
      </c>
      <c r="L128" s="55">
        <v>17400</v>
      </c>
      <c r="M128" s="55">
        <v>17400</v>
      </c>
      <c r="N128" s="1"/>
    </row>
    <row r="129" spans="1:19" ht="15.75" thickBot="1" x14ac:dyDescent="0.3">
      <c r="A129" s="160" t="s">
        <v>120</v>
      </c>
      <c r="B129" s="161" t="s">
        <v>121</v>
      </c>
      <c r="C129" s="181">
        <v>9042</v>
      </c>
      <c r="D129" s="163">
        <v>7960</v>
      </c>
      <c r="E129" s="170">
        <v>21903</v>
      </c>
      <c r="F129" s="182">
        <v>4983</v>
      </c>
      <c r="G129" s="182">
        <v>4079</v>
      </c>
      <c r="H129" s="182">
        <v>9921</v>
      </c>
      <c r="I129" s="182">
        <v>5000</v>
      </c>
      <c r="J129" s="182">
        <f t="shared" ref="J129" si="91">5000+100</f>
        <v>5100</v>
      </c>
      <c r="K129" s="182">
        <v>5100</v>
      </c>
      <c r="L129" s="182">
        <v>5100</v>
      </c>
      <c r="M129" s="182">
        <v>5100</v>
      </c>
      <c r="N129" s="1"/>
    </row>
    <row r="130" spans="1:19" ht="15.75" thickBot="1" x14ac:dyDescent="0.3">
      <c r="A130" s="125" t="s">
        <v>122</v>
      </c>
      <c r="B130" s="126"/>
      <c r="C130" s="106">
        <f t="shared" ref="C130:I130" si="92">SUM(C131:C137)</f>
        <v>308051</v>
      </c>
      <c r="D130" s="406">
        <f t="shared" si="92"/>
        <v>238428</v>
      </c>
      <c r="E130" s="106">
        <f t="shared" si="92"/>
        <v>293934</v>
      </c>
      <c r="F130" s="107">
        <f t="shared" si="92"/>
        <v>290046</v>
      </c>
      <c r="G130" s="107">
        <f t="shared" si="92"/>
        <v>299921</v>
      </c>
      <c r="H130" s="106">
        <f t="shared" si="92"/>
        <v>330122</v>
      </c>
      <c r="I130" s="106">
        <f t="shared" si="92"/>
        <v>421600</v>
      </c>
      <c r="J130" s="106">
        <f t="shared" ref="J130" si="93">SUM(J131:J137)</f>
        <v>490885</v>
      </c>
      <c r="K130" s="106">
        <f t="shared" ref="K130" si="94">SUM(K131:K137)</f>
        <v>485000</v>
      </c>
      <c r="L130" s="106">
        <f>SUM(L131:L137)</f>
        <v>473500</v>
      </c>
      <c r="M130" s="106">
        <f>SUM(M131:M137)</f>
        <v>483500</v>
      </c>
      <c r="N130" s="1"/>
      <c r="O130" s="27"/>
      <c r="P130" s="27"/>
    </row>
    <row r="131" spans="1:19" x14ac:dyDescent="0.25">
      <c r="A131" s="196" t="s">
        <v>123</v>
      </c>
      <c r="B131" s="197" t="s">
        <v>124</v>
      </c>
      <c r="C131" s="198">
        <v>104500</v>
      </c>
      <c r="D131" s="199">
        <v>108303</v>
      </c>
      <c r="E131" s="200">
        <v>140876</v>
      </c>
      <c r="F131" s="201">
        <v>135336</v>
      </c>
      <c r="G131" s="201">
        <v>141906</v>
      </c>
      <c r="H131" s="201">
        <v>151918</v>
      </c>
      <c r="I131" s="201">
        <v>188100</v>
      </c>
      <c r="J131" s="201">
        <f>188100+7200-6900+1055+600+100+2850</f>
        <v>193005</v>
      </c>
      <c r="K131" s="201">
        <v>203000</v>
      </c>
      <c r="L131" s="201">
        <v>195400</v>
      </c>
      <c r="M131" s="201">
        <v>195400</v>
      </c>
      <c r="N131" s="1"/>
    </row>
    <row r="132" spans="1:19" x14ac:dyDescent="0.25">
      <c r="A132" s="202" t="s">
        <v>126</v>
      </c>
      <c r="B132" s="203" t="s">
        <v>127</v>
      </c>
      <c r="C132" s="59">
        <v>119829</v>
      </c>
      <c r="D132" s="147">
        <v>1639</v>
      </c>
      <c r="E132" s="116">
        <v>2223</v>
      </c>
      <c r="F132" s="61">
        <v>583</v>
      </c>
      <c r="G132" s="61">
        <v>1634</v>
      </c>
      <c r="H132" s="61">
        <v>3111</v>
      </c>
      <c r="I132" s="61">
        <v>3600</v>
      </c>
      <c r="J132" s="61">
        <v>3600</v>
      </c>
      <c r="K132" s="61">
        <v>3700</v>
      </c>
      <c r="L132" s="61">
        <v>3200</v>
      </c>
      <c r="M132" s="61">
        <v>3200</v>
      </c>
      <c r="N132" s="1"/>
    </row>
    <row r="133" spans="1:19" x14ac:dyDescent="0.25">
      <c r="A133" s="202" t="s">
        <v>128</v>
      </c>
      <c r="B133" s="203" t="s">
        <v>129</v>
      </c>
      <c r="C133" s="59">
        <v>10957</v>
      </c>
      <c r="D133" s="147">
        <v>20690</v>
      </c>
      <c r="E133" s="116">
        <v>26156</v>
      </c>
      <c r="F133" s="61">
        <v>21780</v>
      </c>
      <c r="G133" s="61">
        <v>17924</v>
      </c>
      <c r="H133" s="61">
        <v>21799</v>
      </c>
      <c r="I133" s="61">
        <v>29400</v>
      </c>
      <c r="J133" s="61">
        <f t="shared" ref="J133" si="95">29400+2650+1500+5900+10829-4910</f>
        <v>45369</v>
      </c>
      <c r="K133" s="61">
        <v>44380</v>
      </c>
      <c r="L133" s="61">
        <v>44380</v>
      </c>
      <c r="M133" s="61">
        <v>44380</v>
      </c>
      <c r="N133" s="1"/>
    </row>
    <row r="134" spans="1:19" x14ac:dyDescent="0.25">
      <c r="A134" s="202" t="s">
        <v>130</v>
      </c>
      <c r="B134" s="203" t="s">
        <v>131</v>
      </c>
      <c r="C134" s="59">
        <v>16441</v>
      </c>
      <c r="D134" s="147">
        <v>31538</v>
      </c>
      <c r="E134" s="148">
        <v>34790</v>
      </c>
      <c r="F134" s="60">
        <v>22889</v>
      </c>
      <c r="G134" s="60">
        <v>24312</v>
      </c>
      <c r="H134" s="60">
        <v>25980</v>
      </c>
      <c r="I134" s="60">
        <v>32800</v>
      </c>
      <c r="J134" s="60">
        <f t="shared" ref="J134" si="96">32800+2650+5000+5900+20255-4910</f>
        <v>61695</v>
      </c>
      <c r="K134" s="60">
        <v>87002</v>
      </c>
      <c r="L134" s="60">
        <v>87002</v>
      </c>
      <c r="M134" s="60">
        <v>87002</v>
      </c>
      <c r="N134" s="1"/>
      <c r="O134" s="381"/>
      <c r="P134" s="381"/>
      <c r="S134" s="526"/>
    </row>
    <row r="135" spans="1:19" x14ac:dyDescent="0.25">
      <c r="A135" s="202" t="s">
        <v>132</v>
      </c>
      <c r="B135" s="203" t="s">
        <v>199</v>
      </c>
      <c r="C135" s="59">
        <v>16441</v>
      </c>
      <c r="D135" s="147">
        <v>31538</v>
      </c>
      <c r="E135" s="148">
        <v>41280</v>
      </c>
      <c r="F135" s="60">
        <v>95466</v>
      </c>
      <c r="G135" s="60">
        <v>99502</v>
      </c>
      <c r="H135" s="60">
        <v>110851</v>
      </c>
      <c r="I135" s="60">
        <f>147700</f>
        <v>147700</v>
      </c>
      <c r="J135" s="60">
        <f t="shared" ref="J135" si="97">147700+690+4080+3900-574+10920</f>
        <v>166716</v>
      </c>
      <c r="K135" s="60">
        <v>145118</v>
      </c>
      <c r="L135" s="60">
        <v>141718</v>
      </c>
      <c r="M135" s="60">
        <v>151718</v>
      </c>
      <c r="N135" s="27">
        <f>SUM(K133:K135)</f>
        <v>276500</v>
      </c>
      <c r="O135" s="27">
        <f t="shared" ref="O135:P135" si="98">SUM(L133:L135)</f>
        <v>273100</v>
      </c>
      <c r="P135" s="27">
        <f t="shared" si="98"/>
        <v>283100</v>
      </c>
    </row>
    <row r="136" spans="1:19" x14ac:dyDescent="0.25">
      <c r="A136" s="204" t="s">
        <v>133</v>
      </c>
      <c r="B136" s="203" t="s">
        <v>200</v>
      </c>
      <c r="C136" s="205">
        <v>37289</v>
      </c>
      <c r="D136" s="206">
        <v>42027</v>
      </c>
      <c r="E136" s="207">
        <v>45408</v>
      </c>
      <c r="F136" s="208">
        <v>10455</v>
      </c>
      <c r="G136" s="208">
        <v>10450</v>
      </c>
      <c r="H136" s="208">
        <v>11403</v>
      </c>
      <c r="I136" s="208">
        <v>13000</v>
      </c>
      <c r="J136" s="208">
        <f t="shared" ref="J136" si="99">13000+500</f>
        <v>13500</v>
      </c>
      <c r="K136" s="208">
        <v>500</v>
      </c>
      <c r="L136" s="208">
        <v>500</v>
      </c>
      <c r="M136" s="208">
        <v>500</v>
      </c>
      <c r="N136" s="1"/>
    </row>
    <row r="137" spans="1:19" ht="15.75" thickBot="1" x14ac:dyDescent="0.3">
      <c r="A137" s="202" t="s">
        <v>134</v>
      </c>
      <c r="B137" s="203" t="s">
        <v>216</v>
      </c>
      <c r="C137" s="205">
        <v>2594</v>
      </c>
      <c r="D137" s="206">
        <v>2693</v>
      </c>
      <c r="E137" s="207">
        <v>3201</v>
      </c>
      <c r="F137" s="208">
        <v>3537</v>
      </c>
      <c r="G137" s="208">
        <v>4193</v>
      </c>
      <c r="H137" s="208">
        <v>5060</v>
      </c>
      <c r="I137" s="208">
        <v>7000</v>
      </c>
      <c r="J137" s="208">
        <v>7000</v>
      </c>
      <c r="K137" s="208">
        <v>1300</v>
      </c>
      <c r="L137" s="208">
        <v>1300</v>
      </c>
      <c r="M137" s="208">
        <v>1300</v>
      </c>
      <c r="N137" s="1"/>
    </row>
    <row r="138" spans="1:19" ht="15.75" thickBot="1" x14ac:dyDescent="0.3">
      <c r="A138" s="104" t="s">
        <v>135</v>
      </c>
      <c r="B138" s="105"/>
      <c r="C138" s="106">
        <f t="shared" ref="C138:G138" si="100">SUM(C139:C143)</f>
        <v>144398</v>
      </c>
      <c r="D138" s="107">
        <f t="shared" si="100"/>
        <v>164319</v>
      </c>
      <c r="E138" s="106">
        <f t="shared" si="100"/>
        <v>208490</v>
      </c>
      <c r="F138" s="108">
        <f t="shared" ref="F138" si="101">SUM(F139:F143)</f>
        <v>225543</v>
      </c>
      <c r="G138" s="108">
        <f t="shared" si="100"/>
        <v>226265</v>
      </c>
      <c r="H138" s="108">
        <f t="shared" ref="H138" si="102">SUM(H139:H143)</f>
        <v>256253</v>
      </c>
      <c r="I138" s="108">
        <f t="shared" ref="I138:M138" si="103">SUM(I139:I143)</f>
        <v>380400</v>
      </c>
      <c r="J138" s="108">
        <f t="shared" si="103"/>
        <v>443921</v>
      </c>
      <c r="K138" s="108">
        <f t="shared" ref="K138" si="104">SUM(K139:K143)</f>
        <v>345080</v>
      </c>
      <c r="L138" s="108">
        <f t="shared" si="103"/>
        <v>342500</v>
      </c>
      <c r="M138" s="108">
        <f t="shared" si="103"/>
        <v>361600</v>
      </c>
      <c r="N138" s="1"/>
    </row>
    <row r="139" spans="1:19" x14ac:dyDescent="0.25">
      <c r="A139" s="192" t="s">
        <v>136</v>
      </c>
      <c r="B139" s="84" t="s">
        <v>230</v>
      </c>
      <c r="C139" s="110">
        <v>110782</v>
      </c>
      <c r="D139" s="195">
        <v>133003</v>
      </c>
      <c r="E139" s="144">
        <v>192284</v>
      </c>
      <c r="F139" s="55">
        <v>211686</v>
      </c>
      <c r="G139" s="55">
        <v>216037</v>
      </c>
      <c r="H139" s="55">
        <v>240260</v>
      </c>
      <c r="I139" s="55">
        <v>322000</v>
      </c>
      <c r="J139" s="55">
        <f>322000+26200-670+1800-1600+400+160+1980+400+8251+900</f>
        <v>359821</v>
      </c>
      <c r="K139" s="55">
        <v>329300</v>
      </c>
      <c r="L139" s="55">
        <v>327500</v>
      </c>
      <c r="M139" s="55">
        <v>346600</v>
      </c>
      <c r="N139" s="1"/>
    </row>
    <row r="140" spans="1:19" x14ac:dyDescent="0.25">
      <c r="A140" s="192" t="s">
        <v>137</v>
      </c>
      <c r="B140" s="84" t="s">
        <v>138</v>
      </c>
      <c r="C140" s="110">
        <v>6436</v>
      </c>
      <c r="D140" s="195">
        <v>3638</v>
      </c>
      <c r="E140" s="144">
        <v>3241</v>
      </c>
      <c r="F140" s="55">
        <v>490</v>
      </c>
      <c r="G140" s="55">
        <v>174</v>
      </c>
      <c r="H140" s="55">
        <v>382</v>
      </c>
      <c r="I140" s="55">
        <v>500</v>
      </c>
      <c r="J140" s="55">
        <f t="shared" ref="J140" si="105">500+170+360+20-230+100</f>
        <v>920</v>
      </c>
      <c r="K140" s="55">
        <v>680</v>
      </c>
      <c r="L140" s="55">
        <v>500</v>
      </c>
      <c r="M140" s="55">
        <v>500</v>
      </c>
      <c r="N140" s="1"/>
    </row>
    <row r="141" spans="1:19" x14ac:dyDescent="0.25">
      <c r="A141" s="117" t="s">
        <v>139</v>
      </c>
      <c r="B141" s="114" t="s">
        <v>140</v>
      </c>
      <c r="C141" s="62">
        <v>27180</v>
      </c>
      <c r="D141" s="145">
        <v>27678</v>
      </c>
      <c r="E141" s="146">
        <v>12665</v>
      </c>
      <c r="F141" s="60">
        <v>13300</v>
      </c>
      <c r="G141" s="60">
        <v>10054</v>
      </c>
      <c r="H141" s="60">
        <v>11894</v>
      </c>
      <c r="I141" s="60">
        <v>56900</v>
      </c>
      <c r="J141" s="60">
        <f>56900+16000+2550+6330+1500-6200+5100</f>
        <v>82180</v>
      </c>
      <c r="K141" s="60">
        <v>14100</v>
      </c>
      <c r="L141" s="60">
        <v>13500</v>
      </c>
      <c r="M141" s="60">
        <v>13500</v>
      </c>
      <c r="N141" s="1"/>
    </row>
    <row r="142" spans="1:19" x14ac:dyDescent="0.25">
      <c r="A142" s="117" t="s">
        <v>141</v>
      </c>
      <c r="B142" s="114" t="s">
        <v>142</v>
      </c>
      <c r="C142" s="62">
        <v>0</v>
      </c>
      <c r="D142" s="145">
        <v>0</v>
      </c>
      <c r="E142" s="146">
        <v>0</v>
      </c>
      <c r="F142" s="60">
        <v>67</v>
      </c>
      <c r="G142" s="60">
        <v>0</v>
      </c>
      <c r="H142" s="60">
        <v>3217</v>
      </c>
      <c r="I142" s="60">
        <v>500</v>
      </c>
      <c r="J142" s="60">
        <f>500</f>
        <v>500</v>
      </c>
      <c r="K142" s="60">
        <v>500</v>
      </c>
      <c r="L142" s="60">
        <v>500</v>
      </c>
      <c r="M142" s="60">
        <v>500</v>
      </c>
      <c r="N142" s="1"/>
    </row>
    <row r="143" spans="1:19" ht="15.75" thickBot="1" x14ac:dyDescent="0.3">
      <c r="A143" s="160" t="s">
        <v>143</v>
      </c>
      <c r="B143" s="161" t="s">
        <v>144</v>
      </c>
      <c r="C143" s="181">
        <v>0</v>
      </c>
      <c r="D143" s="163">
        <v>0</v>
      </c>
      <c r="E143" s="164">
        <v>300</v>
      </c>
      <c r="F143" s="182">
        <v>0</v>
      </c>
      <c r="G143" s="182">
        <v>0</v>
      </c>
      <c r="H143" s="182">
        <v>500</v>
      </c>
      <c r="I143" s="182">
        <v>500</v>
      </c>
      <c r="J143" s="182">
        <f>500+21600-21600</f>
        <v>500</v>
      </c>
      <c r="K143" s="182">
        <v>500</v>
      </c>
      <c r="L143" s="182">
        <v>500</v>
      </c>
      <c r="M143" s="182">
        <v>500</v>
      </c>
      <c r="N143" s="1"/>
      <c r="O143" s="27"/>
      <c r="P143" s="27"/>
    </row>
    <row r="144" spans="1:19" ht="24.75" customHeight="1" thickBot="1" x14ac:dyDescent="0.3">
      <c r="A144" s="209" t="s">
        <v>145</v>
      </c>
      <c r="B144" s="172"/>
      <c r="C144" s="210">
        <f t="shared" ref="C144:I144" si="106">SUM(C95+C101+C103+C106+C110+C115+C119+C124+C130+C138)</f>
        <v>975419</v>
      </c>
      <c r="D144" s="211">
        <f t="shared" si="106"/>
        <v>987361</v>
      </c>
      <c r="E144" s="210">
        <f t="shared" si="106"/>
        <v>1160440</v>
      </c>
      <c r="F144" s="210">
        <f t="shared" si="106"/>
        <v>1125738.3999999999</v>
      </c>
      <c r="G144" s="212">
        <f t="shared" si="106"/>
        <v>1255455</v>
      </c>
      <c r="H144" s="212">
        <f t="shared" si="106"/>
        <v>1279725</v>
      </c>
      <c r="I144" s="212">
        <f t="shared" si="106"/>
        <v>1766360</v>
      </c>
      <c r="J144" s="250">
        <f t="shared" ref="J144" si="107">SUM(J95+J101+J103+J106+J110+J115+J119+J124+J130+J138)</f>
        <v>1975337</v>
      </c>
      <c r="K144" s="212">
        <f t="shared" ref="K144" si="108">SUM(K95+K101+K103+K106+K110+K115+K119+K124+K130+K138)</f>
        <v>1801231</v>
      </c>
      <c r="L144" s="212">
        <f>SUM(L95+L101+L103+L106+L110+L115+L119+L124+L130+L138)</f>
        <v>1794611</v>
      </c>
      <c r="M144" s="212">
        <f>SUM(M95+M101+M103+M106+M110+M115+M119+M124+M130+M138)</f>
        <v>1881581</v>
      </c>
      <c r="N144" s="1"/>
      <c r="O144" s="27"/>
      <c r="P144" s="27"/>
    </row>
    <row r="145" spans="1:16" x14ac:dyDescent="0.25">
      <c r="A145" s="572" t="s">
        <v>125</v>
      </c>
      <c r="B145" s="213" t="s">
        <v>146</v>
      </c>
      <c r="C145" s="214">
        <f t="shared" ref="C145:J145" si="109">C80</f>
        <v>438144</v>
      </c>
      <c r="D145" s="215">
        <f t="shared" si="109"/>
        <v>446556</v>
      </c>
      <c r="E145" s="372">
        <f t="shared" si="109"/>
        <v>486612</v>
      </c>
      <c r="F145" s="372">
        <f t="shared" si="109"/>
        <v>549196</v>
      </c>
      <c r="G145" s="216">
        <f t="shared" si="109"/>
        <v>565776</v>
      </c>
      <c r="H145" s="216">
        <f t="shared" si="109"/>
        <v>596455</v>
      </c>
      <c r="I145" s="216">
        <f t="shared" si="109"/>
        <v>571450</v>
      </c>
      <c r="J145" s="216">
        <f t="shared" si="109"/>
        <v>651574</v>
      </c>
      <c r="K145" s="216">
        <f>K80+K216</f>
        <v>643550</v>
      </c>
      <c r="L145" s="216">
        <f>L80</f>
        <v>641450</v>
      </c>
      <c r="M145" s="216">
        <f>M80</f>
        <v>641450</v>
      </c>
      <c r="N145" s="1"/>
      <c r="O145" s="27"/>
      <c r="P145" s="27"/>
    </row>
    <row r="146" spans="1:16" x14ac:dyDescent="0.25">
      <c r="A146" s="573" t="s">
        <v>125</v>
      </c>
      <c r="B146" s="227" t="s">
        <v>365</v>
      </c>
      <c r="C146" s="228"/>
      <c r="D146" s="229"/>
      <c r="E146" s="229"/>
      <c r="F146" s="229">
        <v>0</v>
      </c>
      <c r="G146" s="230">
        <v>0</v>
      </c>
      <c r="H146" s="230">
        <v>0</v>
      </c>
      <c r="I146" s="230">
        <v>0</v>
      </c>
      <c r="J146" s="230">
        <v>6800</v>
      </c>
      <c r="K146" s="230">
        <f>K79</f>
        <v>19272</v>
      </c>
      <c r="L146" s="230">
        <f t="shared" ref="L146:M146" si="110">L79</f>
        <v>0</v>
      </c>
      <c r="M146" s="230">
        <f t="shared" si="110"/>
        <v>0</v>
      </c>
      <c r="N146" s="1"/>
      <c r="O146" s="27"/>
      <c r="P146" s="27"/>
    </row>
    <row r="147" spans="1:16" x14ac:dyDescent="0.25">
      <c r="A147" s="574" t="s">
        <v>125</v>
      </c>
      <c r="B147" s="218" t="s">
        <v>147</v>
      </c>
      <c r="C147" s="219">
        <f>C82</f>
        <v>5446</v>
      </c>
      <c r="D147" s="220">
        <f>D82+100</f>
        <v>7693</v>
      </c>
      <c r="E147" s="373">
        <f t="shared" ref="E147:M147" si="111">E82</f>
        <v>7551</v>
      </c>
      <c r="F147" s="373">
        <f t="shared" si="111"/>
        <v>355</v>
      </c>
      <c r="G147" s="221">
        <f t="shared" si="111"/>
        <v>1801</v>
      </c>
      <c r="H147" s="221">
        <f t="shared" si="111"/>
        <v>3603</v>
      </c>
      <c r="I147" s="221">
        <f t="shared" si="111"/>
        <v>2450</v>
      </c>
      <c r="J147" s="221">
        <f t="shared" si="111"/>
        <v>2450</v>
      </c>
      <c r="K147" s="221">
        <f t="shared" si="111"/>
        <v>1550</v>
      </c>
      <c r="L147" s="221">
        <f t="shared" si="111"/>
        <v>1550</v>
      </c>
      <c r="M147" s="221">
        <f t="shared" si="111"/>
        <v>1550</v>
      </c>
      <c r="N147" s="1"/>
    </row>
    <row r="148" spans="1:16" x14ac:dyDescent="0.25">
      <c r="A148" s="574" t="s">
        <v>125</v>
      </c>
      <c r="B148" s="218" t="s">
        <v>148</v>
      </c>
      <c r="C148" s="219">
        <v>0</v>
      </c>
      <c r="D148" s="220">
        <v>0</v>
      </c>
      <c r="E148" s="373">
        <v>50402</v>
      </c>
      <c r="F148" s="373">
        <v>28608</v>
      </c>
      <c r="G148" s="673">
        <v>8097</v>
      </c>
      <c r="H148" s="221">
        <f>H84</f>
        <v>0</v>
      </c>
      <c r="I148" s="221">
        <f>I84</f>
        <v>0</v>
      </c>
      <c r="J148" s="221">
        <v>0</v>
      </c>
      <c r="K148" s="221">
        <f>K84</f>
        <v>0</v>
      </c>
      <c r="L148" s="221">
        <f>L84</f>
        <v>0</v>
      </c>
      <c r="M148" s="221">
        <f>M84</f>
        <v>0</v>
      </c>
      <c r="N148" s="1"/>
      <c r="O148" s="27"/>
      <c r="P148" s="27"/>
    </row>
    <row r="149" spans="1:16" ht="15.75" thickBot="1" x14ac:dyDescent="0.3">
      <c r="A149" s="575" t="s">
        <v>125</v>
      </c>
      <c r="B149" s="222" t="s">
        <v>149</v>
      </c>
      <c r="C149" s="223">
        <v>0</v>
      </c>
      <c r="D149" s="224">
        <v>0</v>
      </c>
      <c r="E149" s="374">
        <v>2702</v>
      </c>
      <c r="F149" s="374">
        <v>1605</v>
      </c>
      <c r="G149" s="225">
        <v>765</v>
      </c>
      <c r="H149" s="225">
        <v>0</v>
      </c>
      <c r="I149" s="225">
        <v>0</v>
      </c>
      <c r="J149" s="225">
        <v>4800</v>
      </c>
      <c r="K149" s="225">
        <v>1700</v>
      </c>
      <c r="L149" s="225">
        <v>0</v>
      </c>
      <c r="M149" s="225">
        <v>0</v>
      </c>
      <c r="N149" s="27">
        <f>SUM(K145:K149)</f>
        <v>666072</v>
      </c>
    </row>
    <row r="150" spans="1:16" x14ac:dyDescent="0.25">
      <c r="A150" s="226" t="s">
        <v>126</v>
      </c>
      <c r="B150" s="227" t="s">
        <v>150</v>
      </c>
      <c r="C150" s="228">
        <v>19000</v>
      </c>
      <c r="D150" s="229">
        <f>22500-2500</f>
        <v>20000</v>
      </c>
      <c r="E150" s="375">
        <v>22500</v>
      </c>
      <c r="F150" s="375">
        <v>32600</v>
      </c>
      <c r="G150" s="230">
        <v>32600</v>
      </c>
      <c r="H150" s="230">
        <v>33600</v>
      </c>
      <c r="I150" s="230">
        <v>35400</v>
      </c>
      <c r="J150" s="230">
        <v>35400</v>
      </c>
      <c r="K150" s="230">
        <v>34400</v>
      </c>
      <c r="L150" s="230">
        <v>34400</v>
      </c>
      <c r="M150" s="230">
        <v>34400</v>
      </c>
      <c r="N150" s="27"/>
    </row>
    <row r="151" spans="1:16" ht="15.75" thickBot="1" x14ac:dyDescent="0.3">
      <c r="A151" s="217" t="s">
        <v>126</v>
      </c>
      <c r="B151" s="218" t="s">
        <v>151</v>
      </c>
      <c r="C151" s="219">
        <f t="shared" ref="C151:I151" si="112">C83</f>
        <v>1300</v>
      </c>
      <c r="D151" s="220">
        <f t="shared" si="112"/>
        <v>1300</v>
      </c>
      <c r="E151" s="373">
        <f t="shared" si="112"/>
        <v>1308</v>
      </c>
      <c r="F151" s="373">
        <f t="shared" si="112"/>
        <v>1250</v>
      </c>
      <c r="G151" s="221">
        <f t="shared" si="112"/>
        <v>1468</v>
      </c>
      <c r="H151" s="221">
        <f t="shared" si="112"/>
        <v>1752</v>
      </c>
      <c r="I151" s="221">
        <f t="shared" si="112"/>
        <v>2600</v>
      </c>
      <c r="J151" s="221">
        <v>2600</v>
      </c>
      <c r="K151" s="221">
        <f>K83</f>
        <v>3600</v>
      </c>
      <c r="L151" s="221">
        <f>L83</f>
        <v>3600</v>
      </c>
      <c r="M151" s="221">
        <f>M83</f>
        <v>3600</v>
      </c>
      <c r="N151" s="27">
        <f>SUM(K150:K151)</f>
        <v>38000</v>
      </c>
    </row>
    <row r="152" spans="1:16" ht="15.75" thickBot="1" x14ac:dyDescent="0.3">
      <c r="A152" s="635" t="s">
        <v>152</v>
      </c>
      <c r="B152" s="636"/>
      <c r="C152" s="231">
        <f t="shared" ref="C152:G152" si="113">SUM(C145:C151)</f>
        <v>463890</v>
      </c>
      <c r="D152" s="232">
        <f t="shared" si="113"/>
        <v>475549</v>
      </c>
      <c r="E152" s="376">
        <f t="shared" si="113"/>
        <v>571075</v>
      </c>
      <c r="F152" s="376">
        <f t="shared" si="113"/>
        <v>613614</v>
      </c>
      <c r="G152" s="233">
        <f t="shared" si="113"/>
        <v>610507</v>
      </c>
      <c r="H152" s="233">
        <f t="shared" ref="H152" si="114">SUM(H145:H151)</f>
        <v>635410</v>
      </c>
      <c r="I152" s="233">
        <f t="shared" ref="I152:M152" si="115">SUM(I145:I151)</f>
        <v>611900</v>
      </c>
      <c r="J152" s="233">
        <f t="shared" si="115"/>
        <v>703624</v>
      </c>
      <c r="K152" s="233">
        <f>SUM(K145:K151)</f>
        <v>704072</v>
      </c>
      <c r="L152" s="233">
        <f t="shared" si="115"/>
        <v>681000</v>
      </c>
      <c r="M152" s="233">
        <f t="shared" si="115"/>
        <v>681000</v>
      </c>
      <c r="N152" s="27"/>
    </row>
    <row r="153" spans="1:16" x14ac:dyDescent="0.25">
      <c r="A153" s="234" t="s">
        <v>126</v>
      </c>
      <c r="B153" s="235" t="s">
        <v>153</v>
      </c>
      <c r="C153" s="236">
        <f>69000-4930</f>
        <v>64070</v>
      </c>
      <c r="D153" s="237">
        <f>190500+13510-9254</f>
        <v>194756</v>
      </c>
      <c r="E153" s="236">
        <f t="shared" ref="E153" si="116">190500+13510</f>
        <v>204010</v>
      </c>
      <c r="F153" s="398">
        <v>247438</v>
      </c>
      <c r="G153" s="238">
        <v>217828</v>
      </c>
      <c r="H153" s="238">
        <v>257640</v>
      </c>
      <c r="I153" s="238">
        <f>278720+13000</f>
        <v>291720</v>
      </c>
      <c r="J153" s="238">
        <f t="shared" ref="J153" si="117">278720+13000</f>
        <v>291720</v>
      </c>
      <c r="K153" s="238">
        <v>294050</v>
      </c>
      <c r="L153" s="238">
        <v>295150</v>
      </c>
      <c r="M153" s="238">
        <v>295150</v>
      </c>
      <c r="N153" s="1"/>
    </row>
    <row r="154" spans="1:16" x14ac:dyDescent="0.25">
      <c r="A154" s="239" t="s">
        <v>126</v>
      </c>
      <c r="B154" s="240" t="s">
        <v>275</v>
      </c>
      <c r="C154" s="241"/>
      <c r="D154" s="242">
        <v>0</v>
      </c>
      <c r="E154" s="241">
        <v>0</v>
      </c>
      <c r="F154" s="399">
        <v>0</v>
      </c>
      <c r="G154" s="89">
        <f>35981+420</f>
        <v>36401</v>
      </c>
      <c r="H154" s="89">
        <v>0</v>
      </c>
      <c r="I154" s="89">
        <v>0</v>
      </c>
      <c r="J154" s="89">
        <v>0</v>
      </c>
      <c r="K154" s="89">
        <v>0</v>
      </c>
      <c r="L154" s="89">
        <v>0</v>
      </c>
      <c r="M154" s="89">
        <v>0</v>
      </c>
      <c r="N154" s="27"/>
    </row>
    <row r="155" spans="1:16" ht="15.75" thickBot="1" x14ac:dyDescent="0.3">
      <c r="A155" s="239" t="s">
        <v>126</v>
      </c>
      <c r="B155" s="240" t="s">
        <v>154</v>
      </c>
      <c r="C155" s="241">
        <f>C87</f>
        <v>4930</v>
      </c>
      <c r="D155" s="242">
        <f>D87</f>
        <v>10244</v>
      </c>
      <c r="E155" s="241">
        <f>E87</f>
        <v>11710</v>
      </c>
      <c r="F155" s="399">
        <v>11266</v>
      </c>
      <c r="G155" s="89">
        <f>G87</f>
        <v>11355</v>
      </c>
      <c r="H155" s="89">
        <f>H87</f>
        <v>11185</v>
      </c>
      <c r="I155" s="89">
        <f>I87</f>
        <v>10980</v>
      </c>
      <c r="J155" s="89">
        <f t="shared" ref="J155" si="118">J87</f>
        <v>12200</v>
      </c>
      <c r="K155" s="89">
        <f>K87</f>
        <v>12350</v>
      </c>
      <c r="L155" s="89">
        <f>L87</f>
        <v>12350</v>
      </c>
      <c r="M155" s="89">
        <f>M87</f>
        <v>12350</v>
      </c>
      <c r="N155" s="1"/>
    </row>
    <row r="156" spans="1:16" ht="15.75" thickBot="1" x14ac:dyDescent="0.3">
      <c r="A156" s="637" t="s">
        <v>155</v>
      </c>
      <c r="B156" s="638"/>
      <c r="C156" s="243">
        <f t="shared" ref="C156:D156" si="119">SUM(C153:C155)</f>
        <v>69000</v>
      </c>
      <c r="D156" s="244">
        <f t="shared" si="119"/>
        <v>205000</v>
      </c>
      <c r="E156" s="243">
        <f t="shared" ref="E156:G156" si="120">SUM(E153:E155)</f>
        <v>215720</v>
      </c>
      <c r="F156" s="243">
        <f t="shared" ref="F156" si="121">SUM(F153:F155)</f>
        <v>258704</v>
      </c>
      <c r="G156" s="245">
        <f t="shared" si="120"/>
        <v>265584</v>
      </c>
      <c r="H156" s="245">
        <f t="shared" ref="H156" si="122">SUM(H153:H155)</f>
        <v>268825</v>
      </c>
      <c r="I156" s="245">
        <f t="shared" ref="I156:M156" si="123">SUM(I153:I155)</f>
        <v>302700</v>
      </c>
      <c r="J156" s="245">
        <f t="shared" ref="J156" si="124">SUM(J153:J155)</f>
        <v>303920</v>
      </c>
      <c r="K156" s="245">
        <f t="shared" ref="K156" si="125">SUM(K153:K155)</f>
        <v>306400</v>
      </c>
      <c r="L156" s="245">
        <f t="shared" si="123"/>
        <v>307500</v>
      </c>
      <c r="M156" s="245">
        <f t="shared" si="123"/>
        <v>307500</v>
      </c>
      <c r="N156" s="1"/>
    </row>
    <row r="157" spans="1:16" ht="22.5" customHeight="1" thickBot="1" x14ac:dyDescent="0.3">
      <c r="A157" s="631" t="s">
        <v>156</v>
      </c>
      <c r="B157" s="632"/>
      <c r="C157" s="246">
        <f t="shared" ref="C157:G157" si="126">C152+C156</f>
        <v>532890</v>
      </c>
      <c r="D157" s="247">
        <f t="shared" si="126"/>
        <v>680549</v>
      </c>
      <c r="E157" s="246">
        <f t="shared" si="126"/>
        <v>786795</v>
      </c>
      <c r="F157" s="246">
        <f t="shared" ref="F157" si="127">F152+F156</f>
        <v>872318</v>
      </c>
      <c r="G157" s="248">
        <f t="shared" si="126"/>
        <v>876091</v>
      </c>
      <c r="H157" s="248">
        <f t="shared" ref="H157" si="128">H152+H156</f>
        <v>904235</v>
      </c>
      <c r="I157" s="248">
        <f t="shared" ref="I157:M157" si="129">I152+I156</f>
        <v>914600</v>
      </c>
      <c r="J157" s="248">
        <f t="shared" si="129"/>
        <v>1007544</v>
      </c>
      <c r="K157" s="248">
        <f t="shared" ref="K157" si="130">K152+K156</f>
        <v>1010472</v>
      </c>
      <c r="L157" s="248">
        <f t="shared" si="129"/>
        <v>988500</v>
      </c>
      <c r="M157" s="248">
        <f t="shared" si="129"/>
        <v>988500</v>
      </c>
      <c r="N157" s="1"/>
    </row>
    <row r="158" spans="1:16" ht="27.75" customHeight="1" thickBot="1" x14ac:dyDescent="0.3">
      <c r="A158" s="249" t="s">
        <v>157</v>
      </c>
      <c r="B158" s="140"/>
      <c r="C158" s="250">
        <f t="shared" ref="C158:M158" si="131">C144+C157</f>
        <v>1508309</v>
      </c>
      <c r="D158" s="251">
        <f t="shared" si="131"/>
        <v>1667910</v>
      </c>
      <c r="E158" s="250">
        <f t="shared" si="131"/>
        <v>1947235</v>
      </c>
      <c r="F158" s="250">
        <f t="shared" ref="F158" si="132">F144+F157</f>
        <v>1998056.4</v>
      </c>
      <c r="G158" s="252">
        <f t="shared" si="131"/>
        <v>2131546</v>
      </c>
      <c r="H158" s="252">
        <f t="shared" si="131"/>
        <v>2183960</v>
      </c>
      <c r="I158" s="252">
        <f t="shared" si="131"/>
        <v>2680960</v>
      </c>
      <c r="J158" s="252">
        <f t="shared" si="131"/>
        <v>2982881</v>
      </c>
      <c r="K158" s="252">
        <f>K144+K157</f>
        <v>2811703</v>
      </c>
      <c r="L158" s="252">
        <f t="shared" si="131"/>
        <v>2783111</v>
      </c>
      <c r="M158" s="252">
        <f t="shared" si="131"/>
        <v>2870081</v>
      </c>
      <c r="N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25" ht="18.75" thickBot="1" x14ac:dyDescent="0.3">
      <c r="A161" s="643" t="s">
        <v>158</v>
      </c>
      <c r="B161" s="644"/>
      <c r="C161" s="644"/>
      <c r="D161" s="644"/>
      <c r="E161" s="644"/>
      <c r="F161" s="644"/>
      <c r="G161" s="644"/>
      <c r="H161" s="644"/>
      <c r="I161" s="644"/>
      <c r="J161" s="644"/>
      <c r="K161" s="644"/>
      <c r="L161" s="644"/>
      <c r="M161" s="644"/>
      <c r="N161" s="1"/>
    </row>
    <row r="162" spans="1:25" ht="38.25" customHeight="1" thickBot="1" x14ac:dyDescent="0.3">
      <c r="A162" s="628" t="s">
        <v>1</v>
      </c>
      <c r="B162" s="630"/>
      <c r="C162" s="388" t="s">
        <v>2</v>
      </c>
      <c r="D162" s="388" t="s">
        <v>3</v>
      </c>
      <c r="E162" s="388" t="s">
        <v>190</v>
      </c>
      <c r="F162" s="388" t="s">
        <v>209</v>
      </c>
      <c r="G162" s="494" t="s">
        <v>254</v>
      </c>
      <c r="H162" s="494" t="s">
        <v>338</v>
      </c>
      <c r="I162" s="387" t="s">
        <v>339</v>
      </c>
      <c r="J162" s="387" t="s">
        <v>340</v>
      </c>
      <c r="K162" s="387" t="s">
        <v>255</v>
      </c>
      <c r="L162" s="387" t="s">
        <v>256</v>
      </c>
      <c r="M162" s="387" t="s">
        <v>341</v>
      </c>
      <c r="N162" s="1"/>
    </row>
    <row r="163" spans="1:25" ht="16.5" thickBot="1" x14ac:dyDescent="0.3">
      <c r="A163" s="622" t="s">
        <v>159</v>
      </c>
      <c r="B163" s="623"/>
      <c r="C163" s="253">
        <f t="shared" ref="C163:M163" si="133">SUM(C164:C175)</f>
        <v>10502</v>
      </c>
      <c r="D163" s="253">
        <f t="shared" si="133"/>
        <v>445</v>
      </c>
      <c r="E163" s="253">
        <f t="shared" si="133"/>
        <v>196343</v>
      </c>
      <c r="F163" s="253">
        <f t="shared" si="133"/>
        <v>118970</v>
      </c>
      <c r="G163" s="253">
        <f t="shared" si="133"/>
        <v>93063</v>
      </c>
      <c r="H163" s="253">
        <f t="shared" si="133"/>
        <v>79290</v>
      </c>
      <c r="I163" s="253">
        <f t="shared" si="133"/>
        <v>869220</v>
      </c>
      <c r="J163" s="253">
        <f t="shared" si="133"/>
        <v>618220</v>
      </c>
      <c r="K163" s="253">
        <f t="shared" si="133"/>
        <v>1143050</v>
      </c>
      <c r="L163" s="253">
        <f t="shared" si="133"/>
        <v>0</v>
      </c>
      <c r="M163" s="253">
        <f t="shared" si="133"/>
        <v>0</v>
      </c>
      <c r="N163" s="1"/>
    </row>
    <row r="164" spans="1:25" ht="15.75" thickBot="1" x14ac:dyDescent="0.3">
      <c r="A164" s="77">
        <v>231</v>
      </c>
      <c r="B164" s="478" t="s">
        <v>258</v>
      </c>
      <c r="C164" s="254">
        <v>5251</v>
      </c>
      <c r="D164" s="254">
        <v>0</v>
      </c>
      <c r="E164" s="254">
        <v>0</v>
      </c>
      <c r="F164" s="254">
        <v>0</v>
      </c>
      <c r="G164" s="255">
        <v>0</v>
      </c>
      <c r="H164" s="255">
        <v>3991</v>
      </c>
      <c r="I164" s="255">
        <v>0</v>
      </c>
      <c r="J164" s="255">
        <v>0</v>
      </c>
      <c r="K164" s="255">
        <v>0</v>
      </c>
      <c r="L164" s="255"/>
      <c r="M164" s="255"/>
      <c r="N164" s="1"/>
    </row>
    <row r="165" spans="1:25" ht="15.75" thickBot="1" x14ac:dyDescent="0.3">
      <c r="A165" s="77">
        <v>233</v>
      </c>
      <c r="B165" s="78" t="s">
        <v>160</v>
      </c>
      <c r="C165" s="254">
        <v>5251</v>
      </c>
      <c r="D165" s="254">
        <v>445</v>
      </c>
      <c r="E165" s="254">
        <v>3091</v>
      </c>
      <c r="F165" s="254">
        <v>56</v>
      </c>
      <c r="G165" s="255">
        <v>2912</v>
      </c>
      <c r="H165" s="255">
        <v>1255</v>
      </c>
      <c r="I165" s="255">
        <v>5000</v>
      </c>
      <c r="J165" s="255">
        <v>5000</v>
      </c>
      <c r="K165" s="255">
        <v>5000</v>
      </c>
      <c r="L165" s="255"/>
      <c r="M165" s="255"/>
      <c r="N165" s="1"/>
    </row>
    <row r="166" spans="1:25" ht="15.75" thickBot="1" x14ac:dyDescent="0.3">
      <c r="A166" s="407">
        <v>321</v>
      </c>
      <c r="B166" s="408" t="s">
        <v>217</v>
      </c>
      <c r="C166" s="256"/>
      <c r="D166" s="419">
        <v>0</v>
      </c>
      <c r="E166" s="419">
        <v>0</v>
      </c>
      <c r="F166" s="419">
        <v>0</v>
      </c>
      <c r="G166" s="420">
        <v>766</v>
      </c>
      <c r="H166" s="420">
        <v>120</v>
      </c>
      <c r="I166" s="420">
        <v>0</v>
      </c>
      <c r="J166" s="420">
        <v>0</v>
      </c>
      <c r="K166" s="420">
        <v>0</v>
      </c>
      <c r="L166" s="420"/>
      <c r="M166" s="420"/>
      <c r="N166" s="1"/>
    </row>
    <row r="167" spans="1:25" x14ac:dyDescent="0.25">
      <c r="A167" s="261">
        <v>322</v>
      </c>
      <c r="B167" s="76" t="s">
        <v>344</v>
      </c>
      <c r="C167" s="262"/>
      <c r="D167" s="262"/>
      <c r="E167" s="262"/>
      <c r="F167" s="262">
        <v>0</v>
      </c>
      <c r="G167" s="263">
        <v>0</v>
      </c>
      <c r="H167" s="263">
        <v>0</v>
      </c>
      <c r="I167" s="263">
        <v>355220</v>
      </c>
      <c r="J167" s="263">
        <v>355220</v>
      </c>
      <c r="K167" s="263">
        <v>434700</v>
      </c>
      <c r="L167" s="263"/>
      <c r="M167" s="383"/>
      <c r="N167" s="27"/>
    </row>
    <row r="168" spans="1:25" x14ac:dyDescent="0.25">
      <c r="A168" s="261">
        <v>322</v>
      </c>
      <c r="B168" s="264" t="s">
        <v>397</v>
      </c>
      <c r="C168" s="262"/>
      <c r="D168" s="262"/>
      <c r="E168" s="262"/>
      <c r="F168" s="259">
        <v>0</v>
      </c>
      <c r="G168" s="260">
        <v>0</v>
      </c>
      <c r="H168" s="263">
        <v>0</v>
      </c>
      <c r="I168" s="260">
        <v>19000</v>
      </c>
      <c r="J168" s="260"/>
      <c r="K168" s="260">
        <v>178000</v>
      </c>
      <c r="L168" s="260"/>
      <c r="M168" s="257"/>
      <c r="N168" s="1"/>
    </row>
    <row r="169" spans="1:25" x14ac:dyDescent="0.25">
      <c r="A169" s="261">
        <v>322</v>
      </c>
      <c r="B169" s="84" t="s">
        <v>377</v>
      </c>
      <c r="C169" s="262"/>
      <c r="D169" s="262"/>
      <c r="E169" s="262"/>
      <c r="F169" s="259">
        <v>0</v>
      </c>
      <c r="G169" s="260">
        <v>0</v>
      </c>
      <c r="H169" s="263">
        <v>0</v>
      </c>
      <c r="I169" s="263">
        <v>190000</v>
      </c>
      <c r="J169" s="263"/>
      <c r="K169" s="263">
        <v>190000</v>
      </c>
      <c r="L169" s="260"/>
      <c r="M169" s="257"/>
      <c r="N169" s="1"/>
      <c r="O169" s="27"/>
      <c r="P169" s="27"/>
      <c r="W169" s="426"/>
      <c r="X169" s="426"/>
      <c r="Y169" s="426"/>
    </row>
    <row r="170" spans="1:25" x14ac:dyDescent="0.25">
      <c r="A170" s="258">
        <v>322</v>
      </c>
      <c r="B170" s="72" t="s">
        <v>162</v>
      </c>
      <c r="C170" s="259"/>
      <c r="D170" s="259"/>
      <c r="E170" s="259">
        <v>193252</v>
      </c>
      <c r="F170" s="259">
        <v>0</v>
      </c>
      <c r="G170" s="260">
        <v>0</v>
      </c>
      <c r="H170" s="260">
        <v>0</v>
      </c>
      <c r="I170" s="260">
        <v>300000</v>
      </c>
      <c r="J170" s="260"/>
      <c r="K170" s="260">
        <v>300000</v>
      </c>
      <c r="L170" s="260"/>
      <c r="M170" s="260"/>
      <c r="N170" s="1"/>
    </row>
    <row r="171" spans="1:25" x14ac:dyDescent="0.25">
      <c r="A171" s="258">
        <v>322</v>
      </c>
      <c r="B171" s="264" t="s">
        <v>366</v>
      </c>
      <c r="C171" s="256"/>
      <c r="D171" s="259"/>
      <c r="E171" s="259"/>
      <c r="F171" s="259">
        <v>0</v>
      </c>
      <c r="G171" s="260">
        <v>0</v>
      </c>
      <c r="H171" s="263">
        <v>0</v>
      </c>
      <c r="I171" s="257">
        <v>0</v>
      </c>
      <c r="J171" s="257">
        <v>80000</v>
      </c>
      <c r="K171" s="257">
        <v>0</v>
      </c>
      <c r="L171" s="257"/>
      <c r="M171" s="257"/>
      <c r="N171" s="1"/>
    </row>
    <row r="172" spans="1:25" x14ac:dyDescent="0.25">
      <c r="A172" s="576">
        <v>322</v>
      </c>
      <c r="B172" s="593" t="s">
        <v>367</v>
      </c>
      <c r="C172" s="256"/>
      <c r="D172" s="259"/>
      <c r="E172" s="259"/>
      <c r="F172" s="259">
        <v>0</v>
      </c>
      <c r="G172" s="260">
        <v>0</v>
      </c>
      <c r="H172" s="260">
        <v>0</v>
      </c>
      <c r="I172" s="257">
        <v>0</v>
      </c>
      <c r="J172" s="257">
        <v>178000</v>
      </c>
      <c r="K172" s="257">
        <v>35350</v>
      </c>
      <c r="L172" s="257"/>
      <c r="M172" s="257"/>
      <c r="N172" s="1"/>
    </row>
    <row r="173" spans="1:25" x14ac:dyDescent="0.25">
      <c r="A173" s="83">
        <v>322</v>
      </c>
      <c r="B173" s="72" t="s">
        <v>218</v>
      </c>
      <c r="C173" s="256"/>
      <c r="D173" s="259"/>
      <c r="E173" s="259"/>
      <c r="F173" s="259">
        <v>0</v>
      </c>
      <c r="G173" s="260">
        <v>0</v>
      </c>
      <c r="H173" s="260">
        <v>0</v>
      </c>
      <c r="I173" s="257">
        <v>0</v>
      </c>
      <c r="J173" s="257">
        <v>0</v>
      </c>
      <c r="K173" s="257"/>
      <c r="L173" s="257"/>
      <c r="M173" s="257"/>
      <c r="N173" s="1"/>
    </row>
    <row r="174" spans="1:25" x14ac:dyDescent="0.25">
      <c r="A174" s="258">
        <v>322</v>
      </c>
      <c r="B174" s="72" t="s">
        <v>206</v>
      </c>
      <c r="C174" s="259"/>
      <c r="D174" s="259"/>
      <c r="E174" s="259">
        <v>0</v>
      </c>
      <c r="F174" s="259">
        <v>0</v>
      </c>
      <c r="G174" s="260">
        <v>89385</v>
      </c>
      <c r="H174" s="260">
        <v>73924</v>
      </c>
      <c r="I174" s="260">
        <v>0</v>
      </c>
      <c r="J174" s="260">
        <v>0</v>
      </c>
      <c r="K174" s="260">
        <v>0</v>
      </c>
      <c r="L174" s="260"/>
      <c r="M174" s="260"/>
      <c r="N174" s="1"/>
    </row>
    <row r="175" spans="1:25" ht="15.75" thickBot="1" x14ac:dyDescent="0.3">
      <c r="A175" s="261">
        <v>322</v>
      </c>
      <c r="B175" s="76" t="s">
        <v>161</v>
      </c>
      <c r="C175" s="262"/>
      <c r="D175" s="262"/>
      <c r="E175" s="262">
        <v>0</v>
      </c>
      <c r="F175" s="262">
        <v>118914</v>
      </c>
      <c r="G175" s="263">
        <v>0</v>
      </c>
      <c r="H175" s="263">
        <v>0</v>
      </c>
      <c r="I175" s="263">
        <v>0</v>
      </c>
      <c r="J175" s="263">
        <v>0</v>
      </c>
      <c r="K175" s="263">
        <v>0</v>
      </c>
      <c r="L175" s="263"/>
      <c r="M175" s="263"/>
      <c r="N175" s="27">
        <f>SUM(K167:K175)</f>
        <v>1138050</v>
      </c>
    </row>
    <row r="176" spans="1:25" ht="16.5" thickBot="1" x14ac:dyDescent="0.3">
      <c r="A176" s="622" t="s">
        <v>163</v>
      </c>
      <c r="B176" s="623"/>
      <c r="C176" s="253">
        <f t="shared" ref="C176:M176" si="134">SUM(C177:C208)</f>
        <v>54067</v>
      </c>
      <c r="D176" s="253">
        <f t="shared" si="134"/>
        <v>22442</v>
      </c>
      <c r="E176" s="253">
        <f t="shared" si="134"/>
        <v>290525</v>
      </c>
      <c r="F176" s="253">
        <f t="shared" si="134"/>
        <v>211426</v>
      </c>
      <c r="G176" s="253">
        <f t="shared" si="134"/>
        <v>247102</v>
      </c>
      <c r="H176" s="253">
        <f t="shared" si="134"/>
        <v>115817</v>
      </c>
      <c r="I176" s="253">
        <f t="shared" si="134"/>
        <v>1445946</v>
      </c>
      <c r="J176" s="253">
        <f t="shared" si="134"/>
        <v>1052946</v>
      </c>
      <c r="K176" s="253">
        <f t="shared" si="134"/>
        <v>2034046</v>
      </c>
      <c r="L176" s="253">
        <f t="shared" si="134"/>
        <v>0</v>
      </c>
      <c r="M176" s="253">
        <f t="shared" si="134"/>
        <v>0</v>
      </c>
      <c r="N176" s="27">
        <f>K176-K163</f>
        <v>890996</v>
      </c>
    </row>
    <row r="177" spans="1:14" x14ac:dyDescent="0.25">
      <c r="A177" s="266" t="s">
        <v>64</v>
      </c>
      <c r="B177" s="267" t="s">
        <v>164</v>
      </c>
      <c r="C177" s="268"/>
      <c r="D177" s="268"/>
      <c r="E177" s="268">
        <v>0</v>
      </c>
      <c r="F177" s="268">
        <v>131248</v>
      </c>
      <c r="G177" s="268">
        <v>0</v>
      </c>
      <c r="H177" s="268">
        <v>0</v>
      </c>
      <c r="I177" s="268">
        <v>0</v>
      </c>
      <c r="J177" s="268">
        <v>0</v>
      </c>
      <c r="K177" s="268">
        <v>0</v>
      </c>
      <c r="L177" s="268"/>
      <c r="M177" s="268"/>
      <c r="N177" s="1"/>
    </row>
    <row r="178" spans="1:14" ht="15.75" thickBot="1" x14ac:dyDescent="0.3">
      <c r="A178" s="271" t="s">
        <v>64</v>
      </c>
      <c r="B178" s="272" t="s">
        <v>194</v>
      </c>
      <c r="C178" s="273"/>
      <c r="D178" s="273"/>
      <c r="E178" s="273">
        <v>26434</v>
      </c>
      <c r="F178" s="273">
        <v>3587</v>
      </c>
      <c r="G178" s="273">
        <v>0</v>
      </c>
      <c r="H178" s="273">
        <v>0</v>
      </c>
      <c r="I178" s="273">
        <v>0</v>
      </c>
      <c r="J178" s="273">
        <v>0</v>
      </c>
      <c r="K178" s="273">
        <v>0</v>
      </c>
      <c r="L178" s="273"/>
      <c r="M178" s="273"/>
      <c r="N178" s="1"/>
    </row>
    <row r="179" spans="1:14" x14ac:dyDescent="0.25">
      <c r="A179" s="275" t="s">
        <v>83</v>
      </c>
      <c r="B179" s="265" t="s">
        <v>165</v>
      </c>
      <c r="C179" s="276"/>
      <c r="D179" s="276"/>
      <c r="E179" s="276">
        <v>0</v>
      </c>
      <c r="F179" s="276">
        <v>0</v>
      </c>
      <c r="G179" s="276">
        <v>5400</v>
      </c>
      <c r="H179" s="276">
        <v>0</v>
      </c>
      <c r="I179" s="276">
        <v>1500</v>
      </c>
      <c r="J179" s="276">
        <v>1500</v>
      </c>
      <c r="K179" s="276">
        <v>1500</v>
      </c>
      <c r="L179" s="276"/>
      <c r="M179" s="276"/>
      <c r="N179" s="1"/>
    </row>
    <row r="180" spans="1:14" x14ac:dyDescent="0.25">
      <c r="A180" s="277" t="s">
        <v>85</v>
      </c>
      <c r="B180" s="497" t="s">
        <v>285</v>
      </c>
      <c r="C180" s="279"/>
      <c r="D180" s="279"/>
      <c r="E180" s="279"/>
      <c r="F180" s="279">
        <v>0</v>
      </c>
      <c r="G180" s="279">
        <v>0</v>
      </c>
      <c r="H180" s="279">
        <v>0</v>
      </c>
      <c r="I180" s="279">
        <v>5000</v>
      </c>
      <c r="J180" s="279">
        <v>3000</v>
      </c>
      <c r="K180" s="279"/>
      <c r="L180" s="279"/>
      <c r="M180" s="279"/>
      <c r="N180" s="1"/>
    </row>
    <row r="181" spans="1:14" ht="15.75" thickBot="1" x14ac:dyDescent="0.3">
      <c r="A181" s="271" t="s">
        <v>85</v>
      </c>
      <c r="B181" s="382" t="s">
        <v>207</v>
      </c>
      <c r="C181" s="273"/>
      <c r="D181" s="273"/>
      <c r="E181" s="273">
        <v>0</v>
      </c>
      <c r="F181" s="273">
        <v>6813</v>
      </c>
      <c r="G181" s="273">
        <v>0</v>
      </c>
      <c r="H181" s="273">
        <v>20321</v>
      </c>
      <c r="I181" s="273">
        <v>0</v>
      </c>
      <c r="J181" s="273">
        <v>0</v>
      </c>
      <c r="K181" s="273"/>
      <c r="L181" s="273"/>
      <c r="M181" s="273"/>
      <c r="N181" s="1"/>
    </row>
    <row r="182" spans="1:14" x14ac:dyDescent="0.25">
      <c r="A182" s="280" t="s">
        <v>90</v>
      </c>
      <c r="B182" s="281" t="s">
        <v>219</v>
      </c>
      <c r="C182" s="282"/>
      <c r="D182" s="282"/>
      <c r="E182" s="282"/>
      <c r="F182" s="282">
        <v>0</v>
      </c>
      <c r="G182" s="282">
        <v>15200</v>
      </c>
      <c r="H182" s="282">
        <v>0</v>
      </c>
      <c r="I182" s="282">
        <v>0</v>
      </c>
      <c r="J182" s="282">
        <v>0</v>
      </c>
      <c r="K182" s="282"/>
      <c r="L182" s="282"/>
      <c r="M182" s="282"/>
      <c r="N182" s="27"/>
    </row>
    <row r="183" spans="1:14" x14ac:dyDescent="0.25">
      <c r="A183" s="269" t="s">
        <v>90</v>
      </c>
      <c r="B183" s="283" t="s">
        <v>205</v>
      </c>
      <c r="C183" s="270"/>
      <c r="D183" s="270"/>
      <c r="E183" s="270">
        <v>213721</v>
      </c>
      <c r="F183" s="270">
        <v>0</v>
      </c>
      <c r="G183" s="270">
        <f>390</f>
        <v>390</v>
      </c>
      <c r="H183" s="270">
        <v>0</v>
      </c>
      <c r="I183" s="270">
        <v>390000</v>
      </c>
      <c r="J183" s="270">
        <v>0</v>
      </c>
      <c r="K183" s="270">
        <v>390000</v>
      </c>
      <c r="L183" s="270"/>
      <c r="M183" s="270"/>
      <c r="N183" s="1"/>
    </row>
    <row r="184" spans="1:14" x14ac:dyDescent="0.25">
      <c r="A184" s="280" t="s">
        <v>90</v>
      </c>
      <c r="B184" s="281" t="s">
        <v>220</v>
      </c>
      <c r="C184" s="279"/>
      <c r="D184" s="270"/>
      <c r="E184" s="270"/>
      <c r="F184" s="270">
        <v>0</v>
      </c>
      <c r="G184" s="270">
        <v>38416</v>
      </c>
      <c r="H184" s="270">
        <v>0</v>
      </c>
      <c r="I184" s="270">
        <v>0</v>
      </c>
      <c r="J184" s="270">
        <v>0</v>
      </c>
      <c r="K184" s="270"/>
      <c r="L184" s="270"/>
      <c r="M184" s="270"/>
      <c r="N184" s="1"/>
    </row>
    <row r="185" spans="1:14" ht="15.75" thickBot="1" x14ac:dyDescent="0.3">
      <c r="A185" s="560" t="s">
        <v>94</v>
      </c>
      <c r="B185" s="561" t="s">
        <v>221</v>
      </c>
      <c r="C185" s="274"/>
      <c r="D185" s="273"/>
      <c r="E185" s="273"/>
      <c r="F185" s="273">
        <v>0</v>
      </c>
      <c r="G185" s="273">
        <v>3547</v>
      </c>
      <c r="H185" s="273">
        <v>0</v>
      </c>
      <c r="I185" s="273">
        <v>0</v>
      </c>
      <c r="J185" s="273">
        <v>0</v>
      </c>
      <c r="K185" s="273"/>
      <c r="L185" s="273"/>
      <c r="M185" s="273"/>
      <c r="N185" s="1"/>
    </row>
    <row r="186" spans="1:14" x14ac:dyDescent="0.25">
      <c r="A186" s="277" t="s">
        <v>166</v>
      </c>
      <c r="B186" s="278" t="s">
        <v>167</v>
      </c>
      <c r="C186" s="279">
        <v>2107</v>
      </c>
      <c r="D186" s="279">
        <v>114</v>
      </c>
      <c r="E186" s="279">
        <v>0</v>
      </c>
      <c r="F186" s="279">
        <v>0</v>
      </c>
      <c r="G186" s="279">
        <v>140</v>
      </c>
      <c r="H186" s="279">
        <v>0</v>
      </c>
      <c r="I186" s="279">
        <v>25000</v>
      </c>
      <c r="J186" s="279">
        <v>25000</v>
      </c>
      <c r="K186" s="279">
        <v>25000</v>
      </c>
      <c r="L186" s="279"/>
      <c r="M186" s="279"/>
      <c r="N186" s="1"/>
    </row>
    <row r="187" spans="1:14" x14ac:dyDescent="0.25">
      <c r="A187" s="284" t="s">
        <v>166</v>
      </c>
      <c r="B187" s="283" t="s">
        <v>208</v>
      </c>
      <c r="C187" s="270">
        <v>49262</v>
      </c>
      <c r="D187" s="270">
        <v>19728</v>
      </c>
      <c r="E187" s="270">
        <v>10645</v>
      </c>
      <c r="F187" s="270">
        <v>20733</v>
      </c>
      <c r="G187" s="270">
        <v>21493</v>
      </c>
      <c r="H187" s="270">
        <v>2827</v>
      </c>
      <c r="I187" s="270">
        <v>30000</v>
      </c>
      <c r="J187" s="270">
        <v>67000</v>
      </c>
      <c r="K187" s="270">
        <v>30000</v>
      </c>
      <c r="L187" s="270"/>
      <c r="M187" s="270"/>
      <c r="N187" s="1"/>
    </row>
    <row r="188" spans="1:14" x14ac:dyDescent="0.25">
      <c r="A188" s="284" t="s">
        <v>97</v>
      </c>
      <c r="B188" s="401" t="s">
        <v>196</v>
      </c>
      <c r="C188" s="270"/>
      <c r="D188" s="270"/>
      <c r="E188" s="270"/>
      <c r="F188" s="270">
        <v>0</v>
      </c>
      <c r="G188" s="270">
        <v>0</v>
      </c>
      <c r="H188" s="270">
        <v>0</v>
      </c>
      <c r="I188" s="270">
        <v>0</v>
      </c>
      <c r="J188" s="270">
        <v>0</v>
      </c>
      <c r="K188" s="270"/>
      <c r="L188" s="270"/>
      <c r="M188" s="270"/>
      <c r="N188" s="27"/>
    </row>
    <row r="189" spans="1:14" x14ac:dyDescent="0.25">
      <c r="A189" s="287" t="s">
        <v>97</v>
      </c>
      <c r="B189" s="285" t="s">
        <v>212</v>
      </c>
      <c r="C189" s="270"/>
      <c r="D189" s="270">
        <v>2600</v>
      </c>
      <c r="E189" s="270">
        <v>0</v>
      </c>
      <c r="F189" s="270">
        <v>35581</v>
      </c>
      <c r="G189" s="270">
        <v>11503</v>
      </c>
      <c r="H189" s="270">
        <v>0</v>
      </c>
      <c r="I189" s="270">
        <v>10000</v>
      </c>
      <c r="J189" s="270">
        <v>18800</v>
      </c>
      <c r="K189" s="270">
        <v>10000</v>
      </c>
      <c r="L189" s="270"/>
      <c r="M189" s="270"/>
      <c r="N189" s="27"/>
    </row>
    <row r="190" spans="1:14" x14ac:dyDescent="0.25">
      <c r="A190" s="288" t="s">
        <v>97</v>
      </c>
      <c r="B190" s="421" t="s">
        <v>228</v>
      </c>
      <c r="C190" s="270"/>
      <c r="D190" s="270"/>
      <c r="E190" s="270"/>
      <c r="F190" s="270">
        <v>0</v>
      </c>
      <c r="G190" s="270">
        <v>2136</v>
      </c>
      <c r="H190" s="270">
        <v>0</v>
      </c>
      <c r="I190" s="270">
        <v>0</v>
      </c>
      <c r="J190" s="270">
        <v>0</v>
      </c>
      <c r="K190" s="270"/>
      <c r="L190" s="270"/>
      <c r="M190" s="270"/>
      <c r="N190" s="1"/>
    </row>
    <row r="191" spans="1:14" x14ac:dyDescent="0.25">
      <c r="A191" s="284" t="s">
        <v>97</v>
      </c>
      <c r="B191" s="283" t="s">
        <v>191</v>
      </c>
      <c r="C191" s="270"/>
      <c r="D191" s="270"/>
      <c r="E191" s="270">
        <v>36425</v>
      </c>
      <c r="F191" s="270">
        <v>0</v>
      </c>
      <c r="G191" s="270">
        <v>0</v>
      </c>
      <c r="H191" s="270">
        <v>0</v>
      </c>
      <c r="I191" s="270">
        <v>0</v>
      </c>
      <c r="J191" s="270">
        <v>0</v>
      </c>
      <c r="K191" s="270"/>
      <c r="L191" s="270"/>
      <c r="M191" s="270"/>
      <c r="N191" s="1"/>
    </row>
    <row r="192" spans="1:14" x14ac:dyDescent="0.25">
      <c r="A192" s="284" t="s">
        <v>97</v>
      </c>
      <c r="B192" s="563" t="s">
        <v>204</v>
      </c>
      <c r="C192" s="270"/>
      <c r="D192" s="270"/>
      <c r="E192" s="270"/>
      <c r="F192" s="270">
        <v>0</v>
      </c>
      <c r="G192" s="270">
        <v>6363</v>
      </c>
      <c r="H192" s="270">
        <v>10854</v>
      </c>
      <c r="I192" s="270">
        <v>100000</v>
      </c>
      <c r="J192" s="270">
        <v>2000</v>
      </c>
      <c r="K192" s="270">
        <v>100000</v>
      </c>
      <c r="L192" s="270"/>
      <c r="M192" s="270"/>
      <c r="N192" s="1"/>
    </row>
    <row r="193" spans="1:14" x14ac:dyDescent="0.25">
      <c r="A193" s="287" t="s">
        <v>398</v>
      </c>
      <c r="B193" s="606" t="s">
        <v>379</v>
      </c>
      <c r="C193" s="279"/>
      <c r="D193" s="279"/>
      <c r="E193" s="279"/>
      <c r="F193" s="276">
        <v>0</v>
      </c>
      <c r="G193" s="276">
        <v>0</v>
      </c>
      <c r="H193" s="276">
        <v>0</v>
      </c>
      <c r="I193" s="276">
        <v>0</v>
      </c>
      <c r="J193" s="276">
        <v>0</v>
      </c>
      <c r="K193" s="276">
        <v>218000</v>
      </c>
      <c r="L193" s="276"/>
      <c r="M193" s="276"/>
      <c r="N193" s="1"/>
    </row>
    <row r="194" spans="1:14" x14ac:dyDescent="0.25">
      <c r="A194" s="287" t="s">
        <v>99</v>
      </c>
      <c r="B194" s="562" t="s">
        <v>353</v>
      </c>
      <c r="C194" s="279"/>
      <c r="D194" s="279"/>
      <c r="E194" s="279"/>
      <c r="F194" s="276">
        <v>0</v>
      </c>
      <c r="G194" s="276">
        <v>0</v>
      </c>
      <c r="H194" s="276">
        <v>0</v>
      </c>
      <c r="I194" s="276">
        <v>0</v>
      </c>
      <c r="J194" s="276">
        <v>85000</v>
      </c>
      <c r="K194" s="276">
        <v>85000</v>
      </c>
      <c r="L194" s="276"/>
      <c r="M194" s="276"/>
      <c r="N194" s="27"/>
    </row>
    <row r="195" spans="1:14" x14ac:dyDescent="0.25">
      <c r="A195" s="284" t="s">
        <v>101</v>
      </c>
      <c r="B195" s="563" t="s">
        <v>354</v>
      </c>
      <c r="C195" s="279"/>
      <c r="D195" s="279"/>
      <c r="E195" s="279"/>
      <c r="F195" s="270">
        <v>0</v>
      </c>
      <c r="G195" s="270">
        <v>0</v>
      </c>
      <c r="H195" s="270">
        <v>0</v>
      </c>
      <c r="I195" s="270">
        <v>0</v>
      </c>
      <c r="J195" s="270">
        <v>10000</v>
      </c>
      <c r="K195" s="270">
        <v>0</v>
      </c>
      <c r="L195" s="270"/>
      <c r="M195" s="270"/>
      <c r="N195" s="27"/>
    </row>
    <row r="196" spans="1:14" ht="15.75" thickBot="1" x14ac:dyDescent="0.3">
      <c r="A196" s="564" t="s">
        <v>101</v>
      </c>
      <c r="B196" s="565" t="s">
        <v>355</v>
      </c>
      <c r="C196" s="274"/>
      <c r="D196" s="274"/>
      <c r="E196" s="274"/>
      <c r="F196" s="273">
        <v>0</v>
      </c>
      <c r="G196" s="273">
        <v>0</v>
      </c>
      <c r="H196" s="273">
        <v>0</v>
      </c>
      <c r="I196" s="273">
        <v>0</v>
      </c>
      <c r="J196" s="273">
        <v>85000</v>
      </c>
      <c r="K196" s="273">
        <v>0</v>
      </c>
      <c r="L196" s="273"/>
      <c r="M196" s="273"/>
      <c r="N196" s="27"/>
    </row>
    <row r="197" spans="1:14" x14ac:dyDescent="0.25">
      <c r="A197" s="287" t="s">
        <v>112</v>
      </c>
      <c r="B197" s="285" t="s">
        <v>168</v>
      </c>
      <c r="C197" s="276"/>
      <c r="D197" s="276"/>
      <c r="E197" s="276">
        <v>0</v>
      </c>
      <c r="F197" s="276">
        <v>0</v>
      </c>
      <c r="G197" s="276">
        <v>38201</v>
      </c>
      <c r="H197" s="276">
        <v>2478</v>
      </c>
      <c r="I197" s="276">
        <v>0</v>
      </c>
      <c r="J197" s="276">
        <v>0</v>
      </c>
      <c r="K197" s="276">
        <v>0</v>
      </c>
      <c r="L197" s="276"/>
      <c r="M197" s="276"/>
      <c r="N197" s="27"/>
    </row>
    <row r="198" spans="1:14" ht="15" customHeight="1" x14ac:dyDescent="0.25">
      <c r="A198" s="289" t="s">
        <v>112</v>
      </c>
      <c r="B198" s="290" t="s">
        <v>169</v>
      </c>
      <c r="C198" s="282"/>
      <c r="D198" s="282"/>
      <c r="E198" s="282">
        <v>0</v>
      </c>
      <c r="F198" s="282">
        <v>0</v>
      </c>
      <c r="G198" s="282">
        <v>0</v>
      </c>
      <c r="H198" s="282">
        <v>0</v>
      </c>
      <c r="I198" s="282">
        <v>21000</v>
      </c>
      <c r="J198" s="282">
        <v>0</v>
      </c>
      <c r="K198" s="282"/>
      <c r="L198" s="279"/>
      <c r="M198" s="279"/>
      <c r="N198" s="1"/>
    </row>
    <row r="199" spans="1:14" x14ac:dyDescent="0.25">
      <c r="A199" s="289" t="s">
        <v>112</v>
      </c>
      <c r="B199" s="290" t="s">
        <v>356</v>
      </c>
      <c r="C199" s="282"/>
      <c r="D199" s="282"/>
      <c r="E199" s="282">
        <v>0</v>
      </c>
      <c r="F199" s="282">
        <v>0</v>
      </c>
      <c r="G199" s="282">
        <v>0</v>
      </c>
      <c r="H199" s="282">
        <v>0</v>
      </c>
      <c r="I199" s="282">
        <v>8000</v>
      </c>
      <c r="J199" s="282">
        <v>257200</v>
      </c>
      <c r="K199" s="282">
        <v>202000</v>
      </c>
      <c r="L199" s="282"/>
      <c r="M199" s="282"/>
      <c r="N199" s="1"/>
    </row>
    <row r="200" spans="1:14" x14ac:dyDescent="0.25">
      <c r="A200" s="289" t="s">
        <v>114</v>
      </c>
      <c r="B200" s="290" t="s">
        <v>357</v>
      </c>
      <c r="C200" s="282"/>
      <c r="D200" s="282"/>
      <c r="E200" s="282">
        <v>3300</v>
      </c>
      <c r="F200" s="282">
        <v>0</v>
      </c>
      <c r="G200" s="282">
        <v>0</v>
      </c>
      <c r="H200" s="282">
        <v>0</v>
      </c>
      <c r="I200" s="282">
        <v>0</v>
      </c>
      <c r="J200" s="282">
        <v>0</v>
      </c>
      <c r="K200" s="282"/>
      <c r="L200" s="282"/>
      <c r="M200" s="282"/>
      <c r="N200" s="1"/>
    </row>
    <row r="201" spans="1:14" x14ac:dyDescent="0.25">
      <c r="A201" s="289" t="s">
        <v>114</v>
      </c>
      <c r="B201" s="283" t="s">
        <v>399</v>
      </c>
      <c r="C201" s="282"/>
      <c r="D201" s="282"/>
      <c r="E201" s="282"/>
      <c r="F201" s="282">
        <v>0</v>
      </c>
      <c r="G201" s="282">
        <v>0</v>
      </c>
      <c r="H201" s="282">
        <v>0</v>
      </c>
      <c r="I201" s="282">
        <v>200000</v>
      </c>
      <c r="J201" s="282">
        <v>0</v>
      </c>
      <c r="K201" s="282">
        <v>200000</v>
      </c>
      <c r="L201" s="282"/>
      <c r="M201" s="282"/>
      <c r="N201" s="27"/>
    </row>
    <row r="202" spans="1:14" ht="15.75" customHeight="1" thickBot="1" x14ac:dyDescent="0.3">
      <c r="A202" s="286" t="s">
        <v>114</v>
      </c>
      <c r="B202" s="566" t="s">
        <v>203</v>
      </c>
      <c r="C202" s="273">
        <v>2698</v>
      </c>
      <c r="D202" s="273"/>
      <c r="E202" s="273">
        <v>0</v>
      </c>
      <c r="F202" s="273">
        <v>0</v>
      </c>
      <c r="G202" s="273">
        <v>0</v>
      </c>
      <c r="H202" s="273">
        <v>0</v>
      </c>
      <c r="I202" s="273">
        <v>160886</v>
      </c>
      <c r="J202" s="273">
        <v>3886</v>
      </c>
      <c r="K202" s="273">
        <v>100886</v>
      </c>
      <c r="L202" s="273"/>
      <c r="M202" s="273"/>
      <c r="N202" s="1"/>
    </row>
    <row r="203" spans="1:14" x14ac:dyDescent="0.25">
      <c r="A203" s="292" t="s">
        <v>123</v>
      </c>
      <c r="B203" s="265" t="s">
        <v>222</v>
      </c>
      <c r="C203" s="276"/>
      <c r="D203" s="276"/>
      <c r="E203" s="276"/>
      <c r="F203" s="276">
        <v>0</v>
      </c>
      <c r="G203" s="276">
        <v>0</v>
      </c>
      <c r="H203" s="276">
        <v>0</v>
      </c>
      <c r="I203" s="276">
        <v>494560</v>
      </c>
      <c r="J203" s="276">
        <v>494560</v>
      </c>
      <c r="K203" s="276">
        <v>656010</v>
      </c>
      <c r="L203" s="276"/>
      <c r="M203" s="276"/>
      <c r="N203" s="1"/>
    </row>
    <row r="204" spans="1:14" x14ac:dyDescent="0.25">
      <c r="A204" s="289" t="s">
        <v>125</v>
      </c>
      <c r="B204" s="402" t="s">
        <v>213</v>
      </c>
      <c r="C204" s="279"/>
      <c r="D204" s="270"/>
      <c r="E204" s="270"/>
      <c r="F204" s="270">
        <v>2220</v>
      </c>
      <c r="G204" s="270">
        <v>3073</v>
      </c>
      <c r="H204" s="270">
        <v>0</v>
      </c>
      <c r="I204" s="270">
        <v>0</v>
      </c>
      <c r="J204" s="270">
        <v>0</v>
      </c>
      <c r="K204" s="270">
        <v>0</v>
      </c>
      <c r="L204" s="270"/>
      <c r="M204" s="270"/>
      <c r="N204" s="1"/>
    </row>
    <row r="205" spans="1:14" x14ac:dyDescent="0.25">
      <c r="A205" s="289" t="s">
        <v>125</v>
      </c>
      <c r="B205" s="607" t="s">
        <v>375</v>
      </c>
      <c r="C205" s="279"/>
      <c r="D205" s="282"/>
      <c r="E205" s="282"/>
      <c r="F205" s="282">
        <v>0</v>
      </c>
      <c r="G205" s="282">
        <v>0</v>
      </c>
      <c r="H205" s="282">
        <v>0</v>
      </c>
      <c r="I205" s="282">
        <v>0</v>
      </c>
      <c r="J205" s="282">
        <v>0</v>
      </c>
      <c r="K205" s="282">
        <v>8200</v>
      </c>
      <c r="L205" s="282"/>
      <c r="M205" s="282"/>
      <c r="N205" s="1"/>
    </row>
    <row r="206" spans="1:14" ht="15" customHeight="1" thickBot="1" x14ac:dyDescent="0.3">
      <c r="A206" s="293" t="s">
        <v>125</v>
      </c>
      <c r="B206" s="567" t="s">
        <v>214</v>
      </c>
      <c r="C206" s="274"/>
      <c r="D206" s="273"/>
      <c r="E206" s="273"/>
      <c r="F206" s="273">
        <v>11244</v>
      </c>
      <c r="G206" s="273">
        <v>0</v>
      </c>
      <c r="H206" s="273">
        <v>0</v>
      </c>
      <c r="I206" s="273">
        <v>0</v>
      </c>
      <c r="J206" s="273">
        <v>0</v>
      </c>
      <c r="K206" s="273">
        <v>0</v>
      </c>
      <c r="L206" s="273"/>
      <c r="M206" s="273"/>
      <c r="N206" s="1"/>
    </row>
    <row r="207" spans="1:14" ht="15" customHeight="1" thickBot="1" x14ac:dyDescent="0.3">
      <c r="A207" s="291" t="s">
        <v>126</v>
      </c>
      <c r="B207" s="608" t="s">
        <v>400</v>
      </c>
      <c r="C207" s="274"/>
      <c r="D207" s="274"/>
      <c r="E207" s="274"/>
      <c r="F207" s="274">
        <v>0</v>
      </c>
      <c r="G207" s="274">
        <v>0</v>
      </c>
      <c r="H207" s="274">
        <v>0</v>
      </c>
      <c r="I207" s="274">
        <v>0</v>
      </c>
      <c r="J207" s="274">
        <v>0</v>
      </c>
      <c r="K207" s="274">
        <v>7450</v>
      </c>
      <c r="L207" s="274"/>
      <c r="M207" s="274"/>
      <c r="N207" s="1"/>
    </row>
    <row r="208" spans="1:14" ht="15" customHeight="1" thickBot="1" x14ac:dyDescent="0.3">
      <c r="A208" s="291" t="s">
        <v>136</v>
      </c>
      <c r="B208" s="409" t="s">
        <v>223</v>
      </c>
      <c r="C208" s="274"/>
      <c r="D208" s="274"/>
      <c r="E208" s="274">
        <v>0</v>
      </c>
      <c r="F208" s="274">
        <v>0</v>
      </c>
      <c r="G208" s="274">
        <v>101240</v>
      </c>
      <c r="H208" s="274">
        <v>79337</v>
      </c>
      <c r="I208" s="274">
        <v>0</v>
      </c>
      <c r="J208" s="274">
        <v>0</v>
      </c>
      <c r="K208" s="274">
        <v>0</v>
      </c>
      <c r="L208" s="274"/>
      <c r="M208" s="274"/>
      <c r="N208" s="296"/>
    </row>
    <row r="209" spans="1:16" x14ac:dyDescent="0.25">
      <c r="A209" s="294"/>
      <c r="B209" s="295"/>
      <c r="C209" s="295"/>
      <c r="D209" s="295"/>
      <c r="E209" s="296"/>
      <c r="F209" s="296"/>
      <c r="G209" s="296"/>
      <c r="H209" s="296"/>
      <c r="I209" s="296"/>
      <c r="J209" s="296"/>
      <c r="K209" s="296"/>
      <c r="L209" s="296"/>
      <c r="M209" s="296"/>
      <c r="N209" s="1"/>
    </row>
    <row r="210" spans="1:16" x14ac:dyDescent="0.25">
      <c r="A210" s="297"/>
      <c r="B210" s="298"/>
      <c r="C210" s="298"/>
      <c r="D210" s="298"/>
      <c r="E210" s="299"/>
      <c r="F210" s="299"/>
      <c r="G210" s="299"/>
      <c r="H210" s="299"/>
      <c r="I210" s="299"/>
      <c r="J210" s="299"/>
      <c r="K210" s="299"/>
      <c r="L210" s="299"/>
      <c r="M210" s="299"/>
      <c r="N210" s="1"/>
    </row>
    <row r="211" spans="1:16" ht="18.75" thickBot="1" x14ac:dyDescent="0.3">
      <c r="A211" s="624" t="s">
        <v>170</v>
      </c>
      <c r="B211" s="625"/>
      <c r="C211" s="625"/>
      <c r="D211" s="625"/>
      <c r="E211" s="625"/>
      <c r="F211" s="625"/>
      <c r="G211" s="625"/>
      <c r="H211" s="625"/>
      <c r="I211" s="625"/>
      <c r="J211" s="625"/>
      <c r="K211" s="625"/>
      <c r="L211" s="625"/>
      <c r="M211" s="625"/>
      <c r="N211" s="27"/>
    </row>
    <row r="212" spans="1:16" ht="38.25" customHeight="1" thickBot="1" x14ac:dyDescent="0.3">
      <c r="A212" s="628" t="s">
        <v>1</v>
      </c>
      <c r="B212" s="630"/>
      <c r="C212" s="388" t="s">
        <v>2</v>
      </c>
      <c r="D212" s="388" t="s">
        <v>3</v>
      </c>
      <c r="E212" s="388" t="s">
        <v>190</v>
      </c>
      <c r="F212" s="388" t="s">
        <v>209</v>
      </c>
      <c r="G212" s="494" t="s">
        <v>254</v>
      </c>
      <c r="H212" s="494" t="s">
        <v>338</v>
      </c>
      <c r="I212" s="387" t="s">
        <v>339</v>
      </c>
      <c r="J212" s="387" t="s">
        <v>340</v>
      </c>
      <c r="K212" s="387" t="s">
        <v>255</v>
      </c>
      <c r="L212" s="387" t="s">
        <v>256</v>
      </c>
      <c r="M212" s="387" t="s">
        <v>341</v>
      </c>
      <c r="N212" s="27"/>
    </row>
    <row r="213" spans="1:16" ht="19.5" customHeight="1" thickBot="1" x14ac:dyDescent="0.3">
      <c r="A213" s="410" t="s">
        <v>171</v>
      </c>
      <c r="B213" s="411"/>
      <c r="C213" s="412">
        <f>SUM(C214:C232)</f>
        <v>87331</v>
      </c>
      <c r="D213" s="412">
        <f t="shared" ref="D213:J213" si="135">SUM(D215:D233)</f>
        <v>129336</v>
      </c>
      <c r="E213" s="412">
        <f t="shared" si="135"/>
        <v>137207</v>
      </c>
      <c r="F213" s="412">
        <f>SUM(F214:F233)</f>
        <v>174149</v>
      </c>
      <c r="G213" s="412">
        <f t="shared" ref="G213:M213" si="136">SUM(G214:G233)</f>
        <v>249113</v>
      </c>
      <c r="H213" s="412">
        <f t="shared" si="136"/>
        <v>158714</v>
      </c>
      <c r="I213" s="412">
        <f t="shared" si="136"/>
        <v>728546</v>
      </c>
      <c r="J213" s="412">
        <f t="shared" si="136"/>
        <v>550772</v>
      </c>
      <c r="K213" s="412">
        <f t="shared" si="136"/>
        <v>931297</v>
      </c>
      <c r="L213" s="412">
        <f t="shared" si="136"/>
        <v>27140</v>
      </c>
      <c r="M213" s="412">
        <f t="shared" si="136"/>
        <v>27140</v>
      </c>
      <c r="N213" s="27"/>
    </row>
    <row r="214" spans="1:16" x14ac:dyDescent="0.25">
      <c r="A214" s="403">
        <v>453</v>
      </c>
      <c r="B214" s="404" t="s">
        <v>282</v>
      </c>
      <c r="C214" s="64">
        <v>0</v>
      </c>
      <c r="D214" s="64"/>
      <c r="E214" s="64">
        <v>0</v>
      </c>
      <c r="F214" s="64">
        <v>4901</v>
      </c>
      <c r="G214" s="64">
        <v>2349</v>
      </c>
      <c r="H214" s="64">
        <v>6000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27"/>
    </row>
    <row r="215" spans="1:16" x14ac:dyDescent="0.25">
      <c r="A215" s="403">
        <v>453</v>
      </c>
      <c r="B215" s="404" t="s">
        <v>279</v>
      </c>
      <c r="C215" s="64">
        <v>997</v>
      </c>
      <c r="D215" s="64">
        <v>561</v>
      </c>
      <c r="E215" s="64">
        <v>834</v>
      </c>
      <c r="F215" s="64">
        <v>10439</v>
      </c>
      <c r="G215" s="64">
        <v>18370</v>
      </c>
      <c r="H215" s="64">
        <v>24725</v>
      </c>
      <c r="I215" s="64">
        <f>3000+1900</f>
        <v>4900</v>
      </c>
      <c r="J215" s="64">
        <v>5590</v>
      </c>
      <c r="K215" s="64">
        <f>20000+4000</f>
        <v>24000</v>
      </c>
      <c r="L215" s="64">
        <f>20000+4000</f>
        <v>24000</v>
      </c>
      <c r="M215" s="64">
        <f>20000+4000</f>
        <v>24000</v>
      </c>
      <c r="N215" s="27"/>
    </row>
    <row r="216" spans="1:16" x14ac:dyDescent="0.25">
      <c r="A216" s="403">
        <v>453</v>
      </c>
      <c r="B216" s="404" t="s">
        <v>390</v>
      </c>
      <c r="C216" s="496"/>
      <c r="D216" s="496"/>
      <c r="E216" s="496"/>
      <c r="F216" s="595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8740</v>
      </c>
      <c r="L216" s="64">
        <v>0</v>
      </c>
      <c r="M216" s="64">
        <v>0</v>
      </c>
      <c r="N216" s="27"/>
    </row>
    <row r="217" spans="1:16" x14ac:dyDescent="0.25">
      <c r="A217" s="403">
        <v>453</v>
      </c>
      <c r="B217" s="404" t="s">
        <v>369</v>
      </c>
      <c r="C217" s="64"/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2000</v>
      </c>
      <c r="J217" s="64">
        <v>1330</v>
      </c>
      <c r="K217" s="64">
        <v>1000</v>
      </c>
      <c r="L217" s="64">
        <v>1000</v>
      </c>
      <c r="M217" s="64">
        <v>1000</v>
      </c>
      <c r="N217" s="27"/>
    </row>
    <row r="218" spans="1:16" x14ac:dyDescent="0.25">
      <c r="A218" s="495">
        <v>453</v>
      </c>
      <c r="B218" s="377" t="s">
        <v>280</v>
      </c>
      <c r="C218" s="496"/>
      <c r="D218" s="496">
        <v>0</v>
      </c>
      <c r="E218" s="496">
        <v>0</v>
      </c>
      <c r="F218" s="496">
        <v>0</v>
      </c>
      <c r="G218" s="496">
        <v>0</v>
      </c>
      <c r="H218" s="496">
        <v>64328</v>
      </c>
      <c r="I218" s="496">
        <v>29750</v>
      </c>
      <c r="J218" s="496">
        <v>12700</v>
      </c>
      <c r="K218" s="496">
        <v>1000</v>
      </c>
      <c r="L218" s="496">
        <v>0</v>
      </c>
      <c r="M218" s="496">
        <v>0</v>
      </c>
      <c r="N218" s="27"/>
    </row>
    <row r="219" spans="1:16" x14ac:dyDescent="0.25">
      <c r="A219" s="495">
        <v>453</v>
      </c>
      <c r="B219" s="552" t="s">
        <v>278</v>
      </c>
      <c r="C219" s="496">
        <v>709</v>
      </c>
      <c r="D219" s="496"/>
      <c r="E219" s="496">
        <v>480</v>
      </c>
      <c r="F219" s="496">
        <v>2009</v>
      </c>
      <c r="G219" s="496">
        <v>251</v>
      </c>
      <c r="H219" s="496">
        <v>0</v>
      </c>
      <c r="I219" s="496">
        <v>1500</v>
      </c>
      <c r="J219" s="496">
        <v>1500</v>
      </c>
      <c r="K219" s="496">
        <v>2000</v>
      </c>
      <c r="L219" s="496">
        <v>2000</v>
      </c>
      <c r="M219" s="496">
        <v>2000</v>
      </c>
      <c r="N219" s="27"/>
    </row>
    <row r="220" spans="1:16" ht="15.75" thickBot="1" x14ac:dyDescent="0.3">
      <c r="A220" s="303">
        <v>453</v>
      </c>
      <c r="B220" s="304" t="s">
        <v>281</v>
      </c>
      <c r="C220" s="305"/>
      <c r="D220" s="305">
        <v>0</v>
      </c>
      <c r="E220" s="305">
        <v>0</v>
      </c>
      <c r="F220" s="305">
        <v>0</v>
      </c>
      <c r="G220" s="305">
        <v>0</v>
      </c>
      <c r="H220" s="305">
        <v>0</v>
      </c>
      <c r="I220" s="305">
        <v>2030</v>
      </c>
      <c r="J220" s="305">
        <v>2030</v>
      </c>
      <c r="K220" s="305">
        <v>0</v>
      </c>
      <c r="L220" s="305">
        <v>0</v>
      </c>
      <c r="M220" s="305">
        <v>0</v>
      </c>
      <c r="N220" s="27">
        <f>SUM(K214:K220)</f>
        <v>36740</v>
      </c>
      <c r="O220" s="27">
        <f t="shared" ref="O220:P220" si="137">SUM(L214:L220)</f>
        <v>27000</v>
      </c>
      <c r="P220" s="27">
        <f t="shared" si="137"/>
        <v>27000</v>
      </c>
    </row>
    <row r="221" spans="1:16" x14ac:dyDescent="0.25">
      <c r="A221" s="495">
        <v>453</v>
      </c>
      <c r="B221" s="552" t="s">
        <v>374</v>
      </c>
      <c r="C221" s="496"/>
      <c r="D221" s="496"/>
      <c r="E221" s="496"/>
      <c r="F221" s="496">
        <v>0</v>
      </c>
      <c r="G221" s="496">
        <v>0</v>
      </c>
      <c r="H221" s="496">
        <v>0</v>
      </c>
      <c r="I221" s="496">
        <v>0</v>
      </c>
      <c r="J221" s="496">
        <v>0</v>
      </c>
      <c r="K221" s="496">
        <v>105400</v>
      </c>
      <c r="L221" s="496">
        <v>0</v>
      </c>
      <c r="M221" s="496">
        <v>0</v>
      </c>
      <c r="N221" s="27"/>
      <c r="O221" s="27"/>
      <c r="P221" s="27"/>
    </row>
    <row r="222" spans="1:16" x14ac:dyDescent="0.25">
      <c r="A222" s="300">
        <v>453</v>
      </c>
      <c r="B222" s="301" t="s">
        <v>389</v>
      </c>
      <c r="C222" s="302"/>
      <c r="D222" s="302"/>
      <c r="E222" s="302"/>
      <c r="F222" s="302">
        <v>0</v>
      </c>
      <c r="G222" s="302">
        <v>0</v>
      </c>
      <c r="H222" s="302">
        <v>0</v>
      </c>
      <c r="I222" s="302">
        <v>0</v>
      </c>
      <c r="J222" s="302">
        <v>0</v>
      </c>
      <c r="K222" s="302">
        <v>91310</v>
      </c>
      <c r="L222" s="302">
        <v>0</v>
      </c>
      <c r="M222" s="302">
        <v>0</v>
      </c>
      <c r="N222" s="27"/>
      <c r="O222" s="27"/>
      <c r="P222" s="27"/>
    </row>
    <row r="223" spans="1:16" x14ac:dyDescent="0.25">
      <c r="A223" s="403">
        <v>453</v>
      </c>
      <c r="B223" s="404" t="s">
        <v>376</v>
      </c>
      <c r="C223" s="64"/>
      <c r="D223" s="64"/>
      <c r="E223" s="64"/>
      <c r="F223" s="64">
        <v>0</v>
      </c>
      <c r="G223" s="64">
        <v>0</v>
      </c>
      <c r="H223" s="64">
        <v>0</v>
      </c>
      <c r="I223" s="64">
        <v>0</v>
      </c>
      <c r="J223" s="64"/>
      <c r="K223" s="64">
        <v>79700</v>
      </c>
      <c r="L223" s="64">
        <v>0</v>
      </c>
      <c r="M223" s="64">
        <v>0</v>
      </c>
      <c r="N223" s="27"/>
    </row>
    <row r="224" spans="1:16" x14ac:dyDescent="0.25">
      <c r="A224" s="553">
        <v>453</v>
      </c>
      <c r="B224" s="377" t="s">
        <v>401</v>
      </c>
      <c r="C224" s="554"/>
      <c r="D224" s="554"/>
      <c r="E224" s="554"/>
      <c r="F224" s="554">
        <v>0</v>
      </c>
      <c r="G224" s="554">
        <v>0</v>
      </c>
      <c r="H224" s="554">
        <v>0</v>
      </c>
      <c r="I224" s="554">
        <v>0</v>
      </c>
      <c r="J224" s="554">
        <v>0</v>
      </c>
      <c r="K224" s="554">
        <v>70000</v>
      </c>
      <c r="L224" s="554">
        <v>0</v>
      </c>
      <c r="M224" s="554">
        <v>0</v>
      </c>
    </row>
    <row r="225" spans="1:18" ht="15.75" thickBot="1" x14ac:dyDescent="0.3">
      <c r="A225" s="495">
        <v>453</v>
      </c>
      <c r="B225" s="552" t="s">
        <v>259</v>
      </c>
      <c r="C225" s="496"/>
      <c r="D225" s="496">
        <v>0</v>
      </c>
      <c r="E225" s="496">
        <v>0</v>
      </c>
      <c r="F225" s="496">
        <v>0</v>
      </c>
      <c r="G225" s="496">
        <v>0</v>
      </c>
      <c r="H225" s="496">
        <v>0</v>
      </c>
      <c r="I225" s="496">
        <v>886</v>
      </c>
      <c r="J225" s="496">
        <v>886</v>
      </c>
      <c r="K225" s="496">
        <v>886</v>
      </c>
      <c r="L225" s="496">
        <v>0</v>
      </c>
      <c r="M225" s="496">
        <v>0</v>
      </c>
      <c r="N225" s="27">
        <f>SUM(K221:K225)</f>
        <v>347296</v>
      </c>
      <c r="O225" s="426">
        <f>N220+N225</f>
        <v>384036</v>
      </c>
      <c r="R225" s="426">
        <f>N176</f>
        <v>890996</v>
      </c>
    </row>
    <row r="226" spans="1:18" x14ac:dyDescent="0.25">
      <c r="A226" s="378">
        <v>454</v>
      </c>
      <c r="B226" s="379" t="s">
        <v>391</v>
      </c>
      <c r="C226" s="380"/>
      <c r="D226" s="380"/>
      <c r="E226" s="380"/>
      <c r="F226" s="380">
        <v>0</v>
      </c>
      <c r="G226" s="380">
        <v>65231</v>
      </c>
      <c r="H226" s="380">
        <v>0</v>
      </c>
      <c r="I226" s="380">
        <f>160000-63500-3000</f>
        <v>93500</v>
      </c>
      <c r="J226" s="380">
        <v>71335</v>
      </c>
      <c r="K226" s="380">
        <v>0</v>
      </c>
      <c r="L226" s="380">
        <v>0</v>
      </c>
      <c r="M226" s="380">
        <v>0</v>
      </c>
      <c r="R226" s="426">
        <f>R225-N225-N227</f>
        <v>0</v>
      </c>
    </row>
    <row r="227" spans="1:18" ht="15.75" thickBot="1" x14ac:dyDescent="0.3">
      <c r="A227" s="303">
        <v>454</v>
      </c>
      <c r="B227" s="304" t="s">
        <v>345</v>
      </c>
      <c r="C227" s="305">
        <v>85625</v>
      </c>
      <c r="D227" s="305">
        <v>128713</v>
      </c>
      <c r="E227" s="305">
        <v>135867</v>
      </c>
      <c r="F227" s="305">
        <v>92456</v>
      </c>
      <c r="G227" s="305">
        <v>154805</v>
      </c>
      <c r="H227" s="305">
        <v>36647</v>
      </c>
      <c r="I227" s="305">
        <f>575840</f>
        <v>575840</v>
      </c>
      <c r="J227" s="305">
        <v>433840</v>
      </c>
      <c r="K227" s="305">
        <v>543700</v>
      </c>
      <c r="L227" s="305">
        <v>0</v>
      </c>
      <c r="M227" s="305">
        <v>0</v>
      </c>
      <c r="N227" s="27">
        <f>SUM(K226:K227)</f>
        <v>543700</v>
      </c>
      <c r="O227" s="27">
        <f t="shared" ref="O227:P227" si="138">SUM(L226:L227)</f>
        <v>0</v>
      </c>
      <c r="P227" s="27">
        <f t="shared" si="138"/>
        <v>0</v>
      </c>
    </row>
    <row r="228" spans="1:18" ht="15" customHeight="1" x14ac:dyDescent="0.25">
      <c r="A228" s="495">
        <v>456</v>
      </c>
      <c r="B228" s="377" t="s">
        <v>260</v>
      </c>
      <c r="C228" s="496"/>
      <c r="D228" s="496">
        <v>0</v>
      </c>
      <c r="E228" s="496">
        <v>0</v>
      </c>
      <c r="F228" s="496">
        <v>0</v>
      </c>
      <c r="G228" s="496">
        <v>0</v>
      </c>
      <c r="H228" s="496">
        <v>27000</v>
      </c>
      <c r="I228" s="496">
        <v>18000</v>
      </c>
      <c r="J228" s="496">
        <v>21421</v>
      </c>
      <c r="K228" s="496">
        <v>3421</v>
      </c>
      <c r="L228" s="496"/>
      <c r="M228" s="496"/>
      <c r="N228" s="1"/>
    </row>
    <row r="229" spans="1:18" ht="14.25" customHeight="1" x14ac:dyDescent="0.25">
      <c r="A229" s="403">
        <v>456</v>
      </c>
      <c r="B229" s="404" t="s">
        <v>261</v>
      </c>
      <c r="C229" s="64">
        <v>0</v>
      </c>
      <c r="D229" s="64">
        <v>0</v>
      </c>
      <c r="E229" s="64">
        <v>0</v>
      </c>
      <c r="F229" s="64">
        <v>0</v>
      </c>
      <c r="G229" s="64">
        <v>0</v>
      </c>
      <c r="H229" s="64">
        <v>0</v>
      </c>
      <c r="I229" s="64">
        <v>40</v>
      </c>
      <c r="J229" s="64">
        <v>40</v>
      </c>
      <c r="K229" s="64">
        <v>40</v>
      </c>
      <c r="L229" s="64">
        <v>40</v>
      </c>
      <c r="M229" s="64">
        <v>40</v>
      </c>
      <c r="N229" s="27"/>
    </row>
    <row r="230" spans="1:18" ht="15.75" thickBot="1" x14ac:dyDescent="0.3">
      <c r="A230" s="553">
        <v>456</v>
      </c>
      <c r="B230" s="377" t="s">
        <v>283</v>
      </c>
      <c r="C230" s="554"/>
      <c r="D230" s="554">
        <v>62</v>
      </c>
      <c r="E230" s="554">
        <v>26</v>
      </c>
      <c r="F230" s="554">
        <v>28</v>
      </c>
      <c r="G230" s="554">
        <v>10</v>
      </c>
      <c r="H230" s="554">
        <v>14</v>
      </c>
      <c r="I230" s="554">
        <v>100</v>
      </c>
      <c r="J230" s="554">
        <v>100</v>
      </c>
      <c r="K230" s="554">
        <v>100</v>
      </c>
      <c r="L230" s="554">
        <v>100</v>
      </c>
      <c r="M230" s="554">
        <v>100</v>
      </c>
      <c r="N230" s="27">
        <f>SUM(K228:K230)</f>
        <v>3561</v>
      </c>
      <c r="O230" s="27">
        <f t="shared" ref="O230:P230" si="139">SUM(L228:L230)</f>
        <v>140</v>
      </c>
      <c r="P230" s="27">
        <f t="shared" si="139"/>
        <v>140</v>
      </c>
    </row>
    <row r="231" spans="1:18" x14ac:dyDescent="0.25">
      <c r="A231" s="378">
        <v>513</v>
      </c>
      <c r="B231" s="379" t="s">
        <v>172</v>
      </c>
      <c r="C231" s="380">
        <v>0</v>
      </c>
      <c r="D231" s="380"/>
      <c r="E231" s="380">
        <v>0</v>
      </c>
      <c r="F231" s="380">
        <v>0</v>
      </c>
      <c r="G231" s="380">
        <v>0</v>
      </c>
      <c r="H231" s="380">
        <v>0</v>
      </c>
      <c r="I231" s="380">
        <v>0</v>
      </c>
      <c r="J231" s="380">
        <v>0</v>
      </c>
      <c r="K231" s="380">
        <v>0</v>
      </c>
      <c r="L231" s="380">
        <v>0</v>
      </c>
      <c r="M231" s="380">
        <v>0</v>
      </c>
      <c r="N231" s="27"/>
    </row>
    <row r="232" spans="1:18" ht="15.75" thickBot="1" x14ac:dyDescent="0.3">
      <c r="A232" s="303">
        <v>514</v>
      </c>
      <c r="B232" s="425" t="s">
        <v>195</v>
      </c>
      <c r="C232" s="305">
        <v>0</v>
      </c>
      <c r="D232" s="305"/>
      <c r="E232" s="305">
        <v>0</v>
      </c>
      <c r="F232" s="305">
        <v>64316</v>
      </c>
      <c r="G232" s="305">
        <v>0</v>
      </c>
      <c r="H232" s="305">
        <v>0</v>
      </c>
      <c r="I232" s="305">
        <v>0</v>
      </c>
      <c r="J232" s="305">
        <v>0</v>
      </c>
      <c r="K232" s="305">
        <v>0</v>
      </c>
      <c r="L232" s="305">
        <v>0</v>
      </c>
      <c r="M232" s="305">
        <v>0</v>
      </c>
      <c r="N232" s="27"/>
    </row>
    <row r="233" spans="1:18" ht="15.75" thickBot="1" x14ac:dyDescent="0.3">
      <c r="A233" s="422">
        <v>453</v>
      </c>
      <c r="B233" s="423" t="s">
        <v>293</v>
      </c>
      <c r="C233" s="424">
        <v>0</v>
      </c>
      <c r="D233" s="424">
        <v>0</v>
      </c>
      <c r="E233" s="424">
        <v>0</v>
      </c>
      <c r="F233" s="424">
        <v>0</v>
      </c>
      <c r="G233" s="424">
        <v>8097</v>
      </c>
      <c r="H233" s="424">
        <v>0</v>
      </c>
      <c r="I233" s="424">
        <v>0</v>
      </c>
      <c r="J233" s="424">
        <v>0</v>
      </c>
      <c r="K233" s="424">
        <v>0</v>
      </c>
      <c r="L233" s="424"/>
      <c r="M233" s="424">
        <v>0</v>
      </c>
      <c r="N233" s="1"/>
    </row>
    <row r="234" spans="1:18" ht="16.5" thickBot="1" x14ac:dyDescent="0.3">
      <c r="A234" s="410" t="s">
        <v>173</v>
      </c>
      <c r="B234" s="411"/>
      <c r="C234" s="412">
        <f t="shared" ref="C234:M234" si="140">SUM(C235:C239)</f>
        <v>789</v>
      </c>
      <c r="D234" s="412">
        <f t="shared" si="140"/>
        <v>879</v>
      </c>
      <c r="E234" s="412">
        <f t="shared" si="140"/>
        <v>882</v>
      </c>
      <c r="F234" s="412">
        <f t="shared" si="140"/>
        <v>916</v>
      </c>
      <c r="G234" s="412">
        <f t="shared" si="140"/>
        <v>940</v>
      </c>
      <c r="H234" s="412">
        <f t="shared" si="140"/>
        <v>9990</v>
      </c>
      <c r="I234" s="412">
        <f t="shared" si="140"/>
        <v>19140</v>
      </c>
      <c r="J234" s="412">
        <f t="shared" si="140"/>
        <v>22561</v>
      </c>
      <c r="K234" s="412">
        <f t="shared" si="140"/>
        <v>4601</v>
      </c>
      <c r="L234" s="412">
        <f t="shared" si="140"/>
        <v>1230</v>
      </c>
      <c r="M234" s="412">
        <f t="shared" si="140"/>
        <v>1270</v>
      </c>
      <c r="N234" s="1"/>
    </row>
    <row r="235" spans="1:18" ht="17.25" customHeight="1" x14ac:dyDescent="0.25">
      <c r="A235" s="306">
        <v>819</v>
      </c>
      <c r="B235" s="307" t="s">
        <v>174</v>
      </c>
      <c r="C235" s="201">
        <v>0</v>
      </c>
      <c r="D235" s="201">
        <v>62</v>
      </c>
      <c r="E235" s="201">
        <v>26</v>
      </c>
      <c r="F235" s="201">
        <v>28</v>
      </c>
      <c r="G235" s="201">
        <v>10</v>
      </c>
      <c r="H235" s="201">
        <v>14</v>
      </c>
      <c r="I235" s="201">
        <v>100</v>
      </c>
      <c r="J235" s="201">
        <v>100</v>
      </c>
      <c r="K235" s="201">
        <v>100</v>
      </c>
      <c r="L235" s="201">
        <v>100</v>
      </c>
      <c r="M235" s="201">
        <v>100</v>
      </c>
      <c r="N235" s="1"/>
    </row>
    <row r="236" spans="1:18" x14ac:dyDescent="0.25">
      <c r="A236" s="308">
        <v>819</v>
      </c>
      <c r="B236" s="309" t="s">
        <v>262</v>
      </c>
      <c r="C236" s="56"/>
      <c r="D236" s="56"/>
      <c r="E236" s="56"/>
      <c r="F236" s="56">
        <v>0</v>
      </c>
      <c r="G236" s="56">
        <v>6</v>
      </c>
      <c r="H236" s="56">
        <v>15</v>
      </c>
      <c r="I236" s="56">
        <v>40</v>
      </c>
      <c r="J236" s="56">
        <v>40</v>
      </c>
      <c r="K236" s="56">
        <v>40</v>
      </c>
      <c r="L236" s="56">
        <v>40</v>
      </c>
      <c r="M236" s="56">
        <v>40</v>
      </c>
      <c r="N236" s="1"/>
    </row>
    <row r="237" spans="1:18" x14ac:dyDescent="0.25">
      <c r="A237" s="308">
        <v>819</v>
      </c>
      <c r="B237" s="479" t="s">
        <v>263</v>
      </c>
      <c r="C237" s="56"/>
      <c r="D237" s="56"/>
      <c r="E237" s="56"/>
      <c r="F237" s="56">
        <v>0</v>
      </c>
      <c r="G237" s="56">
        <v>0</v>
      </c>
      <c r="H237" s="56">
        <v>9000</v>
      </c>
      <c r="I237" s="56">
        <v>18000</v>
      </c>
      <c r="J237" s="56">
        <v>21421</v>
      </c>
      <c r="K237" s="56">
        <v>3421</v>
      </c>
      <c r="L237" s="56">
        <v>0</v>
      </c>
      <c r="M237" s="56">
        <v>0</v>
      </c>
      <c r="N237" s="157"/>
    </row>
    <row r="238" spans="1:18" ht="15" customHeight="1" x14ac:dyDescent="0.25">
      <c r="A238" s="308">
        <v>821</v>
      </c>
      <c r="B238" s="309" t="s">
        <v>368</v>
      </c>
      <c r="C238" s="56">
        <v>0</v>
      </c>
      <c r="D238" s="56">
        <v>0</v>
      </c>
      <c r="E238" s="56">
        <v>0</v>
      </c>
      <c r="F238" s="56">
        <v>0</v>
      </c>
      <c r="G238" s="56">
        <v>0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157"/>
    </row>
    <row r="239" spans="1:18" ht="15.75" thickBot="1" x14ac:dyDescent="0.3">
      <c r="A239" s="310">
        <v>821</v>
      </c>
      <c r="B239" s="311" t="s">
        <v>175</v>
      </c>
      <c r="C239" s="187">
        <v>789</v>
      </c>
      <c r="D239" s="187">
        <v>817</v>
      </c>
      <c r="E239" s="187">
        <v>856</v>
      </c>
      <c r="F239" s="187">
        <v>888</v>
      </c>
      <c r="G239" s="124">
        <v>924</v>
      </c>
      <c r="H239" s="124">
        <v>961</v>
      </c>
      <c r="I239" s="124">
        <v>1000</v>
      </c>
      <c r="J239" s="124">
        <v>1000</v>
      </c>
      <c r="K239" s="124">
        <v>1040</v>
      </c>
      <c r="L239" s="124">
        <v>1090</v>
      </c>
      <c r="M239" s="124">
        <v>1130</v>
      </c>
      <c r="N239" s="295"/>
    </row>
    <row r="240" spans="1:18" x14ac:dyDescent="0.25">
      <c r="A240" s="297"/>
      <c r="B240" s="312"/>
      <c r="C240" s="312"/>
      <c r="D240" s="312"/>
      <c r="E240" s="157"/>
      <c r="F240" s="157"/>
      <c r="G240" s="157"/>
      <c r="H240" s="157"/>
      <c r="I240" s="157"/>
      <c r="J240" s="157"/>
      <c r="K240" s="157"/>
      <c r="L240" s="157"/>
      <c r="M240" s="157"/>
      <c r="N240" s="1"/>
    </row>
    <row r="241" spans="1:16" ht="15.75" x14ac:dyDescent="0.25">
      <c r="A241" s="101"/>
      <c r="B241" s="295"/>
      <c r="C241" s="295"/>
      <c r="D241" s="295"/>
      <c r="E241" s="295"/>
      <c r="F241" s="295"/>
      <c r="G241" s="295"/>
      <c r="H241" s="295"/>
      <c r="I241" s="295"/>
      <c r="J241" s="295"/>
      <c r="K241" s="295"/>
      <c r="L241" s="295"/>
      <c r="M241" s="295"/>
    </row>
    <row r="242" spans="1:16" ht="25.5" customHeight="1" thickBot="1" x14ac:dyDescent="0.3">
      <c r="A242" s="626" t="s">
        <v>176</v>
      </c>
      <c r="B242" s="627"/>
      <c r="C242" s="627"/>
      <c r="D242" s="627"/>
      <c r="E242" s="627"/>
      <c r="F242" s="627"/>
      <c r="G242" s="627"/>
      <c r="H242" s="627"/>
      <c r="I242" s="627"/>
      <c r="J242" s="627"/>
      <c r="K242" s="627"/>
      <c r="L242" s="627"/>
      <c r="M242" s="627"/>
      <c r="N242" s="1"/>
    </row>
    <row r="243" spans="1:16" ht="59.25" customHeight="1" thickBot="1" x14ac:dyDescent="0.3">
      <c r="A243" s="628" t="s">
        <v>1</v>
      </c>
      <c r="B243" s="630"/>
      <c r="C243" s="388" t="s">
        <v>2</v>
      </c>
      <c r="D243" s="388" t="s">
        <v>3</v>
      </c>
      <c r="E243" s="388" t="s">
        <v>190</v>
      </c>
      <c r="F243" s="388" t="s">
        <v>209</v>
      </c>
      <c r="G243" s="494" t="s">
        <v>254</v>
      </c>
      <c r="H243" s="494" t="s">
        <v>338</v>
      </c>
      <c r="I243" s="387" t="s">
        <v>339</v>
      </c>
      <c r="J243" s="387" t="s">
        <v>340</v>
      </c>
      <c r="K243" s="387" t="s">
        <v>255</v>
      </c>
      <c r="L243" s="387" t="s">
        <v>256</v>
      </c>
      <c r="M243" s="387" t="s">
        <v>341</v>
      </c>
      <c r="N243" s="1"/>
    </row>
    <row r="244" spans="1:16" ht="15.75" x14ac:dyDescent="0.25">
      <c r="A244" s="313" t="s">
        <v>177</v>
      </c>
      <c r="B244" s="29"/>
      <c r="C244" s="314">
        <f t="shared" ref="C244:M244" si="141">C90</f>
        <v>1745739</v>
      </c>
      <c r="D244" s="314">
        <f t="shared" si="141"/>
        <v>1885817</v>
      </c>
      <c r="E244" s="314">
        <f t="shared" si="141"/>
        <v>2141845</v>
      </c>
      <c r="F244" s="314">
        <f t="shared" si="141"/>
        <v>2242915</v>
      </c>
      <c r="G244" s="314">
        <f t="shared" si="141"/>
        <v>2341113</v>
      </c>
      <c r="H244" s="314">
        <f t="shared" si="141"/>
        <v>2298428</v>
      </c>
      <c r="I244" s="314">
        <f t="shared" si="141"/>
        <v>2548280</v>
      </c>
      <c r="J244" s="314">
        <f t="shared" si="141"/>
        <v>2889396</v>
      </c>
      <c r="K244" s="314">
        <f t="shared" si="141"/>
        <v>2776003</v>
      </c>
      <c r="L244" s="314">
        <f t="shared" si="141"/>
        <v>2757201</v>
      </c>
      <c r="M244" s="314">
        <f t="shared" si="141"/>
        <v>2844211</v>
      </c>
      <c r="N244" s="1"/>
    </row>
    <row r="245" spans="1:16" ht="15.75" x14ac:dyDescent="0.25">
      <c r="A245" s="315" t="s">
        <v>178</v>
      </c>
      <c r="B245" s="316"/>
      <c r="C245" s="317">
        <f t="shared" ref="C245:M245" si="142">C158</f>
        <v>1508309</v>
      </c>
      <c r="D245" s="317">
        <f t="shared" si="142"/>
        <v>1667910</v>
      </c>
      <c r="E245" s="317">
        <f t="shared" si="142"/>
        <v>1947235</v>
      </c>
      <c r="F245" s="317">
        <f t="shared" si="142"/>
        <v>1998056.4</v>
      </c>
      <c r="G245" s="317">
        <f t="shared" si="142"/>
        <v>2131546</v>
      </c>
      <c r="H245" s="317">
        <f t="shared" si="142"/>
        <v>2183960</v>
      </c>
      <c r="I245" s="317">
        <f t="shared" si="142"/>
        <v>2680960</v>
      </c>
      <c r="J245" s="317">
        <f t="shared" si="142"/>
        <v>2982881</v>
      </c>
      <c r="K245" s="317">
        <f t="shared" si="142"/>
        <v>2811703</v>
      </c>
      <c r="L245" s="317">
        <f t="shared" si="142"/>
        <v>2783111</v>
      </c>
      <c r="M245" s="317">
        <f t="shared" si="142"/>
        <v>2870081</v>
      </c>
      <c r="N245" s="1"/>
    </row>
    <row r="246" spans="1:16" ht="15.75" x14ac:dyDescent="0.25">
      <c r="A246" s="618" t="s">
        <v>179</v>
      </c>
      <c r="B246" s="619"/>
      <c r="C246" s="318">
        <f t="shared" ref="C246:G246" si="143">C244-C245</f>
        <v>237430</v>
      </c>
      <c r="D246" s="318">
        <f t="shared" si="143"/>
        <v>217907</v>
      </c>
      <c r="E246" s="318">
        <f t="shared" si="143"/>
        <v>194610</v>
      </c>
      <c r="F246" s="318">
        <f t="shared" ref="F246" si="144">F244-F245</f>
        <v>244858.60000000009</v>
      </c>
      <c r="G246" s="318">
        <f t="shared" si="143"/>
        <v>209567</v>
      </c>
      <c r="H246" s="318">
        <f t="shared" ref="H246" si="145">H244-H245</f>
        <v>114468</v>
      </c>
      <c r="I246" s="318">
        <f t="shared" ref="I246:M246" si="146">I244-I245</f>
        <v>-132680</v>
      </c>
      <c r="J246" s="318">
        <f t="shared" ref="J246:K246" si="147">J244-J245</f>
        <v>-93485</v>
      </c>
      <c r="K246" s="318">
        <f t="shared" si="147"/>
        <v>-35700</v>
      </c>
      <c r="L246" s="318">
        <f t="shared" si="146"/>
        <v>-25910</v>
      </c>
      <c r="M246" s="318">
        <f t="shared" si="146"/>
        <v>-25870</v>
      </c>
      <c r="N246" s="27">
        <f>K246-K239</f>
        <v>-36740</v>
      </c>
      <c r="O246" s="426">
        <f>L246-L239</f>
        <v>-27000</v>
      </c>
      <c r="P246" s="426">
        <f>M246-M239</f>
        <v>-27000</v>
      </c>
    </row>
    <row r="247" spans="1:16" ht="15.75" x14ac:dyDescent="0.25">
      <c r="A247" s="315" t="s">
        <v>180</v>
      </c>
      <c r="B247" s="18"/>
      <c r="C247" s="317">
        <f t="shared" ref="C247:M247" si="148">C163</f>
        <v>10502</v>
      </c>
      <c r="D247" s="317">
        <f t="shared" si="148"/>
        <v>445</v>
      </c>
      <c r="E247" s="317">
        <f t="shared" si="148"/>
        <v>196343</v>
      </c>
      <c r="F247" s="317">
        <f t="shared" si="148"/>
        <v>118970</v>
      </c>
      <c r="G247" s="317">
        <f t="shared" si="148"/>
        <v>93063</v>
      </c>
      <c r="H247" s="317">
        <f t="shared" si="148"/>
        <v>79290</v>
      </c>
      <c r="I247" s="317">
        <f t="shared" si="148"/>
        <v>869220</v>
      </c>
      <c r="J247" s="317">
        <f t="shared" si="148"/>
        <v>618220</v>
      </c>
      <c r="K247" s="317">
        <f t="shared" si="148"/>
        <v>1143050</v>
      </c>
      <c r="L247" s="317">
        <f t="shared" si="148"/>
        <v>0</v>
      </c>
      <c r="M247" s="317">
        <f t="shared" si="148"/>
        <v>0</v>
      </c>
      <c r="N247" s="1"/>
    </row>
    <row r="248" spans="1:16" ht="15.75" x14ac:dyDescent="0.25">
      <c r="A248" s="315" t="s">
        <v>181</v>
      </c>
      <c r="B248" s="18"/>
      <c r="C248" s="20">
        <f t="shared" ref="C248:M248" si="149">C176</f>
        <v>54067</v>
      </c>
      <c r="D248" s="20">
        <f t="shared" si="149"/>
        <v>22442</v>
      </c>
      <c r="E248" s="20">
        <f t="shared" si="149"/>
        <v>290525</v>
      </c>
      <c r="F248" s="20">
        <f t="shared" si="149"/>
        <v>211426</v>
      </c>
      <c r="G248" s="20">
        <f t="shared" si="149"/>
        <v>247102</v>
      </c>
      <c r="H248" s="20">
        <f t="shared" si="149"/>
        <v>115817</v>
      </c>
      <c r="I248" s="20">
        <f t="shared" si="149"/>
        <v>1445946</v>
      </c>
      <c r="J248" s="20">
        <f t="shared" si="149"/>
        <v>1052946</v>
      </c>
      <c r="K248" s="20">
        <f t="shared" si="149"/>
        <v>2034046</v>
      </c>
      <c r="L248" s="20">
        <f t="shared" si="149"/>
        <v>0</v>
      </c>
      <c r="M248" s="20">
        <f t="shared" si="149"/>
        <v>0</v>
      </c>
      <c r="N248" s="1"/>
    </row>
    <row r="249" spans="1:16" ht="15.75" x14ac:dyDescent="0.25">
      <c r="A249" s="618" t="s">
        <v>182</v>
      </c>
      <c r="B249" s="619"/>
      <c r="C249" s="318">
        <f t="shared" ref="C249:G249" si="150">C247-C248</f>
        <v>-43565</v>
      </c>
      <c r="D249" s="318">
        <f t="shared" si="150"/>
        <v>-21997</v>
      </c>
      <c r="E249" s="318">
        <f t="shared" si="150"/>
        <v>-94182</v>
      </c>
      <c r="F249" s="318">
        <f t="shared" ref="F249" si="151">F247-F248</f>
        <v>-92456</v>
      </c>
      <c r="G249" s="318">
        <f t="shared" si="150"/>
        <v>-154039</v>
      </c>
      <c r="H249" s="318">
        <f t="shared" ref="H249" si="152">H247-H248</f>
        <v>-36527</v>
      </c>
      <c r="I249" s="318">
        <f t="shared" ref="I249:M249" si="153">I247-I248</f>
        <v>-576726</v>
      </c>
      <c r="J249" s="318">
        <f t="shared" ref="J249:K249" si="154">J247-J248</f>
        <v>-434726</v>
      </c>
      <c r="K249" s="318">
        <f t="shared" si="154"/>
        <v>-890996</v>
      </c>
      <c r="L249" s="318">
        <f t="shared" si="153"/>
        <v>0</v>
      </c>
      <c r="M249" s="318">
        <f t="shared" si="153"/>
        <v>0</v>
      </c>
      <c r="N249" s="1"/>
    </row>
    <row r="250" spans="1:16" ht="15.75" x14ac:dyDescent="0.25">
      <c r="A250" s="319" t="s">
        <v>183</v>
      </c>
      <c r="B250" s="320"/>
      <c r="C250" s="321">
        <f t="shared" ref="C250:M250" si="155">C213</f>
        <v>87331</v>
      </c>
      <c r="D250" s="321">
        <f t="shared" si="155"/>
        <v>129336</v>
      </c>
      <c r="E250" s="321">
        <f t="shared" si="155"/>
        <v>137207</v>
      </c>
      <c r="F250" s="321">
        <f t="shared" si="155"/>
        <v>174149</v>
      </c>
      <c r="G250" s="321">
        <f t="shared" si="155"/>
        <v>249113</v>
      </c>
      <c r="H250" s="321">
        <f t="shared" si="155"/>
        <v>158714</v>
      </c>
      <c r="I250" s="321">
        <f t="shared" si="155"/>
        <v>728546</v>
      </c>
      <c r="J250" s="321">
        <f t="shared" si="155"/>
        <v>550772</v>
      </c>
      <c r="K250" s="321">
        <f t="shared" si="155"/>
        <v>931297</v>
      </c>
      <c r="L250" s="321">
        <f t="shared" si="155"/>
        <v>27140</v>
      </c>
      <c r="M250" s="321">
        <f t="shared" si="155"/>
        <v>27140</v>
      </c>
      <c r="N250" s="1"/>
    </row>
    <row r="251" spans="1:16" ht="15.75" x14ac:dyDescent="0.25">
      <c r="A251" s="319" t="s">
        <v>184</v>
      </c>
      <c r="B251" s="320"/>
      <c r="C251" s="321">
        <f t="shared" ref="C251:I251" si="156">C234</f>
        <v>789</v>
      </c>
      <c r="D251" s="321">
        <f t="shared" si="156"/>
        <v>879</v>
      </c>
      <c r="E251" s="321">
        <f t="shared" si="156"/>
        <v>882</v>
      </c>
      <c r="F251" s="321">
        <f t="shared" si="156"/>
        <v>916</v>
      </c>
      <c r="G251" s="321">
        <f t="shared" si="156"/>
        <v>940</v>
      </c>
      <c r="H251" s="321">
        <f t="shared" si="156"/>
        <v>9990</v>
      </c>
      <c r="I251" s="321">
        <f t="shared" si="156"/>
        <v>19140</v>
      </c>
      <c r="J251" s="321">
        <f t="shared" ref="J251:K251" si="157">J234</f>
        <v>22561</v>
      </c>
      <c r="K251" s="321">
        <f t="shared" si="157"/>
        <v>4601</v>
      </c>
      <c r="L251" s="321">
        <f>L234</f>
        <v>1230</v>
      </c>
      <c r="M251" s="321">
        <f>M234</f>
        <v>1270</v>
      </c>
      <c r="N251" s="1"/>
    </row>
    <row r="252" spans="1:16" ht="16.5" thickBot="1" x14ac:dyDescent="0.3">
      <c r="A252" s="620" t="s">
        <v>185</v>
      </c>
      <c r="B252" s="621"/>
      <c r="C252" s="322">
        <f t="shared" ref="C252:G252" si="158">C250-C251</f>
        <v>86542</v>
      </c>
      <c r="D252" s="322">
        <f t="shared" si="158"/>
        <v>128457</v>
      </c>
      <c r="E252" s="322">
        <f t="shared" si="158"/>
        <v>136325</v>
      </c>
      <c r="F252" s="322">
        <f t="shared" ref="F252" si="159">F250-F251</f>
        <v>173233</v>
      </c>
      <c r="G252" s="322">
        <f t="shared" si="158"/>
        <v>248173</v>
      </c>
      <c r="H252" s="322">
        <f t="shared" ref="H252" si="160">H250-H251</f>
        <v>148724</v>
      </c>
      <c r="I252" s="322">
        <f t="shared" ref="I252:M252" si="161">I250-I251</f>
        <v>709406</v>
      </c>
      <c r="J252" s="322">
        <f t="shared" ref="J252:K252" si="162">J250-J251</f>
        <v>528211</v>
      </c>
      <c r="K252" s="322">
        <f t="shared" si="162"/>
        <v>926696</v>
      </c>
      <c r="L252" s="322">
        <f t="shared" si="161"/>
        <v>25910</v>
      </c>
      <c r="M252" s="322">
        <f t="shared" si="161"/>
        <v>25870</v>
      </c>
      <c r="N252" s="1"/>
    </row>
    <row r="253" spans="1:16" ht="32.25" customHeight="1" thickBot="1" x14ac:dyDescent="0.3">
      <c r="A253" s="323" t="s">
        <v>186</v>
      </c>
      <c r="B253" s="324"/>
      <c r="C253" s="325">
        <f t="shared" ref="C253:G253" si="163">C246+C249+C252</f>
        <v>280407</v>
      </c>
      <c r="D253" s="325">
        <f t="shared" si="163"/>
        <v>324367</v>
      </c>
      <c r="E253" s="325">
        <f t="shared" si="163"/>
        <v>236753</v>
      </c>
      <c r="F253" s="325">
        <f t="shared" ref="F253:M253" si="164">F246+F249+F252</f>
        <v>325635.60000000009</v>
      </c>
      <c r="G253" s="325">
        <f t="shared" si="164"/>
        <v>303701</v>
      </c>
      <c r="H253" s="325">
        <f t="shared" si="164"/>
        <v>226665</v>
      </c>
      <c r="I253" s="325">
        <f t="shared" si="164"/>
        <v>0</v>
      </c>
      <c r="J253" s="325">
        <f t="shared" si="164"/>
        <v>0</v>
      </c>
      <c r="K253" s="325">
        <f t="shared" si="164"/>
        <v>0</v>
      </c>
      <c r="L253" s="325">
        <f t="shared" si="164"/>
        <v>0</v>
      </c>
      <c r="M253" s="325">
        <f t="shared" si="164"/>
        <v>0</v>
      </c>
      <c r="N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6" x14ac:dyDescent="0.25">
      <c r="A255" s="1"/>
      <c r="B255" s="557" t="s">
        <v>346</v>
      </c>
      <c r="C255" s="558">
        <f t="shared" ref="C255:G256" si="165">C244+C247+C250</f>
        <v>1843572</v>
      </c>
      <c r="D255" s="558">
        <f t="shared" si="165"/>
        <v>2015598</v>
      </c>
      <c r="E255" s="558">
        <f t="shared" si="165"/>
        <v>2475395</v>
      </c>
      <c r="F255" s="558">
        <f t="shared" ref="F255:M255" si="166">F244+F247+F250</f>
        <v>2536034</v>
      </c>
      <c r="G255" s="558">
        <f t="shared" si="166"/>
        <v>2683289</v>
      </c>
      <c r="H255" s="558">
        <f t="shared" si="166"/>
        <v>2536432</v>
      </c>
      <c r="I255" s="558">
        <f t="shared" si="166"/>
        <v>4146046</v>
      </c>
      <c r="J255" s="558">
        <f t="shared" si="166"/>
        <v>4058388</v>
      </c>
      <c r="K255" s="558">
        <f t="shared" si="166"/>
        <v>4850350</v>
      </c>
      <c r="L255" s="558">
        <f t="shared" si="166"/>
        <v>2784341</v>
      </c>
      <c r="M255" s="558">
        <f t="shared" si="166"/>
        <v>2871351</v>
      </c>
      <c r="N255" s="1"/>
    </row>
    <row r="256" spans="1:16" x14ac:dyDescent="0.25">
      <c r="A256" s="1"/>
      <c r="B256" s="557" t="s">
        <v>347</v>
      </c>
      <c r="C256" s="558">
        <f t="shared" si="165"/>
        <v>1563165</v>
      </c>
      <c r="D256" s="558">
        <f t="shared" si="165"/>
        <v>1691231</v>
      </c>
      <c r="E256" s="558">
        <f t="shared" si="165"/>
        <v>2238642</v>
      </c>
      <c r="F256" s="558">
        <f t="shared" ref="F256:M256" si="167">F245+F248+F251</f>
        <v>2210398.4</v>
      </c>
      <c r="G256" s="558">
        <f t="shared" si="167"/>
        <v>2379588</v>
      </c>
      <c r="H256" s="558">
        <f t="shared" si="167"/>
        <v>2309767</v>
      </c>
      <c r="I256" s="558">
        <f t="shared" si="167"/>
        <v>4146046</v>
      </c>
      <c r="J256" s="558">
        <f t="shared" si="167"/>
        <v>4058388</v>
      </c>
      <c r="K256" s="558">
        <f t="shared" si="167"/>
        <v>4850350</v>
      </c>
      <c r="L256" s="558">
        <f t="shared" si="167"/>
        <v>2784341</v>
      </c>
      <c r="M256" s="558">
        <f t="shared" si="167"/>
        <v>2871351</v>
      </c>
      <c r="N256" s="1"/>
    </row>
    <row r="257" spans="1:14" x14ac:dyDescent="0.25">
      <c r="A257" s="1"/>
      <c r="B257" s="557"/>
      <c r="C257" s="558"/>
      <c r="D257" s="558"/>
      <c r="E257" s="558"/>
      <c r="F257" s="558"/>
      <c r="G257" s="558"/>
      <c r="H257" s="558"/>
      <c r="I257" s="558"/>
      <c r="J257" s="558"/>
      <c r="K257" s="558"/>
      <c r="L257" s="558"/>
      <c r="M257" s="558"/>
      <c r="N257" s="1"/>
    </row>
    <row r="258" spans="1:14" x14ac:dyDescent="0.25">
      <c r="A258" s="1"/>
      <c r="B258" s="557" t="s">
        <v>348</v>
      </c>
      <c r="C258" s="558">
        <f>C255-C89</f>
        <v>1831896</v>
      </c>
      <c r="D258" s="558">
        <f>D255-D89</f>
        <v>1996461</v>
      </c>
      <c r="E258" s="558">
        <f>E255-E89</f>
        <v>2404424</v>
      </c>
      <c r="F258" s="558">
        <f>F255-F89</f>
        <v>2494555</v>
      </c>
      <c r="G258" s="558">
        <f>G255-G89-G233</f>
        <v>2624587</v>
      </c>
      <c r="H258" s="558">
        <f t="shared" ref="G258:M258" si="168">H255-H89</f>
        <v>2519892</v>
      </c>
      <c r="I258" s="558">
        <f t="shared" si="168"/>
        <v>4130016</v>
      </c>
      <c r="J258" s="558">
        <f t="shared" si="168"/>
        <v>4041138</v>
      </c>
      <c r="K258" s="558">
        <f t="shared" si="168"/>
        <v>4832850</v>
      </c>
      <c r="L258" s="558">
        <f t="shared" si="168"/>
        <v>2766841</v>
      </c>
      <c r="M258" s="558">
        <f t="shared" si="168"/>
        <v>2853851</v>
      </c>
      <c r="N258" s="1"/>
    </row>
    <row r="259" spans="1:14" x14ac:dyDescent="0.25">
      <c r="A259" s="1"/>
      <c r="B259" s="557" t="s">
        <v>349</v>
      </c>
      <c r="C259" s="558">
        <f t="shared" ref="C259:M259" si="169">C256-C157</f>
        <v>1030275</v>
      </c>
      <c r="D259" s="558">
        <f t="shared" si="169"/>
        <v>1010682</v>
      </c>
      <c r="E259" s="558">
        <f t="shared" si="169"/>
        <v>1451847</v>
      </c>
      <c r="F259" s="558">
        <f t="shared" si="169"/>
        <v>1338080.3999999999</v>
      </c>
      <c r="G259" s="558">
        <f t="shared" ref="G259:M259" si="170">G256-G157</f>
        <v>1503497</v>
      </c>
      <c r="H259" s="558">
        <f t="shared" si="170"/>
        <v>1405532</v>
      </c>
      <c r="I259" s="558">
        <f t="shared" si="170"/>
        <v>3231446</v>
      </c>
      <c r="J259" s="558">
        <f t="shared" si="170"/>
        <v>3050844</v>
      </c>
      <c r="K259" s="558">
        <f t="shared" si="170"/>
        <v>3839878</v>
      </c>
      <c r="L259" s="558">
        <f t="shared" si="170"/>
        <v>1795841</v>
      </c>
      <c r="M259" s="558">
        <f t="shared" si="170"/>
        <v>1882851</v>
      </c>
      <c r="N259" s="1"/>
    </row>
    <row r="260" spans="1:14" x14ac:dyDescent="0.25">
      <c r="A260" s="1"/>
      <c r="B260" s="557"/>
      <c r="C260" s="558"/>
      <c r="D260" s="558"/>
      <c r="E260" s="558"/>
      <c r="F260" s="558"/>
      <c r="G260" s="558"/>
      <c r="H260" s="558"/>
      <c r="I260" s="558"/>
      <c r="J260" s="558"/>
      <c r="K260" s="558"/>
      <c r="L260" s="558"/>
      <c r="M260" s="558"/>
      <c r="N260" s="1"/>
    </row>
    <row r="261" spans="1:14" x14ac:dyDescent="0.25">
      <c r="A261" s="1"/>
      <c r="B261" s="555" t="s">
        <v>350</v>
      </c>
      <c r="C261" s="556">
        <f t="shared" ref="C261:C262" si="171">C254-C257</f>
        <v>0</v>
      </c>
      <c r="D261" s="556">
        <f t="shared" ref="D261:D262" si="172">D255-D258</f>
        <v>19137</v>
      </c>
      <c r="E261" s="556">
        <f t="shared" ref="E261:M261" si="173">E255-E258</f>
        <v>70971</v>
      </c>
      <c r="F261" s="556">
        <f t="shared" si="173"/>
        <v>41479</v>
      </c>
      <c r="G261" s="556">
        <f t="shared" ref="G261:M261" si="174">G255-G258</f>
        <v>58702</v>
      </c>
      <c r="H261" s="556">
        <f t="shared" si="174"/>
        <v>16540</v>
      </c>
      <c r="I261" s="556">
        <f t="shared" si="174"/>
        <v>16030</v>
      </c>
      <c r="J261" s="556">
        <f t="shared" si="174"/>
        <v>17250</v>
      </c>
      <c r="K261" s="556">
        <f t="shared" si="174"/>
        <v>17500</v>
      </c>
      <c r="L261" s="556">
        <f t="shared" si="174"/>
        <v>17500</v>
      </c>
      <c r="M261" s="556">
        <f t="shared" si="174"/>
        <v>17500</v>
      </c>
      <c r="N261" s="1"/>
    </row>
    <row r="262" spans="1:14" x14ac:dyDescent="0.25">
      <c r="A262" s="100"/>
      <c r="B262" s="555" t="s">
        <v>351</v>
      </c>
      <c r="C262" s="556">
        <f t="shared" si="171"/>
        <v>11676</v>
      </c>
      <c r="D262" s="556">
        <f t="shared" si="172"/>
        <v>680549</v>
      </c>
      <c r="E262" s="556">
        <f t="shared" ref="E262:M262" si="175">E256-E259</f>
        <v>786795</v>
      </c>
      <c r="F262" s="556">
        <f t="shared" si="175"/>
        <v>872318</v>
      </c>
      <c r="G262" s="556">
        <f t="shared" ref="G262:M262" si="176">G256-G259</f>
        <v>876091</v>
      </c>
      <c r="H262" s="556">
        <f t="shared" si="176"/>
        <v>904235</v>
      </c>
      <c r="I262" s="556">
        <f t="shared" si="176"/>
        <v>914600</v>
      </c>
      <c r="J262" s="556">
        <f t="shared" si="176"/>
        <v>1007544</v>
      </c>
      <c r="K262" s="556">
        <f t="shared" si="176"/>
        <v>1010472</v>
      </c>
      <c r="L262" s="556">
        <f t="shared" si="176"/>
        <v>988500</v>
      </c>
      <c r="M262" s="556">
        <f t="shared" si="176"/>
        <v>988500</v>
      </c>
      <c r="N262" s="1"/>
    </row>
    <row r="263" spans="1:14" x14ac:dyDescent="0.25">
      <c r="A263" s="1"/>
      <c r="B263" s="559"/>
      <c r="C263" s="556">
        <f>C262-C261+C252</f>
        <v>98218</v>
      </c>
      <c r="D263" s="556">
        <f>D262-D261+D253</f>
        <v>985779</v>
      </c>
      <c r="E263" s="556">
        <f t="shared" ref="E263:M263" si="177">E262-E261+E253</f>
        <v>952577</v>
      </c>
      <c r="F263" s="556">
        <f t="shared" si="177"/>
        <v>1156474.6000000001</v>
      </c>
      <c r="G263" s="556">
        <f t="shared" ref="G263:M263" si="178">G262-G261+G253</f>
        <v>1121090</v>
      </c>
      <c r="H263" s="556">
        <f t="shared" si="178"/>
        <v>1114360</v>
      </c>
      <c r="I263" s="556">
        <f t="shared" si="178"/>
        <v>898570</v>
      </c>
      <c r="J263" s="556">
        <f t="shared" si="178"/>
        <v>990294</v>
      </c>
      <c r="K263" s="556">
        <f t="shared" si="178"/>
        <v>992972</v>
      </c>
      <c r="L263" s="556">
        <f t="shared" si="178"/>
        <v>971000</v>
      </c>
      <c r="M263" s="556">
        <f t="shared" si="178"/>
        <v>971000</v>
      </c>
      <c r="N263" s="1"/>
    </row>
    <row r="264" spans="1:14" x14ac:dyDescent="0.25">
      <c r="A264" s="1"/>
      <c r="B264" s="327" t="s">
        <v>189</v>
      </c>
      <c r="C264" s="327"/>
      <c r="D264" s="327"/>
      <c r="E264" s="327"/>
      <c r="F264" s="327"/>
      <c r="G264" s="327"/>
      <c r="H264" s="327"/>
      <c r="I264" s="493"/>
      <c r="J264" s="493"/>
      <c r="K264" s="493"/>
      <c r="L264" s="327"/>
      <c r="M264" s="327"/>
      <c r="N264" s="1"/>
    </row>
    <row r="265" spans="1:14" x14ac:dyDescent="0.25">
      <c r="A265" s="1"/>
      <c r="B265" s="327" t="s">
        <v>378</v>
      </c>
      <c r="C265" s="327"/>
      <c r="D265" s="327"/>
      <c r="E265" s="327"/>
      <c r="F265" s="327"/>
      <c r="G265" s="327"/>
      <c r="H265" s="327"/>
      <c r="I265" s="327"/>
      <c r="J265" s="327"/>
      <c r="K265" s="594"/>
      <c r="L265" s="327"/>
      <c r="M265" s="327"/>
      <c r="N265" s="1"/>
    </row>
    <row r="266" spans="1:14" x14ac:dyDescent="0.25">
      <c r="A266" s="1"/>
      <c r="B266" s="327"/>
      <c r="C266" s="327"/>
      <c r="D266" s="327"/>
      <c r="E266" s="327"/>
      <c r="F266" s="327"/>
      <c r="G266" s="327"/>
      <c r="H266" s="327"/>
      <c r="I266" s="327"/>
      <c r="J266" s="327"/>
      <c r="K266" s="327"/>
      <c r="L266" s="327"/>
      <c r="M266" s="327"/>
      <c r="N266" s="1"/>
    </row>
    <row r="267" spans="1:14" x14ac:dyDescent="0.25">
      <c r="A267" s="1"/>
      <c r="B267" s="327"/>
      <c r="C267" s="327"/>
      <c r="D267" s="327"/>
      <c r="E267" s="327"/>
      <c r="F267" s="327"/>
      <c r="G267" s="327"/>
      <c r="H267" s="327"/>
      <c r="I267" s="327"/>
      <c r="J267" s="327"/>
      <c r="K267" s="327"/>
      <c r="L267" s="327"/>
      <c r="M267" s="327"/>
      <c r="N267" s="1"/>
    </row>
    <row r="268" spans="1:14" x14ac:dyDescent="0.25">
      <c r="A268" s="1"/>
      <c r="C268" s="327"/>
      <c r="D268" s="327"/>
      <c r="E268" s="327"/>
      <c r="F268" s="327"/>
      <c r="G268" s="327"/>
      <c r="H268" s="327"/>
      <c r="I268" s="327"/>
      <c r="J268" s="327"/>
      <c r="K268" s="327"/>
      <c r="L268" s="327"/>
      <c r="M268" s="327"/>
      <c r="N268" s="1"/>
    </row>
    <row r="269" spans="1:14" x14ac:dyDescent="0.25">
      <c r="A269" s="1"/>
      <c r="B269" s="328" t="s">
        <v>382</v>
      </c>
      <c r="C269" s="328"/>
      <c r="D269" s="328"/>
      <c r="E269" s="327"/>
      <c r="F269" s="327"/>
      <c r="G269" s="384"/>
      <c r="H269" s="327"/>
      <c r="I269" s="327"/>
      <c r="J269" s="327"/>
      <c r="K269" s="327"/>
      <c r="L269" s="327"/>
      <c r="M269" s="327"/>
      <c r="N269" s="1"/>
    </row>
    <row r="270" spans="1:14" x14ac:dyDescent="0.25">
      <c r="A270" s="1"/>
      <c r="C270" s="328"/>
      <c r="D270" s="328"/>
      <c r="E270" s="327"/>
      <c r="F270" s="327"/>
      <c r="G270" s="327"/>
      <c r="H270" s="327"/>
      <c r="I270" s="327"/>
      <c r="J270" s="327"/>
      <c r="K270" s="327"/>
      <c r="L270" s="327"/>
      <c r="M270" s="327"/>
      <c r="N270" s="1"/>
    </row>
    <row r="271" spans="1:14" x14ac:dyDescent="0.25">
      <c r="A271" s="1"/>
      <c r="B271" s="327" t="s">
        <v>384</v>
      </c>
      <c r="C271" s="328"/>
      <c r="D271" s="328"/>
      <c r="E271" s="327"/>
      <c r="F271" s="327"/>
      <c r="G271" s="327"/>
      <c r="H271" s="327"/>
      <c r="I271" s="327"/>
      <c r="J271" s="327"/>
      <c r="K271" s="327"/>
      <c r="L271" s="327"/>
      <c r="M271" s="327"/>
      <c r="N271" s="1"/>
    </row>
    <row r="272" spans="1:14" x14ac:dyDescent="0.25">
      <c r="A272" s="1"/>
      <c r="B272" s="327" t="s">
        <v>383</v>
      </c>
      <c r="C272" s="328"/>
      <c r="D272" s="328"/>
      <c r="E272" s="327"/>
      <c r="F272" s="327"/>
      <c r="G272" s="327"/>
      <c r="H272" s="327"/>
      <c r="I272" s="327"/>
      <c r="J272" s="327"/>
      <c r="K272" s="327"/>
      <c r="L272" s="327"/>
      <c r="M272" s="327"/>
      <c r="N272" s="1"/>
    </row>
    <row r="273" spans="1:14" x14ac:dyDescent="0.25">
      <c r="A273" s="1"/>
      <c r="B273" s="327"/>
      <c r="C273" s="327"/>
      <c r="D273" s="327"/>
      <c r="E273" s="327"/>
      <c r="F273" s="327"/>
      <c r="G273" s="327"/>
      <c r="H273" s="327"/>
      <c r="I273" s="327"/>
      <c r="J273" s="327"/>
      <c r="K273" s="327"/>
      <c r="L273" s="327"/>
      <c r="M273" s="327"/>
      <c r="N273" s="1"/>
    </row>
    <row r="274" spans="1:14" x14ac:dyDescent="0.25">
      <c r="A274" s="1"/>
      <c r="B274" s="329" t="s">
        <v>385</v>
      </c>
      <c r="C274" s="329"/>
      <c r="D274" s="329"/>
      <c r="E274" s="327"/>
      <c r="F274" s="327"/>
      <c r="G274" s="327"/>
      <c r="H274" s="327"/>
      <c r="I274" s="327"/>
      <c r="J274" s="327"/>
      <c r="K274" s="327"/>
      <c r="L274" s="327"/>
      <c r="M274" s="327"/>
      <c r="N274" s="1"/>
    </row>
    <row r="275" spans="1:14" x14ac:dyDescent="0.25">
      <c r="A275" s="1"/>
      <c r="B275" s="329" t="s">
        <v>396</v>
      </c>
      <c r="C275" s="329"/>
      <c r="D275" s="329"/>
      <c r="E275" s="327"/>
      <c r="F275" s="327"/>
      <c r="G275" s="327"/>
      <c r="H275" s="327"/>
      <c r="I275" s="327"/>
      <c r="J275" s="327"/>
      <c r="K275" s="327"/>
      <c r="L275" s="327"/>
      <c r="M275" s="327"/>
      <c r="N275" s="1"/>
    </row>
    <row r="276" spans="1:14" x14ac:dyDescent="0.25">
      <c r="A276" s="1"/>
      <c r="B276" s="329"/>
      <c r="C276" s="329"/>
      <c r="D276" s="329"/>
      <c r="E276" s="327"/>
      <c r="F276" s="327"/>
      <c r="G276" s="327"/>
      <c r="H276" s="327"/>
      <c r="I276" s="327"/>
      <c r="J276" s="327"/>
      <c r="K276" s="327"/>
      <c r="L276" s="327"/>
      <c r="M276" s="327"/>
      <c r="N276" s="1"/>
    </row>
    <row r="277" spans="1:14" x14ac:dyDescent="0.25">
      <c r="A277" s="1"/>
      <c r="B277" s="327" t="s">
        <v>386</v>
      </c>
      <c r="C277" s="327"/>
      <c r="D277" s="327"/>
      <c r="E277" s="327"/>
      <c r="F277" s="327"/>
      <c r="G277" s="327"/>
      <c r="H277" s="327"/>
      <c r="I277" s="327"/>
      <c r="J277" s="327"/>
      <c r="K277" s="327"/>
      <c r="L277" s="327"/>
      <c r="M277" s="327"/>
      <c r="N277" s="1"/>
    </row>
    <row r="278" spans="1:14" x14ac:dyDescent="0.25">
      <c r="A278" s="1"/>
      <c r="B278" s="326"/>
      <c r="C278" s="326"/>
      <c r="D278" s="326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25">
      <c r="A279" s="1"/>
      <c r="B279" s="326"/>
      <c r="C279" s="326"/>
      <c r="D279" s="326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25">
      <c r="A280" s="1"/>
      <c r="B280" s="326"/>
      <c r="C280" s="326"/>
      <c r="D280" s="326"/>
      <c r="E280" s="1"/>
      <c r="F280" s="1"/>
      <c r="G280" s="1"/>
      <c r="H280" s="1"/>
      <c r="I280" s="1"/>
      <c r="J280" s="1"/>
      <c r="K280" s="1"/>
      <c r="L280" s="1"/>
      <c r="M280" s="1"/>
    </row>
    <row r="281" spans="1:14" x14ac:dyDescent="0.25">
      <c r="A281" s="1"/>
      <c r="B281" s="326"/>
      <c r="C281" s="326"/>
      <c r="D281" s="326"/>
      <c r="E281" s="1"/>
      <c r="F281" s="1"/>
      <c r="G281" s="1"/>
      <c r="H281" s="1"/>
      <c r="I281" s="1"/>
      <c r="J281" s="1"/>
      <c r="K281" s="1"/>
      <c r="L281" s="1"/>
      <c r="M281" s="1"/>
    </row>
  </sheetData>
  <mergeCells count="24">
    <mergeCell ref="A94:B94"/>
    <mergeCell ref="A162:B162"/>
    <mergeCell ref="A212:B212"/>
    <mergeCell ref="A243:B243"/>
    <mergeCell ref="A88:B88"/>
    <mergeCell ref="A157:B157"/>
    <mergeCell ref="A110:B110"/>
    <mergeCell ref="A152:B152"/>
    <mergeCell ref="A156:B156"/>
    <mergeCell ref="A93:M93"/>
    <mergeCell ref="A89:B89"/>
    <mergeCell ref="A161:M161"/>
    <mergeCell ref="A246:B246"/>
    <mergeCell ref="A249:B249"/>
    <mergeCell ref="A252:B252"/>
    <mergeCell ref="A163:B163"/>
    <mergeCell ref="A176:B176"/>
    <mergeCell ref="A211:M211"/>
    <mergeCell ref="A242:M242"/>
    <mergeCell ref="A2:B2"/>
    <mergeCell ref="A1:M1"/>
    <mergeCell ref="A3:B3"/>
    <mergeCell ref="A11:B11"/>
    <mergeCell ref="A85:B85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 xml:space="preserve">&amp;CViacročný rozpočet
na roky 2024-2026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sqref="A1:H1"/>
    </sheetView>
  </sheetViews>
  <sheetFormatPr defaultRowHeight="15" x14ac:dyDescent="0.25"/>
  <cols>
    <col min="2" max="2" width="46.85546875" customWidth="1"/>
    <col min="3" max="3" width="11.28515625" customWidth="1"/>
    <col min="4" max="5" width="11.140625" customWidth="1"/>
    <col min="6" max="6" width="10.85546875" customWidth="1"/>
    <col min="9" max="9" width="11.7109375" customWidth="1"/>
    <col min="12" max="12" width="64" customWidth="1"/>
    <col min="13" max="13" width="11.42578125" customWidth="1"/>
    <col min="14" max="14" width="12.140625" customWidth="1"/>
  </cols>
  <sheetData>
    <row r="1" spans="1:14" ht="18" x14ac:dyDescent="0.25">
      <c r="A1" s="645" t="s">
        <v>337</v>
      </c>
      <c r="B1" s="645"/>
      <c r="C1" s="645"/>
      <c r="D1" s="645"/>
      <c r="E1" s="645"/>
      <c r="F1" s="645"/>
      <c r="G1" s="645"/>
      <c r="H1" s="645"/>
    </row>
    <row r="2" spans="1:14" ht="15.75" thickBot="1" x14ac:dyDescent="0.3">
      <c r="A2" s="428"/>
      <c r="B2" s="428"/>
      <c r="C2" s="428"/>
      <c r="D2" s="428"/>
      <c r="E2" s="428"/>
      <c r="F2" s="428"/>
      <c r="G2" s="428"/>
      <c r="H2" s="428"/>
      <c r="I2" s="428"/>
    </row>
    <row r="3" spans="1:14" ht="60.75" thickBot="1" x14ac:dyDescent="0.3">
      <c r="A3" s="429" t="s">
        <v>231</v>
      </c>
      <c r="B3" s="429" t="s">
        <v>232</v>
      </c>
      <c r="C3" s="430" t="s">
        <v>233</v>
      </c>
      <c r="D3" s="430" t="s">
        <v>253</v>
      </c>
      <c r="E3" s="430" t="s">
        <v>265</v>
      </c>
      <c r="F3" s="430" t="s">
        <v>234</v>
      </c>
      <c r="G3" s="430" t="s">
        <v>250</v>
      </c>
      <c r="H3" s="430" t="s">
        <v>392</v>
      </c>
      <c r="I3" s="431" t="s">
        <v>235</v>
      </c>
      <c r="L3" s="646" t="s">
        <v>236</v>
      </c>
      <c r="M3" s="647"/>
      <c r="N3" s="648"/>
    </row>
    <row r="4" spans="1:14" ht="16.5" thickBot="1" x14ac:dyDescent="0.3">
      <c r="A4" s="432" t="s">
        <v>83</v>
      </c>
      <c r="B4" s="433" t="s">
        <v>165</v>
      </c>
      <c r="C4" s="276">
        <v>1500</v>
      </c>
      <c r="D4" s="276"/>
      <c r="E4" s="276"/>
      <c r="F4" s="276">
        <v>1500</v>
      </c>
      <c r="G4" s="276"/>
      <c r="H4" s="276"/>
      <c r="I4" s="434">
        <f t="shared" ref="I4:I15" si="0">SUM(D4:H4)</f>
        <v>1500</v>
      </c>
      <c r="J4" s="435">
        <f t="shared" ref="J4:J22" si="1">C4-I4</f>
        <v>0</v>
      </c>
      <c r="L4" s="436" t="s">
        <v>237</v>
      </c>
      <c r="M4" s="437" t="s">
        <v>238</v>
      </c>
      <c r="N4" s="438" t="s">
        <v>239</v>
      </c>
    </row>
    <row r="5" spans="1:14" ht="16.5" thickBot="1" x14ac:dyDescent="0.3">
      <c r="A5" s="447" t="s">
        <v>90</v>
      </c>
      <c r="B5" s="477" t="s">
        <v>371</v>
      </c>
      <c r="C5" s="273">
        <f>390000</f>
        <v>390000</v>
      </c>
      <c r="D5" s="273">
        <f>300000</f>
        <v>300000</v>
      </c>
      <c r="E5" s="273"/>
      <c r="F5" s="273">
        <v>20000</v>
      </c>
      <c r="G5" s="448"/>
      <c r="H5" s="448">
        <v>70000</v>
      </c>
      <c r="I5" s="449">
        <f t="shared" si="0"/>
        <v>390000</v>
      </c>
      <c r="J5" s="435">
        <f t="shared" si="1"/>
        <v>0</v>
      </c>
      <c r="K5" s="426"/>
      <c r="L5" s="440" t="s">
        <v>266</v>
      </c>
      <c r="M5" s="441">
        <v>500</v>
      </c>
      <c r="N5" s="484"/>
    </row>
    <row r="6" spans="1:14" ht="15.75" x14ac:dyDescent="0.25">
      <c r="A6" s="446" t="s">
        <v>166</v>
      </c>
      <c r="B6" s="456" t="s">
        <v>167</v>
      </c>
      <c r="C6" s="279">
        <f>25000</f>
        <v>25000</v>
      </c>
      <c r="D6" s="279"/>
      <c r="E6" s="279">
        <v>5000</v>
      </c>
      <c r="F6" s="279">
        <f>20000</f>
        <v>20000</v>
      </c>
      <c r="G6" s="279"/>
      <c r="H6" s="279"/>
      <c r="I6" s="434">
        <f t="shared" si="0"/>
        <v>25000</v>
      </c>
      <c r="J6" s="435">
        <f t="shared" si="1"/>
        <v>0</v>
      </c>
      <c r="L6" s="444" t="s">
        <v>267</v>
      </c>
      <c r="M6" s="441">
        <v>1000</v>
      </c>
      <c r="N6" s="484"/>
    </row>
    <row r="7" spans="1:14" ht="15.75" x14ac:dyDescent="0.25">
      <c r="A7" s="451" t="s">
        <v>166</v>
      </c>
      <c r="B7" s="452" t="s">
        <v>240</v>
      </c>
      <c r="C7" s="427">
        <v>30000</v>
      </c>
      <c r="D7" s="427"/>
      <c r="E7" s="427"/>
      <c r="F7" s="427">
        <v>30000</v>
      </c>
      <c r="G7" s="427"/>
      <c r="H7" s="427"/>
      <c r="I7" s="445">
        <f t="shared" si="0"/>
        <v>30000</v>
      </c>
      <c r="J7" s="435">
        <f t="shared" si="1"/>
        <v>0</v>
      </c>
      <c r="L7" s="440" t="s">
        <v>248</v>
      </c>
      <c r="M7" s="441">
        <v>5000</v>
      </c>
      <c r="N7" s="484"/>
    </row>
    <row r="8" spans="1:14" ht="15.75" x14ac:dyDescent="0.25">
      <c r="A8" s="439" t="s">
        <v>97</v>
      </c>
      <c r="B8" s="454" t="s">
        <v>269</v>
      </c>
      <c r="C8" s="270">
        <v>10000</v>
      </c>
      <c r="D8" s="270"/>
      <c r="E8" s="270"/>
      <c r="F8" s="270">
        <v>10000</v>
      </c>
      <c r="G8" s="270"/>
      <c r="H8" s="270"/>
      <c r="I8" s="445">
        <f t="shared" si="0"/>
        <v>10000</v>
      </c>
      <c r="J8" s="435">
        <f t="shared" si="1"/>
        <v>0</v>
      </c>
      <c r="L8" s="440" t="s">
        <v>268</v>
      </c>
      <c r="M8" s="450">
        <v>5000</v>
      </c>
      <c r="N8" s="485"/>
    </row>
    <row r="9" spans="1:14" ht="15.75" x14ac:dyDescent="0.25">
      <c r="A9" s="439" t="s">
        <v>97</v>
      </c>
      <c r="B9" s="454" t="s">
        <v>204</v>
      </c>
      <c r="C9" s="270">
        <v>100000</v>
      </c>
      <c r="D9" s="270"/>
      <c r="E9" s="270"/>
      <c r="F9" s="270">
        <v>100000</v>
      </c>
      <c r="G9" s="270"/>
      <c r="H9" s="270"/>
      <c r="I9" s="445">
        <f t="shared" si="0"/>
        <v>100000</v>
      </c>
      <c r="J9" s="486">
        <f t="shared" si="1"/>
        <v>0</v>
      </c>
      <c r="K9" s="426"/>
      <c r="L9" s="440" t="s">
        <v>241</v>
      </c>
      <c r="M9" s="450">
        <v>3000</v>
      </c>
      <c r="N9" s="485"/>
    </row>
    <row r="10" spans="1:14" ht="15.75" x14ac:dyDescent="0.25">
      <c r="A10" s="432" t="s">
        <v>398</v>
      </c>
      <c r="B10" s="459" t="s">
        <v>379</v>
      </c>
      <c r="C10" s="460">
        <v>218000</v>
      </c>
      <c r="D10" s="276">
        <v>178000</v>
      </c>
      <c r="E10" s="276"/>
      <c r="F10" s="276">
        <v>40000</v>
      </c>
      <c r="G10" s="276"/>
      <c r="H10" s="276"/>
      <c r="I10" s="434">
        <f>SUM(D10:H10)</f>
        <v>218000</v>
      </c>
      <c r="J10" s="435">
        <f>C10-I10</f>
        <v>0</v>
      </c>
      <c r="L10" s="444" t="s">
        <v>249</v>
      </c>
      <c r="M10" s="450">
        <v>1000</v>
      </c>
      <c r="N10" s="487"/>
    </row>
    <row r="11" spans="1:14" ht="16.5" thickBot="1" x14ac:dyDescent="0.3">
      <c r="A11" s="447" t="s">
        <v>99</v>
      </c>
      <c r="B11" s="591" t="s">
        <v>373</v>
      </c>
      <c r="C11" s="273">
        <v>85000</v>
      </c>
      <c r="D11" s="273">
        <v>79700</v>
      </c>
      <c r="E11" s="273"/>
      <c r="F11" s="273">
        <v>5300</v>
      </c>
      <c r="G11" s="273"/>
      <c r="H11" s="273"/>
      <c r="I11" s="449">
        <f t="shared" si="0"/>
        <v>85000</v>
      </c>
      <c r="J11" s="435">
        <f t="shared" si="1"/>
        <v>0</v>
      </c>
      <c r="K11" s="426">
        <f>SUM(C6:C11)</f>
        <v>468000</v>
      </c>
      <c r="L11" s="444" t="s">
        <v>242</v>
      </c>
      <c r="M11" s="450">
        <v>1000</v>
      </c>
      <c r="N11" s="488"/>
    </row>
    <row r="12" spans="1:14" ht="15.75" x14ac:dyDescent="0.25">
      <c r="A12" s="442" t="s">
        <v>112</v>
      </c>
      <c r="B12" s="592" t="s">
        <v>372</v>
      </c>
      <c r="C12" s="268">
        <v>202000</v>
      </c>
      <c r="D12" s="268">
        <f>105400+35350</f>
        <v>140750</v>
      </c>
      <c r="E12" s="268"/>
      <c r="F12" s="268">
        <v>61250</v>
      </c>
      <c r="G12" s="268"/>
      <c r="H12" s="268"/>
      <c r="I12" s="443">
        <f t="shared" si="0"/>
        <v>202000</v>
      </c>
      <c r="J12" s="435">
        <f t="shared" si="1"/>
        <v>0</v>
      </c>
      <c r="L12" s="489" t="s">
        <v>270</v>
      </c>
      <c r="M12" s="490">
        <v>1500</v>
      </c>
      <c r="N12" s="491"/>
    </row>
    <row r="13" spans="1:14" ht="15.75" x14ac:dyDescent="0.25">
      <c r="A13" s="432" t="s">
        <v>114</v>
      </c>
      <c r="B13" s="285" t="s">
        <v>245</v>
      </c>
      <c r="C13" s="276">
        <f>200000</f>
        <v>200000</v>
      </c>
      <c r="D13" s="276">
        <v>190000</v>
      </c>
      <c r="E13" s="276"/>
      <c r="F13" s="276">
        <v>10000</v>
      </c>
      <c r="G13" s="276"/>
      <c r="H13" s="276"/>
      <c r="I13" s="434">
        <f t="shared" si="0"/>
        <v>200000</v>
      </c>
      <c r="J13" s="435">
        <f t="shared" si="1"/>
        <v>0</v>
      </c>
      <c r="L13" s="489"/>
      <c r="M13" s="490"/>
      <c r="N13" s="491"/>
    </row>
    <row r="14" spans="1:14" ht="16.5" thickBot="1" x14ac:dyDescent="0.3">
      <c r="A14" s="453" t="s">
        <v>114</v>
      </c>
      <c r="B14" s="455" t="s">
        <v>203</v>
      </c>
      <c r="C14" s="282">
        <f>100000+886</f>
        <v>100886</v>
      </c>
      <c r="D14" s="282"/>
      <c r="E14" s="282">
        <f>886</f>
        <v>886</v>
      </c>
      <c r="F14" s="270">
        <v>100000</v>
      </c>
      <c r="G14" s="270"/>
      <c r="H14" s="270"/>
      <c r="I14" s="445">
        <f t="shared" si="0"/>
        <v>100886</v>
      </c>
      <c r="J14" s="435">
        <f t="shared" si="1"/>
        <v>0</v>
      </c>
      <c r="K14" s="426">
        <f>SUM(C12:C14)</f>
        <v>502886</v>
      </c>
      <c r="L14" s="470" t="s">
        <v>243</v>
      </c>
      <c r="M14" s="471">
        <v>12000</v>
      </c>
      <c r="N14" s="492"/>
    </row>
    <row r="15" spans="1:14" ht="16.5" thickBot="1" x14ac:dyDescent="0.3">
      <c r="A15" s="442" t="s">
        <v>123</v>
      </c>
      <c r="B15" s="597" t="s">
        <v>271</v>
      </c>
      <c r="C15" s="268">
        <f>494700+91310+70000</f>
        <v>656010</v>
      </c>
      <c r="D15" s="268">
        <f>434700+91310</f>
        <v>526010</v>
      </c>
      <c r="E15" s="268"/>
      <c r="F15" s="268">
        <f>60000+70000</f>
        <v>130000</v>
      </c>
      <c r="G15" s="268"/>
      <c r="H15" s="268"/>
      <c r="I15" s="443">
        <f t="shared" si="0"/>
        <v>656010</v>
      </c>
      <c r="J15" s="435">
        <f t="shared" si="1"/>
        <v>0</v>
      </c>
      <c r="L15" s="472" t="s">
        <v>244</v>
      </c>
      <c r="M15" s="473">
        <f>SUM(M5:M14)</f>
        <v>30000</v>
      </c>
      <c r="N15" s="474"/>
    </row>
    <row r="16" spans="1:14" x14ac:dyDescent="0.25">
      <c r="A16" s="439" t="s">
        <v>125</v>
      </c>
      <c r="B16" s="600" t="s">
        <v>380</v>
      </c>
      <c r="C16" s="270">
        <v>0</v>
      </c>
      <c r="D16" s="270"/>
      <c r="E16" s="270"/>
      <c r="F16" s="270">
        <v>0</v>
      </c>
      <c r="G16" s="270"/>
      <c r="H16" s="270"/>
      <c r="I16" s="445">
        <f t="shared" ref="I16" si="2">SUM(D16:H16)</f>
        <v>0</v>
      </c>
      <c r="J16" s="435">
        <f t="shared" ref="J16" si="3">C16-I16</f>
        <v>0</v>
      </c>
    </row>
    <row r="17" spans="1:11" x14ac:dyDescent="0.25">
      <c r="A17" s="439" t="s">
        <v>125</v>
      </c>
      <c r="B17" s="601" t="s">
        <v>387</v>
      </c>
      <c r="C17" s="270">
        <v>8200</v>
      </c>
      <c r="D17" s="270"/>
      <c r="E17" s="270"/>
      <c r="F17" s="270">
        <v>8200</v>
      </c>
      <c r="G17" s="270"/>
      <c r="H17" s="270"/>
      <c r="I17" s="445">
        <f t="shared" ref="I17:I18" si="4">SUM(D17:H17)</f>
        <v>8200</v>
      </c>
      <c r="J17" s="435">
        <f t="shared" ref="J17:J18" si="5">C17-I17</f>
        <v>0</v>
      </c>
    </row>
    <row r="18" spans="1:11" ht="15.75" thickBot="1" x14ac:dyDescent="0.3">
      <c r="A18" s="598" t="s">
        <v>126</v>
      </c>
      <c r="B18" s="599" t="s">
        <v>388</v>
      </c>
      <c r="C18" s="274">
        <v>7450</v>
      </c>
      <c r="D18" s="274"/>
      <c r="E18" s="274"/>
      <c r="F18" s="274">
        <v>7450</v>
      </c>
      <c r="G18" s="274"/>
      <c r="H18" s="274"/>
      <c r="I18" s="596">
        <f t="shared" si="4"/>
        <v>7450</v>
      </c>
      <c r="J18" s="435">
        <f t="shared" si="5"/>
        <v>0</v>
      </c>
      <c r="K18" s="426">
        <f>SUM(C15:C18)</f>
        <v>671660</v>
      </c>
    </row>
    <row r="19" spans="1:11" ht="15.75" thickBot="1" x14ac:dyDescent="0.3">
      <c r="A19" s="649" t="s">
        <v>246</v>
      </c>
      <c r="B19" s="650"/>
      <c r="C19" s="457">
        <f t="shared" ref="C19:I19" si="6">SUM(C4:C18)</f>
        <v>2034046</v>
      </c>
      <c r="D19" s="457">
        <f t="shared" si="6"/>
        <v>1414460</v>
      </c>
      <c r="E19" s="457">
        <f t="shared" si="6"/>
        <v>5886</v>
      </c>
      <c r="F19" s="457">
        <f t="shared" si="6"/>
        <v>543700</v>
      </c>
      <c r="G19" s="457">
        <f t="shared" si="6"/>
        <v>0</v>
      </c>
      <c r="H19" s="457">
        <f t="shared" si="6"/>
        <v>70000</v>
      </c>
      <c r="I19" s="476">
        <f t="shared" si="6"/>
        <v>2034046</v>
      </c>
      <c r="J19" s="435">
        <f t="shared" si="1"/>
        <v>0</v>
      </c>
    </row>
    <row r="20" spans="1:11" ht="15.75" thickBot="1" x14ac:dyDescent="0.3">
      <c r="A20" s="432"/>
      <c r="B20" s="459"/>
      <c r="C20" s="460"/>
      <c r="D20" s="276"/>
      <c r="E20" s="276"/>
      <c r="F20" s="458"/>
      <c r="G20" s="458"/>
      <c r="H20" s="276"/>
      <c r="I20" s="434">
        <f>SUM(D20:H20)</f>
        <v>0</v>
      </c>
      <c r="J20" s="435">
        <f t="shared" si="1"/>
        <v>0</v>
      </c>
    </row>
    <row r="21" spans="1:11" ht="15.75" thickBot="1" x14ac:dyDescent="0.3">
      <c r="A21" s="649" t="s">
        <v>247</v>
      </c>
      <c r="B21" s="650"/>
      <c r="C21" s="457">
        <f>SUM(C20:C20)</f>
        <v>0</v>
      </c>
      <c r="D21" s="457">
        <f t="shared" ref="D21:H21" si="7">SUM(D20:D20)</f>
        <v>0</v>
      </c>
      <c r="E21" s="457">
        <f t="shared" si="7"/>
        <v>0</v>
      </c>
      <c r="F21" s="457">
        <f t="shared" si="7"/>
        <v>0</v>
      </c>
      <c r="G21" s="457">
        <f t="shared" si="7"/>
        <v>0</v>
      </c>
      <c r="H21" s="457">
        <f t="shared" si="7"/>
        <v>0</v>
      </c>
      <c r="I21" s="476">
        <f>SUM(I20:I20)</f>
        <v>0</v>
      </c>
      <c r="J21" s="435">
        <f t="shared" si="1"/>
        <v>0</v>
      </c>
    </row>
    <row r="22" spans="1:11" ht="15.75" thickBot="1" x14ac:dyDescent="0.3">
      <c r="A22" s="649" t="s">
        <v>276</v>
      </c>
      <c r="B22" s="650"/>
      <c r="C22" s="457">
        <f>C19+C21</f>
        <v>2034046</v>
      </c>
      <c r="D22" s="457">
        <f t="shared" ref="D22:H22" si="8">D19+D21</f>
        <v>1414460</v>
      </c>
      <c r="E22" s="457">
        <f t="shared" si="8"/>
        <v>5886</v>
      </c>
      <c r="F22" s="457">
        <f t="shared" si="8"/>
        <v>543700</v>
      </c>
      <c r="G22" s="457">
        <f t="shared" si="8"/>
        <v>0</v>
      </c>
      <c r="H22" s="457">
        <f t="shared" si="8"/>
        <v>70000</v>
      </c>
      <c r="I22" s="476">
        <f>I19+I21</f>
        <v>2034046</v>
      </c>
      <c r="J22" s="435">
        <f t="shared" si="1"/>
        <v>0</v>
      </c>
    </row>
    <row r="23" spans="1:11" x14ac:dyDescent="0.25">
      <c r="A23" s="461"/>
      <c r="B23" s="461"/>
      <c r="C23" s="462"/>
      <c r="E23" s="464"/>
      <c r="F23" s="463"/>
      <c r="G23" s="463"/>
      <c r="H23" s="465"/>
      <c r="I23" s="466"/>
      <c r="J23" s="467"/>
    </row>
    <row r="24" spans="1:11" x14ac:dyDescent="0.25">
      <c r="A24" s="428"/>
      <c r="C24" s="605" t="s">
        <v>393</v>
      </c>
      <c r="D24" s="590">
        <f>35350+388940+45760+190000+300000+178000</f>
        <v>1138050</v>
      </c>
      <c r="E24" s="609">
        <f>D24+5000</f>
        <v>1143050</v>
      </c>
      <c r="F24" s="475"/>
      <c r="G24" s="475"/>
      <c r="H24" s="428"/>
      <c r="I24" s="428"/>
    </row>
    <row r="25" spans="1:11" x14ac:dyDescent="0.25">
      <c r="A25" s="428"/>
      <c r="C25" s="605" t="s">
        <v>394</v>
      </c>
      <c r="D25" s="603">
        <f>105400+79700+91310</f>
        <v>276410</v>
      </c>
      <c r="E25" s="602">
        <v>886</v>
      </c>
      <c r="G25" s="468"/>
      <c r="H25" s="602">
        <v>70000</v>
      </c>
    </row>
    <row r="26" spans="1:11" x14ac:dyDescent="0.25">
      <c r="A26" s="428"/>
      <c r="C26" s="428"/>
      <c r="D26" s="590">
        <f>SUM(D24:D25)</f>
        <v>1414460</v>
      </c>
      <c r="E26" s="428"/>
      <c r="F26" s="428"/>
      <c r="G26" s="428"/>
      <c r="H26" s="604">
        <f>SUM(D25:H25)</f>
        <v>347296</v>
      </c>
      <c r="I26" s="428"/>
      <c r="J26" s="428"/>
    </row>
    <row r="27" spans="1:11" x14ac:dyDescent="0.25">
      <c r="D27" s="512">
        <f>D26-D22</f>
        <v>0</v>
      </c>
    </row>
    <row r="28" spans="1:11" x14ac:dyDescent="0.25">
      <c r="B28" s="469" t="s">
        <v>395</v>
      </c>
    </row>
    <row r="29" spans="1:11" x14ac:dyDescent="0.25">
      <c r="B29" t="s">
        <v>189</v>
      </c>
    </row>
  </sheetData>
  <mergeCells count="5">
    <mergeCell ref="A1:H1"/>
    <mergeCell ref="L3:N3"/>
    <mergeCell ref="A19:B19"/>
    <mergeCell ref="A21:B21"/>
    <mergeCell ref="A22:B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8"/>
  <sheetViews>
    <sheetView zoomScale="130" zoomScaleNormal="130" workbookViewId="0">
      <selection sqref="A1:E1"/>
    </sheetView>
  </sheetViews>
  <sheetFormatPr defaultRowHeight="15" x14ac:dyDescent="0.25"/>
  <cols>
    <col min="1" max="1" width="14.28515625" customWidth="1"/>
    <col min="2" max="2" width="10.5703125" customWidth="1"/>
    <col min="4" max="4" width="9.85546875" customWidth="1"/>
    <col min="5" max="5" width="17.140625" customWidth="1"/>
    <col min="9" max="9" width="10.5703125" customWidth="1"/>
    <col min="12" max="12" width="12.7109375" customWidth="1"/>
    <col min="16" max="16" width="11.28515625" customWidth="1"/>
    <col min="19" max="19" width="13.140625" customWidth="1"/>
  </cols>
  <sheetData>
    <row r="1" spans="1:20" x14ac:dyDescent="0.25">
      <c r="A1" s="651" t="s">
        <v>304</v>
      </c>
      <c r="B1" s="651"/>
      <c r="C1" s="651"/>
      <c r="D1" s="651"/>
      <c r="E1" s="651"/>
      <c r="H1" s="651" t="s">
        <v>305</v>
      </c>
      <c r="I1" s="651"/>
      <c r="J1" s="651"/>
      <c r="K1" s="651"/>
      <c r="L1" s="651"/>
      <c r="O1" s="651" t="s">
        <v>414</v>
      </c>
      <c r="P1" s="651"/>
      <c r="Q1" s="651"/>
      <c r="R1" s="651"/>
      <c r="S1" s="651"/>
    </row>
    <row r="2" spans="1:20" ht="15.75" thickBot="1" x14ac:dyDescent="0.3"/>
    <row r="3" spans="1:20" ht="15.75" thickBot="1" x14ac:dyDescent="0.3">
      <c r="A3" s="498" t="s">
        <v>286</v>
      </c>
      <c r="B3" s="499" t="s">
        <v>287</v>
      </c>
      <c r="C3" s="499" t="s">
        <v>288</v>
      </c>
      <c r="D3" s="500" t="s">
        <v>289</v>
      </c>
      <c r="E3" s="501" t="s">
        <v>290</v>
      </c>
      <c r="H3" s="498" t="s">
        <v>286</v>
      </c>
      <c r="I3" s="499" t="s">
        <v>287</v>
      </c>
      <c r="J3" s="499" t="s">
        <v>288</v>
      </c>
      <c r="K3" s="500" t="s">
        <v>289</v>
      </c>
      <c r="L3" s="501" t="s">
        <v>290</v>
      </c>
      <c r="O3" s="498" t="s">
        <v>286</v>
      </c>
      <c r="P3" s="499" t="s">
        <v>287</v>
      </c>
      <c r="Q3" s="499" t="s">
        <v>288</v>
      </c>
      <c r="R3" s="500" t="s">
        <v>289</v>
      </c>
      <c r="S3" s="501" t="s">
        <v>290</v>
      </c>
    </row>
    <row r="4" spans="1:20" x14ac:dyDescent="0.25">
      <c r="A4" s="502">
        <v>100</v>
      </c>
      <c r="B4" s="503">
        <v>1485800</v>
      </c>
      <c r="C4" s="503"/>
      <c r="D4" s="504"/>
      <c r="E4" s="505">
        <f>SUM(B4:D4)</f>
        <v>1485800</v>
      </c>
      <c r="H4" s="502">
        <v>100</v>
      </c>
      <c r="I4" s="503">
        <v>1525800</v>
      </c>
      <c r="J4" s="503"/>
      <c r="K4" s="504"/>
      <c r="L4" s="505">
        <f>SUM(I4:K4)</f>
        <v>1525800</v>
      </c>
      <c r="O4" s="502">
        <v>100</v>
      </c>
      <c r="P4" s="503">
        <v>1612800</v>
      </c>
      <c r="Q4" s="503"/>
      <c r="R4" s="504"/>
      <c r="S4" s="505">
        <f>SUM(P4:R4)</f>
        <v>1612800</v>
      </c>
    </row>
    <row r="5" spans="1:20" x14ac:dyDescent="0.25">
      <c r="A5" s="506">
        <v>200</v>
      </c>
      <c r="B5" s="507">
        <v>322281</v>
      </c>
      <c r="C5" s="507">
        <v>5150</v>
      </c>
      <c r="D5" s="508">
        <v>12350</v>
      </c>
      <c r="E5" s="505">
        <f t="shared" ref="E5:E8" si="0">SUM(B5:D5)</f>
        <v>339781</v>
      </c>
      <c r="H5" s="506">
        <v>200</v>
      </c>
      <c r="I5" s="507">
        <v>310791</v>
      </c>
      <c r="J5" s="507">
        <v>5150</v>
      </c>
      <c r="K5" s="508">
        <v>12350</v>
      </c>
      <c r="L5" s="505">
        <f t="shared" ref="L5:L8" si="1">SUM(I5:K5)</f>
        <v>328291</v>
      </c>
      <c r="O5" s="506">
        <v>200</v>
      </c>
      <c r="P5" s="507">
        <v>310801</v>
      </c>
      <c r="Q5" s="507">
        <v>5150</v>
      </c>
      <c r="R5" s="508">
        <v>12350</v>
      </c>
      <c r="S5" s="505">
        <f t="shared" ref="S5:S8" si="2">SUM(P5:R5)</f>
        <v>328301</v>
      </c>
    </row>
    <row r="6" spans="1:20" x14ac:dyDescent="0.25">
      <c r="A6" s="506">
        <v>300</v>
      </c>
      <c r="B6" s="507">
        <v>2093472</v>
      </c>
      <c r="C6" s="507">
        <v>0</v>
      </c>
      <c r="D6" s="508"/>
      <c r="E6" s="505">
        <f t="shared" si="0"/>
        <v>2093472</v>
      </c>
      <c r="H6" s="506">
        <v>300</v>
      </c>
      <c r="I6" s="507">
        <v>903110</v>
      </c>
      <c r="J6" s="507">
        <v>0</v>
      </c>
      <c r="K6" s="508"/>
      <c r="L6" s="505">
        <f t="shared" si="1"/>
        <v>903110</v>
      </c>
      <c r="O6" s="506">
        <v>300</v>
      </c>
      <c r="P6" s="507">
        <v>903110</v>
      </c>
      <c r="Q6" s="507">
        <v>0</v>
      </c>
      <c r="R6" s="508"/>
      <c r="S6" s="505">
        <f t="shared" si="2"/>
        <v>903110</v>
      </c>
    </row>
    <row r="7" spans="1:20" x14ac:dyDescent="0.25">
      <c r="A7" s="506">
        <v>400</v>
      </c>
      <c r="B7" s="507">
        <v>931297</v>
      </c>
      <c r="C7" s="507"/>
      <c r="D7" s="508"/>
      <c r="E7" s="505">
        <f t="shared" si="0"/>
        <v>931297</v>
      </c>
      <c r="H7" s="506">
        <v>400</v>
      </c>
      <c r="I7" s="507">
        <v>27140</v>
      </c>
      <c r="J7" s="507"/>
      <c r="K7" s="508"/>
      <c r="L7" s="505">
        <f t="shared" si="1"/>
        <v>27140</v>
      </c>
      <c r="O7" s="506">
        <v>400</v>
      </c>
      <c r="P7" s="507">
        <v>27140</v>
      </c>
      <c r="Q7" s="507"/>
      <c r="R7" s="508"/>
      <c r="S7" s="505">
        <f t="shared" si="2"/>
        <v>27140</v>
      </c>
    </row>
    <row r="8" spans="1:20" ht="15.75" thickBot="1" x14ac:dyDescent="0.3">
      <c r="A8" s="509">
        <v>500</v>
      </c>
      <c r="B8" s="510">
        <v>0</v>
      </c>
      <c r="C8" s="510"/>
      <c r="D8" s="511"/>
      <c r="E8" s="505">
        <f t="shared" si="0"/>
        <v>0</v>
      </c>
      <c r="F8" s="512"/>
      <c r="H8" s="509">
        <v>500</v>
      </c>
      <c r="I8" s="510">
        <v>0</v>
      </c>
      <c r="J8" s="510"/>
      <c r="K8" s="511"/>
      <c r="L8" s="505">
        <f t="shared" si="1"/>
        <v>0</v>
      </c>
      <c r="M8" s="512"/>
      <c r="O8" s="509">
        <v>500</v>
      </c>
      <c r="P8" s="510">
        <v>0</v>
      </c>
      <c r="Q8" s="510"/>
      <c r="R8" s="511"/>
      <c r="S8" s="505">
        <f t="shared" si="2"/>
        <v>0</v>
      </c>
      <c r="T8" s="512"/>
    </row>
    <row r="9" spans="1:20" ht="15.75" thickBot="1" x14ac:dyDescent="0.3">
      <c r="A9" s="498" t="s">
        <v>291</v>
      </c>
      <c r="B9" s="513">
        <f>SUM(B4:B8)</f>
        <v>4832850</v>
      </c>
      <c r="C9" s="513">
        <f t="shared" ref="C9:D9" si="3">SUM(C4:C8)</f>
        <v>5150</v>
      </c>
      <c r="D9" s="514">
        <f t="shared" si="3"/>
        <v>12350</v>
      </c>
      <c r="E9" s="515">
        <f>SUM(B9:D9)</f>
        <v>4850350</v>
      </c>
      <c r="F9" s="512">
        <f>SUM(E4:E8)</f>
        <v>4850350</v>
      </c>
      <c r="H9" s="498" t="s">
        <v>291</v>
      </c>
      <c r="I9" s="513">
        <f>SUM(I4:I8)</f>
        <v>2766841</v>
      </c>
      <c r="J9" s="513">
        <f t="shared" ref="J9:K9" si="4">SUM(J4:J8)</f>
        <v>5150</v>
      </c>
      <c r="K9" s="514">
        <f t="shared" si="4"/>
        <v>12350</v>
      </c>
      <c r="L9" s="515">
        <f>SUM(I9:K9)</f>
        <v>2784341</v>
      </c>
      <c r="M9" s="512">
        <f>SUM(L4:L8)</f>
        <v>2784341</v>
      </c>
      <c r="O9" s="498" t="s">
        <v>291</v>
      </c>
      <c r="P9" s="513">
        <f>SUM(P4:P8)</f>
        <v>2853851</v>
      </c>
      <c r="Q9" s="513">
        <f t="shared" ref="Q9:R9" si="5">SUM(Q4:Q8)</f>
        <v>5150</v>
      </c>
      <c r="R9" s="514">
        <f t="shared" si="5"/>
        <v>12350</v>
      </c>
      <c r="S9" s="515">
        <f>SUM(P9:R9)</f>
        <v>2871351</v>
      </c>
      <c r="T9" s="512">
        <f>SUM(S4:S8)</f>
        <v>2871351</v>
      </c>
    </row>
    <row r="10" spans="1:20" x14ac:dyDescent="0.25">
      <c r="A10" s="502">
        <v>600</v>
      </c>
      <c r="B10" s="516">
        <v>1801231</v>
      </c>
      <c r="C10" s="503">
        <v>704072</v>
      </c>
      <c r="D10" s="504">
        <v>306400</v>
      </c>
      <c r="E10" s="505">
        <f>SUM(B10:D10)</f>
        <v>2811703</v>
      </c>
      <c r="F10" s="517"/>
      <c r="H10" s="502">
        <v>600</v>
      </c>
      <c r="I10" s="516">
        <v>1794611</v>
      </c>
      <c r="J10" s="503">
        <v>681000</v>
      </c>
      <c r="K10" s="504">
        <v>307500</v>
      </c>
      <c r="L10" s="505">
        <f>SUM(I10:K10)</f>
        <v>2783111</v>
      </c>
      <c r="M10" s="517"/>
      <c r="O10" s="502">
        <v>600</v>
      </c>
      <c r="P10" s="516">
        <v>1881581</v>
      </c>
      <c r="Q10" s="503">
        <v>681000</v>
      </c>
      <c r="R10" s="504">
        <v>307500</v>
      </c>
      <c r="S10" s="505">
        <f>SUM(P10:R10)</f>
        <v>2870081</v>
      </c>
      <c r="T10" s="517"/>
    </row>
    <row r="11" spans="1:20" x14ac:dyDescent="0.25">
      <c r="A11" s="506">
        <v>700</v>
      </c>
      <c r="B11" s="507">
        <v>2034046</v>
      </c>
      <c r="C11" s="507"/>
      <c r="D11" s="508"/>
      <c r="E11" s="505">
        <f t="shared" ref="E11:E12" si="6">SUM(B11:D11)</f>
        <v>2034046</v>
      </c>
      <c r="F11" s="517"/>
      <c r="H11" s="506">
        <v>700</v>
      </c>
      <c r="I11" s="507">
        <v>0</v>
      </c>
      <c r="J11" s="507"/>
      <c r="K11" s="508"/>
      <c r="L11" s="505">
        <f t="shared" ref="L11:L12" si="7">SUM(I11:K11)</f>
        <v>0</v>
      </c>
      <c r="M11" s="517"/>
      <c r="O11" s="506">
        <v>700</v>
      </c>
      <c r="P11" s="507">
        <v>0</v>
      </c>
      <c r="Q11" s="507"/>
      <c r="R11" s="508"/>
      <c r="S11" s="505">
        <f t="shared" ref="S11:S12" si="8">SUM(P11:R11)</f>
        <v>0</v>
      </c>
      <c r="T11" s="517"/>
    </row>
    <row r="12" spans="1:20" ht="15.75" thickBot="1" x14ac:dyDescent="0.3">
      <c r="A12" s="509">
        <v>800</v>
      </c>
      <c r="B12" s="510">
        <v>4601</v>
      </c>
      <c r="C12" s="510"/>
      <c r="D12" s="511"/>
      <c r="E12" s="505">
        <f t="shared" si="6"/>
        <v>4601</v>
      </c>
      <c r="F12" s="517"/>
      <c r="H12" s="509">
        <v>800</v>
      </c>
      <c r="I12" s="510">
        <v>1230</v>
      </c>
      <c r="J12" s="510"/>
      <c r="K12" s="511"/>
      <c r="L12" s="505">
        <f t="shared" si="7"/>
        <v>1230</v>
      </c>
      <c r="M12" s="517"/>
      <c r="O12" s="509">
        <v>800</v>
      </c>
      <c r="P12" s="510">
        <v>1270</v>
      </c>
      <c r="Q12" s="510"/>
      <c r="R12" s="511"/>
      <c r="S12" s="505">
        <f t="shared" si="8"/>
        <v>1270</v>
      </c>
      <c r="T12" s="517"/>
    </row>
    <row r="13" spans="1:20" ht="15.75" thickBot="1" x14ac:dyDescent="0.3">
      <c r="A13" s="498" t="s">
        <v>292</v>
      </c>
      <c r="B13" s="513">
        <f>SUM(B10:B12)</f>
        <v>3839878</v>
      </c>
      <c r="C13" s="513">
        <f t="shared" ref="C13:D13" si="9">SUM(C10:C12)</f>
        <v>704072</v>
      </c>
      <c r="D13" s="514">
        <f t="shared" si="9"/>
        <v>306400</v>
      </c>
      <c r="E13" s="515">
        <f>SUM(B13:D13)</f>
        <v>4850350</v>
      </c>
      <c r="F13" s="512">
        <f>SUM(E10:E12)</f>
        <v>4850350</v>
      </c>
      <c r="H13" s="498" t="s">
        <v>292</v>
      </c>
      <c r="I13" s="513">
        <f>SUM(I10:I12)</f>
        <v>1795841</v>
      </c>
      <c r="J13" s="513">
        <f t="shared" ref="J13:K13" si="10">SUM(J10:J12)</f>
        <v>681000</v>
      </c>
      <c r="K13" s="514">
        <f t="shared" si="10"/>
        <v>307500</v>
      </c>
      <c r="L13" s="515">
        <f>SUM(I13:K13)</f>
        <v>2784341</v>
      </c>
      <c r="M13" s="512">
        <f>SUM(L10:L12)</f>
        <v>2784341</v>
      </c>
      <c r="O13" s="498" t="s">
        <v>292</v>
      </c>
      <c r="P13" s="513">
        <f>SUM(P10:P12)</f>
        <v>1882851</v>
      </c>
      <c r="Q13" s="513">
        <f t="shared" ref="Q13:R13" si="11">SUM(Q10:Q12)</f>
        <v>681000</v>
      </c>
      <c r="R13" s="514">
        <f t="shared" si="11"/>
        <v>307500</v>
      </c>
      <c r="S13" s="515">
        <f>SUM(P13:R13)</f>
        <v>2871351</v>
      </c>
      <c r="T13" s="512">
        <f>SUM(S10:S12)</f>
        <v>2871351</v>
      </c>
    </row>
    <row r="14" spans="1:20" x14ac:dyDescent="0.25">
      <c r="C14" s="426">
        <f>C9-C13</f>
        <v>-698922</v>
      </c>
      <c r="D14" s="426">
        <f>D9-D13</f>
        <v>-294050</v>
      </c>
      <c r="E14" s="426">
        <f>E9-E13</f>
        <v>0</v>
      </c>
      <c r="J14" s="426">
        <f>J9-J13</f>
        <v>-675850</v>
      </c>
      <c r="K14" s="426">
        <f>K9-K13</f>
        <v>-295150</v>
      </c>
      <c r="L14" s="426">
        <f>L9-L13</f>
        <v>0</v>
      </c>
      <c r="Q14" s="426">
        <f>Q9-Q13</f>
        <v>-675850</v>
      </c>
      <c r="R14" s="426">
        <f>R9-R13</f>
        <v>-295150</v>
      </c>
      <c r="S14" s="426">
        <f>S9-S13</f>
        <v>0</v>
      </c>
    </row>
    <row r="15" spans="1:20" x14ac:dyDescent="0.25">
      <c r="D15" s="426">
        <f>SUM(C14:D14)</f>
        <v>-992972</v>
      </c>
      <c r="K15" s="426">
        <f>SUM(J14:K14)</f>
        <v>-971000</v>
      </c>
      <c r="R15" s="426">
        <f>SUM(Q14:R14)</f>
        <v>-971000</v>
      </c>
    </row>
    <row r="16" spans="1:20" x14ac:dyDescent="0.25">
      <c r="A16" t="s">
        <v>189</v>
      </c>
    </row>
    <row r="18" spans="1:2" x14ac:dyDescent="0.25">
      <c r="A18" s="671" t="s">
        <v>412</v>
      </c>
      <c r="B18" s="671"/>
    </row>
  </sheetData>
  <mergeCells count="4">
    <mergeCell ref="A1:E1"/>
    <mergeCell ref="H1:L1"/>
    <mergeCell ref="O1:S1"/>
    <mergeCell ref="A18:B18"/>
  </mergeCells>
  <pageMargins left="0.7" right="0.7" top="0.75" bottom="0.75" header="0.3" footer="0.3"/>
  <pageSetup paperSize="8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5"/>
  <sheetViews>
    <sheetView zoomScale="130" zoomScaleNormal="130" workbookViewId="0">
      <selection sqref="A1:E1"/>
    </sheetView>
  </sheetViews>
  <sheetFormatPr defaultRowHeight="15" x14ac:dyDescent="0.25"/>
  <cols>
    <col min="1" max="1" width="31.85546875" customWidth="1"/>
    <col min="2" max="2" width="13.28515625" customWidth="1"/>
    <col min="3" max="3" width="12.5703125" customWidth="1"/>
    <col min="4" max="4" width="12.140625" customWidth="1"/>
    <col min="5" max="5" width="12.42578125" bestFit="1" customWidth="1"/>
    <col min="7" max="7" width="31.140625" bestFit="1" customWidth="1"/>
    <col min="8" max="8" width="12.140625" customWidth="1"/>
    <col min="9" max="10" width="11" customWidth="1"/>
    <col min="11" max="11" width="12.42578125" bestFit="1" customWidth="1"/>
  </cols>
  <sheetData>
    <row r="1" spans="1:12" x14ac:dyDescent="0.25">
      <c r="A1" s="651" t="s">
        <v>411</v>
      </c>
      <c r="B1" s="651"/>
      <c r="C1" s="651"/>
      <c r="D1" s="651"/>
      <c r="E1" s="651"/>
    </row>
    <row r="2" spans="1:12" ht="15.75" thickBot="1" x14ac:dyDescent="0.3">
      <c r="A2" t="s">
        <v>310</v>
      </c>
      <c r="G2" t="s">
        <v>322</v>
      </c>
    </row>
    <row r="3" spans="1:12" ht="15.75" thickBot="1" x14ac:dyDescent="0.3">
      <c r="A3" s="498" t="s">
        <v>306</v>
      </c>
      <c r="B3" s="499" t="s">
        <v>287</v>
      </c>
      <c r="C3" s="499" t="s">
        <v>288</v>
      </c>
      <c r="D3" s="500" t="s">
        <v>289</v>
      </c>
      <c r="E3" s="501" t="s">
        <v>290</v>
      </c>
      <c r="G3" s="498" t="s">
        <v>306</v>
      </c>
      <c r="H3" s="499" t="s">
        <v>287</v>
      </c>
      <c r="I3" s="499" t="s">
        <v>288</v>
      </c>
      <c r="J3" s="500" t="s">
        <v>289</v>
      </c>
      <c r="K3" s="501" t="s">
        <v>290</v>
      </c>
    </row>
    <row r="4" spans="1:12" x14ac:dyDescent="0.25">
      <c r="A4" s="502" t="s">
        <v>307</v>
      </c>
      <c r="B4" s="503">
        <v>1373000</v>
      </c>
      <c r="C4" s="503"/>
      <c r="D4" s="504"/>
      <c r="E4" s="505">
        <f>SUM(B4:D4)</f>
        <v>1373000</v>
      </c>
      <c r="G4" s="502" t="s">
        <v>323</v>
      </c>
      <c r="H4" s="503">
        <v>722235</v>
      </c>
      <c r="I4" s="503">
        <v>449432</v>
      </c>
      <c r="J4" s="504">
        <v>198700</v>
      </c>
      <c r="K4" s="505">
        <f>SUM(H4:J4)</f>
        <v>1370367</v>
      </c>
    </row>
    <row r="5" spans="1:12" x14ac:dyDescent="0.25">
      <c r="A5" s="506" t="s">
        <v>308</v>
      </c>
      <c r="B5" s="503">
        <v>60400</v>
      </c>
      <c r="C5" s="503"/>
      <c r="D5" s="504"/>
      <c r="E5" s="505">
        <f t="shared" ref="E5:E21" si="0">SUM(B5:D5)</f>
        <v>60400</v>
      </c>
      <c r="G5" s="506" t="s">
        <v>324</v>
      </c>
      <c r="H5" s="503">
        <v>273262</v>
      </c>
      <c r="I5" s="503">
        <v>157502</v>
      </c>
      <c r="J5" s="504">
        <v>73640</v>
      </c>
      <c r="K5" s="505">
        <f t="shared" ref="K5:K16" si="1">SUM(H5:J5)</f>
        <v>504404</v>
      </c>
    </row>
    <row r="6" spans="1:12" ht="15.75" thickBot="1" x14ac:dyDescent="0.3">
      <c r="A6" s="527" t="s">
        <v>309</v>
      </c>
      <c r="B6" s="528">
        <v>52400</v>
      </c>
      <c r="C6" s="528"/>
      <c r="D6" s="529"/>
      <c r="E6" s="530">
        <f t="shared" si="0"/>
        <v>52400</v>
      </c>
      <c r="G6" s="506" t="s">
        <v>325</v>
      </c>
      <c r="H6" s="507">
        <v>741684</v>
      </c>
      <c r="I6" s="507">
        <v>80998</v>
      </c>
      <c r="J6" s="508">
        <v>33000</v>
      </c>
      <c r="K6" s="505">
        <f t="shared" si="1"/>
        <v>855682</v>
      </c>
    </row>
    <row r="7" spans="1:12" ht="15.75" thickBot="1" x14ac:dyDescent="0.3">
      <c r="A7" s="533" t="s">
        <v>314</v>
      </c>
      <c r="B7" s="534">
        <f>SUM(B4:B6)</f>
        <v>1485800</v>
      </c>
      <c r="C7" s="534">
        <f t="shared" ref="C7:D7" si="2">SUM(C4:C6)</f>
        <v>0</v>
      </c>
      <c r="D7" s="534">
        <f t="shared" si="2"/>
        <v>0</v>
      </c>
      <c r="E7" s="536">
        <f t="shared" si="0"/>
        <v>1485800</v>
      </c>
      <c r="G7" s="506" t="s">
        <v>326</v>
      </c>
      <c r="H7" s="507">
        <v>63580</v>
      </c>
      <c r="I7" s="507">
        <v>16140</v>
      </c>
      <c r="J7" s="508">
        <v>1060</v>
      </c>
      <c r="K7" s="505">
        <f t="shared" si="1"/>
        <v>80780</v>
      </c>
    </row>
    <row r="8" spans="1:12" ht="15.75" thickBot="1" x14ac:dyDescent="0.3">
      <c r="A8" s="502" t="s">
        <v>311</v>
      </c>
      <c r="B8" s="503">
        <v>27151</v>
      </c>
      <c r="C8" s="503">
        <v>100</v>
      </c>
      <c r="D8" s="504"/>
      <c r="E8" s="505">
        <f t="shared" si="0"/>
        <v>27251</v>
      </c>
      <c r="G8" s="527" t="s">
        <v>332</v>
      </c>
      <c r="H8" s="528">
        <v>470</v>
      </c>
      <c r="I8" s="528"/>
      <c r="J8" s="529"/>
      <c r="K8" s="505">
        <f t="shared" si="1"/>
        <v>470</v>
      </c>
    </row>
    <row r="9" spans="1:12" ht="15.75" thickBot="1" x14ac:dyDescent="0.3">
      <c r="A9" s="506" t="s">
        <v>312</v>
      </c>
      <c r="B9" s="507">
        <v>219010</v>
      </c>
      <c r="C9" s="507">
        <v>4050</v>
      </c>
      <c r="D9" s="508">
        <v>12350</v>
      </c>
      <c r="E9" s="505">
        <f t="shared" si="0"/>
        <v>235410</v>
      </c>
      <c r="G9" s="533" t="s">
        <v>327</v>
      </c>
      <c r="H9" s="534">
        <f>SUM(H4:H8)</f>
        <v>1801231</v>
      </c>
      <c r="I9" s="534">
        <f>SUM(I4:I8)</f>
        <v>704072</v>
      </c>
      <c r="J9" s="534">
        <f>SUM(J4:J8)</f>
        <v>306400</v>
      </c>
      <c r="K9" s="541">
        <f t="shared" si="1"/>
        <v>2811703</v>
      </c>
    </row>
    <row r="10" spans="1:12" x14ac:dyDescent="0.25">
      <c r="A10" s="506" t="s">
        <v>317</v>
      </c>
      <c r="B10" s="507">
        <v>5000</v>
      </c>
      <c r="C10" s="507"/>
      <c r="D10" s="508"/>
      <c r="E10" s="505">
        <f t="shared" si="0"/>
        <v>5000</v>
      </c>
      <c r="G10" s="502" t="s">
        <v>328</v>
      </c>
      <c r="H10" s="503">
        <v>2034046</v>
      </c>
      <c r="I10" s="503"/>
      <c r="J10" s="504"/>
      <c r="K10" s="505">
        <f t="shared" si="1"/>
        <v>2034046</v>
      </c>
    </row>
    <row r="11" spans="1:12" ht="15.75" thickBot="1" x14ac:dyDescent="0.3">
      <c r="A11" s="506" t="s">
        <v>333</v>
      </c>
      <c r="B11" s="507">
        <v>50</v>
      </c>
      <c r="C11" s="507"/>
      <c r="D11" s="508"/>
      <c r="E11" s="505">
        <f t="shared" si="0"/>
        <v>50</v>
      </c>
      <c r="G11" s="506"/>
      <c r="H11" s="507"/>
      <c r="I11" s="507"/>
      <c r="J11" s="508"/>
      <c r="K11" s="505">
        <f t="shared" si="1"/>
        <v>0</v>
      </c>
    </row>
    <row r="12" spans="1:12" ht="15.75" thickBot="1" x14ac:dyDescent="0.3">
      <c r="A12" s="509" t="s">
        <v>334</v>
      </c>
      <c r="B12" s="510">
        <v>71070</v>
      </c>
      <c r="C12" s="510">
        <v>1000</v>
      </c>
      <c r="D12" s="511"/>
      <c r="E12" s="530">
        <f t="shared" si="0"/>
        <v>72070</v>
      </c>
      <c r="G12" s="533" t="s">
        <v>329</v>
      </c>
      <c r="H12" s="534">
        <f>SUM(H10:H11)</f>
        <v>2034046</v>
      </c>
      <c r="I12" s="534">
        <f>SUM(I10:I11)</f>
        <v>0</v>
      </c>
      <c r="J12" s="534">
        <f>SUM(J10:J11)</f>
        <v>0</v>
      </c>
      <c r="K12" s="541">
        <f t="shared" si="1"/>
        <v>2034046</v>
      </c>
    </row>
    <row r="13" spans="1:12" ht="15.75" thickBot="1" x14ac:dyDescent="0.3">
      <c r="A13" s="533" t="s">
        <v>313</v>
      </c>
      <c r="B13" s="534">
        <f>SUM(B8:B12)</f>
        <v>322281</v>
      </c>
      <c r="C13" s="534">
        <f t="shared" ref="C13:D13" si="3">SUM(C8:C12)</f>
        <v>5150</v>
      </c>
      <c r="D13" s="534">
        <f t="shared" si="3"/>
        <v>12350</v>
      </c>
      <c r="E13" s="536">
        <f t="shared" si="0"/>
        <v>339781</v>
      </c>
      <c r="G13" s="531" t="s">
        <v>330</v>
      </c>
      <c r="H13" s="503">
        <v>3561</v>
      </c>
      <c r="I13" s="503"/>
      <c r="J13" s="503"/>
      <c r="K13" s="505">
        <f t="shared" si="1"/>
        <v>3561</v>
      </c>
    </row>
    <row r="14" spans="1:12" ht="15.75" thickBot="1" x14ac:dyDescent="0.3">
      <c r="A14" s="531" t="s">
        <v>315</v>
      </c>
      <c r="B14" s="503">
        <v>955422</v>
      </c>
      <c r="C14" s="503"/>
      <c r="D14" s="503"/>
      <c r="E14" s="505">
        <f t="shared" si="0"/>
        <v>955422</v>
      </c>
      <c r="G14" s="532" t="s">
        <v>331</v>
      </c>
      <c r="H14" s="528">
        <v>1040</v>
      </c>
      <c r="I14" s="528"/>
      <c r="J14" s="528"/>
      <c r="K14" s="505">
        <f t="shared" si="1"/>
        <v>1040</v>
      </c>
    </row>
    <row r="15" spans="1:12" ht="15.75" thickBot="1" x14ac:dyDescent="0.3">
      <c r="A15" s="532" t="s">
        <v>318</v>
      </c>
      <c r="B15" s="528">
        <v>1138050</v>
      </c>
      <c r="C15" s="528"/>
      <c r="D15" s="528"/>
      <c r="E15" s="530">
        <f t="shared" si="0"/>
        <v>1138050</v>
      </c>
      <c r="G15" s="542" t="s">
        <v>336</v>
      </c>
      <c r="H15" s="543">
        <f>SUM(H13:H14)</f>
        <v>4601</v>
      </c>
      <c r="I15" s="543">
        <f t="shared" ref="I15" si="4">SUM(I13:I14)</f>
        <v>0</v>
      </c>
      <c r="J15" s="543">
        <f t="shared" ref="J15" si="5">SUM(J13:J14)</f>
        <v>0</v>
      </c>
      <c r="K15" s="544">
        <f t="shared" si="1"/>
        <v>4601</v>
      </c>
    </row>
    <row r="16" spans="1:12" ht="15.75" thickBot="1" x14ac:dyDescent="0.3">
      <c r="A16" s="533" t="s">
        <v>316</v>
      </c>
      <c r="B16" s="534">
        <f>SUM(B14:B15)</f>
        <v>2093472</v>
      </c>
      <c r="C16" s="534">
        <f t="shared" ref="C16:D16" si="6">SUM(C14:C15)</f>
        <v>0</v>
      </c>
      <c r="D16" s="534">
        <f t="shared" si="6"/>
        <v>0</v>
      </c>
      <c r="E16" s="536">
        <f t="shared" si="0"/>
        <v>2093472</v>
      </c>
      <c r="G16" s="537" t="s">
        <v>188</v>
      </c>
      <c r="H16" s="538">
        <f>H9+H12+H15</f>
        <v>3839878</v>
      </c>
      <c r="I16" s="538">
        <f t="shared" ref="I16:J16" si="7">I9+I12+I15</f>
        <v>704072</v>
      </c>
      <c r="J16" s="538">
        <f t="shared" si="7"/>
        <v>306400</v>
      </c>
      <c r="K16" s="539">
        <f t="shared" si="1"/>
        <v>4850350</v>
      </c>
      <c r="L16" s="512">
        <f>K9+K12+K15</f>
        <v>4850350</v>
      </c>
    </row>
    <row r="17" spans="1:11" ht="15.75" thickBot="1" x14ac:dyDescent="0.3">
      <c r="A17" s="532" t="s">
        <v>319</v>
      </c>
      <c r="B17" s="528">
        <v>931297</v>
      </c>
      <c r="C17" s="528"/>
      <c r="D17" s="528"/>
      <c r="E17" s="530">
        <f t="shared" si="0"/>
        <v>931297</v>
      </c>
      <c r="G17" s="545" t="s">
        <v>413</v>
      </c>
      <c r="H17" s="426">
        <f>B21-H16</f>
        <v>992972</v>
      </c>
      <c r="I17" s="426">
        <f>C21-I16</f>
        <v>-698922</v>
      </c>
      <c r="J17" s="426">
        <f>D21-J16</f>
        <v>-294050</v>
      </c>
      <c r="K17" s="426">
        <f>E21-K16</f>
        <v>0</v>
      </c>
    </row>
    <row r="18" spans="1:11" ht="15.75" thickBot="1" x14ac:dyDescent="0.3">
      <c r="A18" s="533" t="s">
        <v>320</v>
      </c>
      <c r="B18" s="534">
        <f>SUM(B17)</f>
        <v>931297</v>
      </c>
      <c r="C18" s="534">
        <f t="shared" ref="C18:D18" si="8">SUM(C17)</f>
        <v>0</v>
      </c>
      <c r="D18" s="534">
        <f t="shared" si="8"/>
        <v>0</v>
      </c>
      <c r="E18" s="536">
        <f t="shared" si="0"/>
        <v>931297</v>
      </c>
      <c r="F18" s="512"/>
      <c r="J18" s="426">
        <f>SUM(I16:J16)</f>
        <v>1010472</v>
      </c>
    </row>
    <row r="19" spans="1:11" ht="15.75" thickBot="1" x14ac:dyDescent="0.3">
      <c r="A19" s="532" t="s">
        <v>335</v>
      </c>
      <c r="B19" s="528">
        <v>0</v>
      </c>
      <c r="C19" s="528"/>
      <c r="D19" s="528"/>
      <c r="E19" s="530">
        <f t="shared" si="0"/>
        <v>0</v>
      </c>
      <c r="F19" s="512"/>
    </row>
    <row r="20" spans="1:11" ht="15.75" thickBot="1" x14ac:dyDescent="0.3">
      <c r="A20" s="533" t="s">
        <v>321</v>
      </c>
      <c r="B20" s="534">
        <v>0</v>
      </c>
      <c r="C20" s="534"/>
      <c r="D20" s="535"/>
      <c r="E20" s="536">
        <f t="shared" si="0"/>
        <v>0</v>
      </c>
      <c r="F20" s="517"/>
    </row>
    <row r="21" spans="1:11" ht="23.25" customHeight="1" thickBot="1" x14ac:dyDescent="0.3">
      <c r="A21" s="537" t="s">
        <v>187</v>
      </c>
      <c r="B21" s="538">
        <f>B7+B13+B16+B18+B20</f>
        <v>4832850</v>
      </c>
      <c r="C21" s="538">
        <f t="shared" ref="C21:D21" si="9">C7+C13+C16+C18+C20</f>
        <v>5150</v>
      </c>
      <c r="D21" s="538">
        <f t="shared" si="9"/>
        <v>12350</v>
      </c>
      <c r="E21" s="539">
        <f t="shared" si="0"/>
        <v>4850350</v>
      </c>
      <c r="F21" s="540">
        <f>E7+E13+E16+E18+E20</f>
        <v>4850350</v>
      </c>
    </row>
    <row r="22" spans="1:11" x14ac:dyDescent="0.25">
      <c r="D22" s="426">
        <f>SUM(C21:D21)</f>
        <v>17500</v>
      </c>
    </row>
    <row r="23" spans="1:11" x14ac:dyDescent="0.25">
      <c r="A23" t="s">
        <v>189</v>
      </c>
    </row>
    <row r="25" spans="1:11" x14ac:dyDescent="0.25">
      <c r="A25" s="672" t="s">
        <v>412</v>
      </c>
      <c r="B25" s="672"/>
    </row>
  </sheetData>
  <mergeCells count="1">
    <mergeCell ref="A1:E1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workbookViewId="0">
      <selection sqref="A1:E1"/>
    </sheetView>
  </sheetViews>
  <sheetFormatPr defaultRowHeight="15" x14ac:dyDescent="0.25"/>
  <cols>
    <col min="2" max="2" width="10.28515625" customWidth="1"/>
  </cols>
  <sheetData>
    <row r="1" spans="1:12" ht="21" customHeight="1" x14ac:dyDescent="0.25">
      <c r="A1" s="656" t="s">
        <v>300</v>
      </c>
      <c r="B1" s="657"/>
      <c r="C1" s="657"/>
      <c r="D1" s="657"/>
      <c r="E1" s="658"/>
      <c r="F1" s="656" t="s">
        <v>301</v>
      </c>
      <c r="G1" s="657"/>
      <c r="H1" s="657"/>
      <c r="I1" s="658"/>
    </row>
    <row r="2" spans="1:12" x14ac:dyDescent="0.25">
      <c r="A2" s="664" t="s">
        <v>294</v>
      </c>
      <c r="B2" s="665" t="s">
        <v>287</v>
      </c>
      <c r="C2" s="665" t="s">
        <v>295</v>
      </c>
      <c r="D2" s="665" t="s">
        <v>296</v>
      </c>
      <c r="E2" s="666" t="s">
        <v>297</v>
      </c>
      <c r="F2" s="664" t="s">
        <v>287</v>
      </c>
      <c r="G2" s="665" t="s">
        <v>295</v>
      </c>
      <c r="H2" s="665" t="s">
        <v>296</v>
      </c>
      <c r="I2" s="666" t="s">
        <v>297</v>
      </c>
      <c r="J2" t="s">
        <v>298</v>
      </c>
      <c r="K2" t="s">
        <v>410</v>
      </c>
    </row>
    <row r="3" spans="1:12" x14ac:dyDescent="0.25">
      <c r="A3" s="518">
        <v>111</v>
      </c>
      <c r="B3" s="507">
        <v>808338</v>
      </c>
      <c r="C3" s="519"/>
      <c r="D3" s="519"/>
      <c r="E3" s="520">
        <f>SUM(B3:D3)</f>
        <v>808338</v>
      </c>
      <c r="F3" s="506">
        <v>175690</v>
      </c>
      <c r="G3" s="519">
        <v>632648</v>
      </c>
      <c r="H3" s="519"/>
      <c r="I3" s="520">
        <f>SUM(F3:H3)</f>
        <v>808338</v>
      </c>
      <c r="J3">
        <f>E3-I3</f>
        <v>0</v>
      </c>
    </row>
    <row r="4" spans="1:12" x14ac:dyDescent="0.25">
      <c r="A4" s="518" t="s">
        <v>299</v>
      </c>
      <c r="B4" s="507">
        <v>2250</v>
      </c>
      <c r="C4" s="519"/>
      <c r="D4" s="519"/>
      <c r="E4" s="520">
        <f t="shared" ref="E4:E10" si="0">SUM(B4:D4)</f>
        <v>2250</v>
      </c>
      <c r="F4" s="506"/>
      <c r="G4" s="519">
        <v>2250</v>
      </c>
      <c r="H4" s="519"/>
      <c r="I4" s="520">
        <f t="shared" ref="I4:I10" si="1">SUM(F4:H4)</f>
        <v>2250</v>
      </c>
      <c r="J4">
        <f t="shared" ref="J4:J11" si="2">E4-I4</f>
        <v>0</v>
      </c>
    </row>
    <row r="5" spans="1:12" x14ac:dyDescent="0.25">
      <c r="A5" s="518" t="s">
        <v>407</v>
      </c>
      <c r="B5" s="507">
        <v>29652</v>
      </c>
      <c r="C5" s="519">
        <v>1000</v>
      </c>
      <c r="D5" s="519"/>
      <c r="E5" s="520">
        <f t="shared" si="0"/>
        <v>30652</v>
      </c>
      <c r="F5" s="506">
        <v>21000</v>
      </c>
      <c r="G5" s="519">
        <v>9652</v>
      </c>
      <c r="H5" s="519"/>
      <c r="I5" s="520">
        <f t="shared" si="1"/>
        <v>30652</v>
      </c>
      <c r="J5">
        <f t="shared" si="2"/>
        <v>0</v>
      </c>
      <c r="K5">
        <f>SUM(C5:D5)</f>
        <v>1000</v>
      </c>
    </row>
    <row r="6" spans="1:12" x14ac:dyDescent="0.25">
      <c r="A6" s="518" t="s">
        <v>402</v>
      </c>
      <c r="B6" s="507">
        <v>16381</v>
      </c>
      <c r="C6" s="519"/>
      <c r="D6" s="519"/>
      <c r="E6" s="520">
        <f t="shared" si="0"/>
        <v>16381</v>
      </c>
      <c r="F6" s="506"/>
      <c r="G6" s="519">
        <v>16381</v>
      </c>
      <c r="H6" s="519"/>
      <c r="I6" s="520">
        <f t="shared" si="1"/>
        <v>16381</v>
      </c>
      <c r="J6">
        <f t="shared" si="2"/>
        <v>0</v>
      </c>
    </row>
    <row r="7" spans="1:12" x14ac:dyDescent="0.25">
      <c r="A7" s="521" t="s">
        <v>403</v>
      </c>
      <c r="B7" s="510">
        <v>2891</v>
      </c>
      <c r="C7" s="522"/>
      <c r="D7" s="522"/>
      <c r="E7" s="520">
        <f t="shared" si="0"/>
        <v>2891</v>
      </c>
      <c r="F7" s="509"/>
      <c r="G7" s="522">
        <v>2891</v>
      </c>
      <c r="H7" s="522"/>
      <c r="I7" s="520">
        <f t="shared" si="1"/>
        <v>2891</v>
      </c>
      <c r="J7">
        <f t="shared" si="2"/>
        <v>0</v>
      </c>
    </row>
    <row r="8" spans="1:12" x14ac:dyDescent="0.25">
      <c r="A8" s="521">
        <v>41</v>
      </c>
      <c r="B8" s="510">
        <v>1695531</v>
      </c>
      <c r="C8" s="522"/>
      <c r="D8" s="522"/>
      <c r="E8" s="523">
        <f t="shared" si="0"/>
        <v>1695531</v>
      </c>
      <c r="F8" s="509">
        <v>1365381</v>
      </c>
      <c r="G8" s="522">
        <v>36100</v>
      </c>
      <c r="H8" s="522">
        <v>294050</v>
      </c>
      <c r="I8" s="520">
        <f t="shared" si="1"/>
        <v>1695531</v>
      </c>
      <c r="J8">
        <f t="shared" si="2"/>
        <v>0</v>
      </c>
    </row>
    <row r="9" spans="1:12" x14ac:dyDescent="0.25">
      <c r="A9" s="521" t="s">
        <v>405</v>
      </c>
      <c r="B9" s="510">
        <v>3440</v>
      </c>
      <c r="C9" s="522">
        <f>3600+150</f>
        <v>3750</v>
      </c>
      <c r="D9" s="522">
        <v>12350</v>
      </c>
      <c r="E9" s="523">
        <f t="shared" si="0"/>
        <v>19540</v>
      </c>
      <c r="F9" s="509">
        <v>3440</v>
      </c>
      <c r="G9" s="522">
        <v>3750</v>
      </c>
      <c r="H9" s="522">
        <v>12350</v>
      </c>
      <c r="I9" s="520">
        <f t="shared" si="1"/>
        <v>19540</v>
      </c>
      <c r="J9">
        <f t="shared" si="2"/>
        <v>0</v>
      </c>
      <c r="K9">
        <f>SUM(C9:D9)</f>
        <v>16100</v>
      </c>
    </row>
    <row r="10" spans="1:12" ht="15.75" thickBot="1" x14ac:dyDescent="0.3">
      <c r="A10" s="521" t="s">
        <v>406</v>
      </c>
      <c r="B10" s="654">
        <v>3300</v>
      </c>
      <c r="C10" s="522">
        <v>400</v>
      </c>
      <c r="D10" s="522"/>
      <c r="E10" s="655">
        <f t="shared" si="0"/>
        <v>3700</v>
      </c>
      <c r="F10" s="509">
        <v>3300</v>
      </c>
      <c r="G10" s="522">
        <v>400</v>
      </c>
      <c r="H10" s="522"/>
      <c r="I10" s="520">
        <f t="shared" si="1"/>
        <v>3700</v>
      </c>
      <c r="J10">
        <f t="shared" si="2"/>
        <v>0</v>
      </c>
      <c r="K10">
        <f t="shared" ref="K10:K11" si="3">SUM(C10:D10)</f>
        <v>400</v>
      </c>
    </row>
    <row r="11" spans="1:12" ht="23.25" customHeight="1" thickBot="1" x14ac:dyDescent="0.3">
      <c r="A11" s="659" t="s">
        <v>408</v>
      </c>
      <c r="B11" s="660">
        <f>SUM(B3:B10)</f>
        <v>2561783</v>
      </c>
      <c r="C11" s="660">
        <f t="shared" ref="C11:I11" si="4">SUM(C3:C10)</f>
        <v>5150</v>
      </c>
      <c r="D11" s="660">
        <f t="shared" si="4"/>
        <v>12350</v>
      </c>
      <c r="E11" s="661">
        <f t="shared" si="4"/>
        <v>2579283</v>
      </c>
      <c r="F11" s="662">
        <f t="shared" si="4"/>
        <v>1568811</v>
      </c>
      <c r="G11" s="660">
        <f t="shared" si="4"/>
        <v>704072</v>
      </c>
      <c r="H11" s="660">
        <f t="shared" si="4"/>
        <v>306400</v>
      </c>
      <c r="I11" s="663">
        <f t="shared" si="4"/>
        <v>2579283</v>
      </c>
      <c r="J11">
        <f t="shared" si="2"/>
        <v>0</v>
      </c>
      <c r="K11">
        <f t="shared" si="3"/>
        <v>17500</v>
      </c>
      <c r="L11" s="669">
        <f>SUM(K3:K10)</f>
        <v>17500</v>
      </c>
    </row>
    <row r="12" spans="1:12" s="100" customFormat="1" ht="13.5" customHeight="1" x14ac:dyDescent="0.25">
      <c r="A12" s="667"/>
      <c r="B12" s="668"/>
      <c r="C12" s="668"/>
      <c r="D12" s="668">
        <f>SUM(C11:D11)</f>
        <v>17500</v>
      </c>
      <c r="E12" s="668"/>
      <c r="F12" s="668"/>
      <c r="G12" s="668"/>
      <c r="H12" s="668">
        <f>SUM(G11:H11)</f>
        <v>1010472</v>
      </c>
      <c r="I12" s="668"/>
    </row>
    <row r="13" spans="1:12" ht="26.25" customHeight="1" thickBot="1" x14ac:dyDescent="0.3"/>
    <row r="14" spans="1:12" ht="21.75" customHeight="1" x14ac:dyDescent="0.25">
      <c r="A14" s="656" t="s">
        <v>302</v>
      </c>
      <c r="B14" s="657"/>
      <c r="C14" s="657"/>
      <c r="D14" s="657"/>
      <c r="E14" s="658"/>
      <c r="F14" s="656" t="s">
        <v>303</v>
      </c>
      <c r="G14" s="657"/>
      <c r="H14" s="657"/>
      <c r="I14" s="658"/>
    </row>
    <row r="15" spans="1:12" x14ac:dyDescent="0.25">
      <c r="A15" s="664" t="s">
        <v>294</v>
      </c>
      <c r="B15" s="665" t="s">
        <v>287</v>
      </c>
      <c r="C15" s="665" t="s">
        <v>295</v>
      </c>
      <c r="D15" s="665" t="s">
        <v>296</v>
      </c>
      <c r="E15" s="666" t="s">
        <v>297</v>
      </c>
      <c r="F15" s="664" t="s">
        <v>287</v>
      </c>
      <c r="G15" s="665" t="s">
        <v>295</v>
      </c>
      <c r="H15" s="665" t="s">
        <v>296</v>
      </c>
      <c r="I15" s="666" t="s">
        <v>297</v>
      </c>
      <c r="J15" t="s">
        <v>298</v>
      </c>
      <c r="K15" t="s">
        <v>410</v>
      </c>
    </row>
    <row r="16" spans="1:12" x14ac:dyDescent="0.25">
      <c r="A16" s="518">
        <v>111</v>
      </c>
      <c r="B16" s="507">
        <v>778220</v>
      </c>
      <c r="C16" s="519"/>
      <c r="D16" s="519"/>
      <c r="E16" s="520">
        <f>SUM(B16:D16)</f>
        <v>778220</v>
      </c>
      <c r="F16" s="506">
        <v>136920</v>
      </c>
      <c r="G16" s="519">
        <v>641300</v>
      </c>
      <c r="H16" s="519"/>
      <c r="I16" s="520">
        <f>SUM(F16:H16)</f>
        <v>778220</v>
      </c>
      <c r="J16">
        <f>E16-I16</f>
        <v>0</v>
      </c>
    </row>
    <row r="17" spans="1:12" x14ac:dyDescent="0.25">
      <c r="A17" s="518" t="s">
        <v>299</v>
      </c>
      <c r="B17" s="507">
        <v>150</v>
      </c>
      <c r="C17" s="519"/>
      <c r="D17" s="519"/>
      <c r="E17" s="520">
        <f t="shared" ref="E17:E23" si="5">SUM(B17:D17)</f>
        <v>150</v>
      </c>
      <c r="F17" s="506"/>
      <c r="G17" s="519">
        <v>150</v>
      </c>
      <c r="H17" s="519"/>
      <c r="I17" s="520">
        <f t="shared" ref="I17:I23" si="6">SUM(F17:H17)</f>
        <v>150</v>
      </c>
      <c r="J17">
        <f t="shared" ref="J17:J24" si="7">E17-I17</f>
        <v>0</v>
      </c>
    </row>
    <row r="18" spans="1:12" x14ac:dyDescent="0.25">
      <c r="A18" s="518" t="s">
        <v>407</v>
      </c>
      <c r="B18" s="507">
        <v>21000</v>
      </c>
      <c r="C18" s="519">
        <v>1000</v>
      </c>
      <c r="D18" s="519"/>
      <c r="E18" s="520">
        <f t="shared" si="5"/>
        <v>22000</v>
      </c>
      <c r="F18" s="506">
        <v>21000</v>
      </c>
      <c r="G18" s="519">
        <v>1000</v>
      </c>
      <c r="H18" s="519"/>
      <c r="I18" s="520">
        <f t="shared" si="6"/>
        <v>22000</v>
      </c>
      <c r="J18">
        <f t="shared" si="7"/>
        <v>0</v>
      </c>
      <c r="K18">
        <f>SUM(C18:D18)</f>
        <v>1000</v>
      </c>
    </row>
    <row r="19" spans="1:12" x14ac:dyDescent="0.25">
      <c r="A19" s="518" t="s">
        <v>402</v>
      </c>
      <c r="B19" s="507"/>
      <c r="C19" s="519"/>
      <c r="D19" s="519"/>
      <c r="E19" s="520">
        <f t="shared" si="5"/>
        <v>0</v>
      </c>
      <c r="F19" s="506"/>
      <c r="G19" s="519"/>
      <c r="H19" s="519"/>
      <c r="I19" s="520">
        <f t="shared" si="6"/>
        <v>0</v>
      </c>
      <c r="J19">
        <f t="shared" si="7"/>
        <v>0</v>
      </c>
    </row>
    <row r="20" spans="1:12" x14ac:dyDescent="0.25">
      <c r="A20" s="521" t="s">
        <v>403</v>
      </c>
      <c r="B20" s="510"/>
      <c r="C20" s="522"/>
      <c r="D20" s="522"/>
      <c r="E20" s="520">
        <f t="shared" si="5"/>
        <v>0</v>
      </c>
      <c r="F20" s="509"/>
      <c r="G20" s="522"/>
      <c r="H20" s="522"/>
      <c r="I20" s="520">
        <f t="shared" si="6"/>
        <v>0</v>
      </c>
      <c r="J20">
        <f t="shared" si="7"/>
        <v>0</v>
      </c>
    </row>
    <row r="21" spans="1:12" x14ac:dyDescent="0.25">
      <c r="A21" s="521">
        <v>41</v>
      </c>
      <c r="B21" s="510">
        <v>1729031</v>
      </c>
      <c r="C21" s="522"/>
      <c r="D21" s="522"/>
      <c r="E21" s="520">
        <f t="shared" si="5"/>
        <v>1729031</v>
      </c>
      <c r="F21" s="509">
        <v>1399481</v>
      </c>
      <c r="G21" s="522">
        <v>34400</v>
      </c>
      <c r="H21" s="522">
        <v>295150</v>
      </c>
      <c r="I21" s="520">
        <f t="shared" si="6"/>
        <v>1729031</v>
      </c>
      <c r="J21">
        <f t="shared" si="7"/>
        <v>0</v>
      </c>
    </row>
    <row r="22" spans="1:12" x14ac:dyDescent="0.25">
      <c r="A22" s="521" t="s">
        <v>405</v>
      </c>
      <c r="B22" s="510">
        <v>3440</v>
      </c>
      <c r="C22" s="522">
        <v>3750</v>
      </c>
      <c r="D22" s="522">
        <v>12350</v>
      </c>
      <c r="E22" s="520">
        <f t="shared" si="5"/>
        <v>19540</v>
      </c>
      <c r="F22" s="509">
        <v>3440</v>
      </c>
      <c r="G22" s="522">
        <v>3750</v>
      </c>
      <c r="H22" s="522">
        <v>12350</v>
      </c>
      <c r="I22" s="520">
        <f t="shared" si="6"/>
        <v>19540</v>
      </c>
      <c r="J22">
        <f t="shared" si="7"/>
        <v>0</v>
      </c>
      <c r="K22">
        <f>SUM(C22:D22)</f>
        <v>16100</v>
      </c>
    </row>
    <row r="23" spans="1:12" ht="15.75" thickBot="1" x14ac:dyDescent="0.3">
      <c r="A23" s="653" t="s">
        <v>406</v>
      </c>
      <c r="B23" s="652">
        <v>3000</v>
      </c>
      <c r="C23" s="525">
        <v>400</v>
      </c>
      <c r="D23" s="525"/>
      <c r="E23" s="520">
        <f t="shared" si="5"/>
        <v>3400</v>
      </c>
      <c r="F23" s="524">
        <v>3000</v>
      </c>
      <c r="G23" s="525">
        <v>400</v>
      </c>
      <c r="H23" s="525"/>
      <c r="I23" s="520">
        <f t="shared" si="6"/>
        <v>3400</v>
      </c>
      <c r="J23">
        <f t="shared" si="7"/>
        <v>0</v>
      </c>
      <c r="K23">
        <f t="shared" ref="K23:K24" si="8">SUM(C23:D23)</f>
        <v>400</v>
      </c>
    </row>
    <row r="24" spans="1:12" ht="21" customHeight="1" thickBot="1" x14ac:dyDescent="0.3">
      <c r="A24" s="659" t="s">
        <v>408</v>
      </c>
      <c r="B24" s="660">
        <f>SUM(B16:B23)</f>
        <v>2534841</v>
      </c>
      <c r="C24" s="660">
        <f t="shared" ref="C24" si="9">SUM(C16:C23)</f>
        <v>5150</v>
      </c>
      <c r="D24" s="660">
        <f t="shared" ref="D24" si="10">SUM(D16:D23)</f>
        <v>12350</v>
      </c>
      <c r="E24" s="661">
        <f t="shared" ref="E24" si="11">SUM(E16:E23)</f>
        <v>2552341</v>
      </c>
      <c r="F24" s="662">
        <f t="shared" ref="F24" si="12">SUM(F16:F23)</f>
        <v>1563841</v>
      </c>
      <c r="G24" s="660">
        <f t="shared" ref="G24" si="13">SUM(G16:G23)</f>
        <v>681000</v>
      </c>
      <c r="H24" s="660">
        <f t="shared" ref="H24" si="14">SUM(H16:H23)</f>
        <v>307500</v>
      </c>
      <c r="I24" s="663">
        <f t="shared" ref="I24" si="15">SUM(I16:I23)</f>
        <v>2552341</v>
      </c>
      <c r="J24">
        <f t="shared" si="7"/>
        <v>0</v>
      </c>
      <c r="K24">
        <f t="shared" si="8"/>
        <v>17500</v>
      </c>
      <c r="L24" s="669">
        <f>SUM(K16:K23)</f>
        <v>17500</v>
      </c>
    </row>
    <row r="25" spans="1:12" ht="17.25" customHeight="1" x14ac:dyDescent="0.25">
      <c r="D25" s="426">
        <f>SUM(C24:D24)</f>
        <v>17500</v>
      </c>
      <c r="H25" s="426">
        <f>SUM(G24:H24)</f>
        <v>988500</v>
      </c>
    </row>
    <row r="26" spans="1:12" ht="28.5" customHeight="1" thickBot="1" x14ac:dyDescent="0.3"/>
    <row r="27" spans="1:12" ht="21.75" customHeight="1" x14ac:dyDescent="0.25">
      <c r="A27" s="656" t="s">
        <v>404</v>
      </c>
      <c r="B27" s="657"/>
      <c r="C27" s="657"/>
      <c r="D27" s="657"/>
      <c r="E27" s="658"/>
      <c r="F27" s="656" t="s">
        <v>409</v>
      </c>
      <c r="G27" s="657"/>
      <c r="H27" s="657"/>
      <c r="I27" s="658"/>
    </row>
    <row r="28" spans="1:12" x14ac:dyDescent="0.25">
      <c r="A28" s="664" t="s">
        <v>294</v>
      </c>
      <c r="B28" s="665" t="s">
        <v>287</v>
      </c>
      <c r="C28" s="665" t="s">
        <v>295</v>
      </c>
      <c r="D28" s="665" t="s">
        <v>296</v>
      </c>
      <c r="E28" s="666" t="s">
        <v>297</v>
      </c>
      <c r="F28" s="664" t="s">
        <v>287</v>
      </c>
      <c r="G28" s="665" t="s">
        <v>295</v>
      </c>
      <c r="H28" s="665" t="s">
        <v>296</v>
      </c>
      <c r="I28" s="666" t="s">
        <v>297</v>
      </c>
      <c r="J28" t="s">
        <v>298</v>
      </c>
      <c r="K28" t="s">
        <v>410</v>
      </c>
    </row>
    <row r="29" spans="1:12" x14ac:dyDescent="0.25">
      <c r="A29" s="518">
        <v>111</v>
      </c>
      <c r="B29" s="507">
        <v>778230</v>
      </c>
      <c r="C29" s="519"/>
      <c r="D29" s="519"/>
      <c r="E29" s="520">
        <f>SUM(B29:D29)</f>
        <v>778230</v>
      </c>
      <c r="F29" s="506">
        <v>136930</v>
      </c>
      <c r="G29" s="519">
        <v>641300</v>
      </c>
      <c r="H29" s="519"/>
      <c r="I29" s="520">
        <f>SUM(F29:H29)</f>
        <v>778230</v>
      </c>
      <c r="J29">
        <f>E29-I29</f>
        <v>0</v>
      </c>
    </row>
    <row r="30" spans="1:12" x14ac:dyDescent="0.25">
      <c r="A30" s="518" t="s">
        <v>299</v>
      </c>
      <c r="B30" s="507">
        <v>150</v>
      </c>
      <c r="C30" s="519"/>
      <c r="D30" s="519"/>
      <c r="E30" s="520">
        <f t="shared" ref="E30:E36" si="16">SUM(B30:D30)</f>
        <v>150</v>
      </c>
      <c r="F30" s="506"/>
      <c r="G30" s="519">
        <v>150</v>
      </c>
      <c r="H30" s="519"/>
      <c r="I30" s="520">
        <f t="shared" ref="I30:I36" si="17">SUM(F30:H30)</f>
        <v>150</v>
      </c>
      <c r="J30">
        <f t="shared" ref="J30:J37" si="18">E30-I30</f>
        <v>0</v>
      </c>
    </row>
    <row r="31" spans="1:12" x14ac:dyDescent="0.25">
      <c r="A31" s="518" t="s">
        <v>407</v>
      </c>
      <c r="B31" s="507">
        <v>21000</v>
      </c>
      <c r="C31" s="519">
        <v>1000</v>
      </c>
      <c r="D31" s="519"/>
      <c r="E31" s="520">
        <f t="shared" si="16"/>
        <v>22000</v>
      </c>
      <c r="F31" s="506">
        <v>21000</v>
      </c>
      <c r="G31" s="519">
        <v>1000</v>
      </c>
      <c r="H31" s="519"/>
      <c r="I31" s="520">
        <f t="shared" si="17"/>
        <v>22000</v>
      </c>
      <c r="J31">
        <f t="shared" si="18"/>
        <v>0</v>
      </c>
      <c r="K31">
        <f>SUM(C31:D31)</f>
        <v>1000</v>
      </c>
    </row>
    <row r="32" spans="1:12" x14ac:dyDescent="0.25">
      <c r="A32" s="518" t="s">
        <v>402</v>
      </c>
      <c r="B32" s="507"/>
      <c r="C32" s="519"/>
      <c r="D32" s="519"/>
      <c r="E32" s="520">
        <f t="shared" si="16"/>
        <v>0</v>
      </c>
      <c r="F32" s="506"/>
      <c r="G32" s="519"/>
      <c r="H32" s="519"/>
      <c r="I32" s="520">
        <f t="shared" si="17"/>
        <v>0</v>
      </c>
      <c r="J32">
        <f t="shared" si="18"/>
        <v>0</v>
      </c>
    </row>
    <row r="33" spans="1:12" x14ac:dyDescent="0.25">
      <c r="A33" s="521" t="s">
        <v>403</v>
      </c>
      <c r="B33" s="510"/>
      <c r="C33" s="522"/>
      <c r="D33" s="522"/>
      <c r="E33" s="520">
        <f t="shared" si="16"/>
        <v>0</v>
      </c>
      <c r="F33" s="509"/>
      <c r="G33" s="522"/>
      <c r="H33" s="522"/>
      <c r="I33" s="520">
        <f t="shared" si="17"/>
        <v>0</v>
      </c>
      <c r="J33">
        <f t="shared" si="18"/>
        <v>0</v>
      </c>
    </row>
    <row r="34" spans="1:12" x14ac:dyDescent="0.25">
      <c r="A34" s="521">
        <v>41</v>
      </c>
      <c r="B34" s="510">
        <v>1816031</v>
      </c>
      <c r="C34" s="522"/>
      <c r="D34" s="522"/>
      <c r="E34" s="520">
        <f t="shared" si="16"/>
        <v>1816031</v>
      </c>
      <c r="F34" s="509">
        <v>1486481</v>
      </c>
      <c r="G34" s="522">
        <v>34400</v>
      </c>
      <c r="H34" s="522">
        <v>295150</v>
      </c>
      <c r="I34" s="520">
        <f t="shared" si="17"/>
        <v>1816031</v>
      </c>
      <c r="J34">
        <f t="shared" si="18"/>
        <v>0</v>
      </c>
    </row>
    <row r="35" spans="1:12" x14ac:dyDescent="0.25">
      <c r="A35" s="521" t="s">
        <v>405</v>
      </c>
      <c r="B35" s="510">
        <v>3440</v>
      </c>
      <c r="C35" s="522">
        <v>3750</v>
      </c>
      <c r="D35" s="522">
        <v>12350</v>
      </c>
      <c r="E35" s="520">
        <f t="shared" si="16"/>
        <v>19540</v>
      </c>
      <c r="F35" s="509">
        <v>3440</v>
      </c>
      <c r="G35" s="522">
        <v>3750</v>
      </c>
      <c r="H35" s="522">
        <v>12350</v>
      </c>
      <c r="I35" s="520">
        <f t="shared" si="17"/>
        <v>19540</v>
      </c>
      <c r="J35">
        <f t="shared" si="18"/>
        <v>0</v>
      </c>
      <c r="K35">
        <f>SUM(C35:D35)</f>
        <v>16100</v>
      </c>
    </row>
    <row r="36" spans="1:12" ht="15.75" thickBot="1" x14ac:dyDescent="0.3">
      <c r="A36" s="653" t="s">
        <v>406</v>
      </c>
      <c r="B36" s="652">
        <v>3000</v>
      </c>
      <c r="C36" s="525">
        <v>400</v>
      </c>
      <c r="D36" s="525"/>
      <c r="E36" s="520">
        <f t="shared" si="16"/>
        <v>3400</v>
      </c>
      <c r="F36" s="524">
        <v>3000</v>
      </c>
      <c r="G36" s="525">
        <v>400</v>
      </c>
      <c r="H36" s="525"/>
      <c r="I36" s="520">
        <f t="shared" si="17"/>
        <v>3400</v>
      </c>
      <c r="J36">
        <f t="shared" si="18"/>
        <v>0</v>
      </c>
      <c r="K36">
        <f t="shared" ref="K36:K37" si="19">SUM(C36:D36)</f>
        <v>400</v>
      </c>
    </row>
    <row r="37" spans="1:12" ht="20.25" customHeight="1" thickBot="1" x14ac:dyDescent="0.3">
      <c r="A37" s="659" t="s">
        <v>408</v>
      </c>
      <c r="B37" s="660">
        <f>SUM(B29:B36)</f>
        <v>2621851</v>
      </c>
      <c r="C37" s="660">
        <f t="shared" ref="C37" si="20">SUM(C29:C36)</f>
        <v>5150</v>
      </c>
      <c r="D37" s="660">
        <f t="shared" ref="D37" si="21">SUM(D29:D36)</f>
        <v>12350</v>
      </c>
      <c r="E37" s="661">
        <f t="shared" ref="E37" si="22">SUM(E29:E36)</f>
        <v>2639351</v>
      </c>
      <c r="F37" s="662">
        <f t="shared" ref="F37" si="23">SUM(F29:F36)</f>
        <v>1650851</v>
      </c>
      <c r="G37" s="660">
        <f t="shared" ref="G37" si="24">SUM(G29:G36)</f>
        <v>681000</v>
      </c>
      <c r="H37" s="660">
        <f t="shared" ref="H37" si="25">SUM(H29:H36)</f>
        <v>307500</v>
      </c>
      <c r="I37" s="663">
        <f t="shared" ref="I37" si="26">SUM(I29:I36)</f>
        <v>2639351</v>
      </c>
      <c r="J37">
        <f t="shared" si="18"/>
        <v>0</v>
      </c>
      <c r="K37">
        <f t="shared" si="19"/>
        <v>17500</v>
      </c>
      <c r="L37" s="669">
        <f>SUM(K29:K36)</f>
        <v>17500</v>
      </c>
    </row>
    <row r="38" spans="1:12" x14ac:dyDescent="0.25">
      <c r="D38" s="426">
        <f>SUM(C37:D37)</f>
        <v>17500</v>
      </c>
      <c r="H38" s="426">
        <f>SUM(G37:H37)</f>
        <v>988500</v>
      </c>
    </row>
    <row r="41" spans="1:12" x14ac:dyDescent="0.25">
      <c r="A41" t="s">
        <v>189</v>
      </c>
    </row>
    <row r="43" spans="1:12" x14ac:dyDescent="0.25">
      <c r="A43" s="670" t="s">
        <v>412</v>
      </c>
      <c r="B43" s="670"/>
    </row>
  </sheetData>
  <mergeCells count="7">
    <mergeCell ref="A43:B43"/>
    <mergeCell ref="A1:E1"/>
    <mergeCell ref="F1:I1"/>
    <mergeCell ref="A14:E14"/>
    <mergeCell ref="F14:I14"/>
    <mergeCell ref="A27:E27"/>
    <mergeCell ref="F27:I2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VR24-26</vt:lpstr>
      <vt:lpstr>investície</vt:lpstr>
      <vt:lpstr>eko</vt:lpstr>
      <vt:lpstr>kategorie</vt:lpstr>
      <vt:lpstr>zdroje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2024-01-05T16:57:25Z</dcterms:modified>
</cp:coreProperties>
</file>