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3BEC1D14-6E52-4EE1-8076-EA412F1B6679}" xr6:coauthVersionLast="36" xr6:coauthVersionMax="36" xr10:uidLastSave="{00000000-0000-0000-0000-000000000000}"/>
  <bookViews>
    <workbookView xWindow="0" yWindow="0" windowWidth="10455" windowHeight="7230" xr2:uid="{00000000-000D-0000-FFFF-FFFF00000000}"/>
  </bookViews>
  <sheets>
    <sheet name="zmena 8" sheetId="22" r:id="rId1"/>
    <sheet name="úpravy OZ" sheetId="11" r:id="rId2"/>
    <sheet name="Plán investícií 25" sheetId="8" r:id="rId3"/>
    <sheet name="úpravy ST" sheetId="10" r:id="rId4"/>
    <sheet name="opatrenia" sheetId="9" r:id="rId5"/>
    <sheet name="zmena 7 " sheetId="20" r:id="rId6"/>
    <sheet name="zmena 6" sheetId="18" r:id="rId7"/>
    <sheet name="zmena 5" sheetId="17" r:id="rId8"/>
    <sheet name="zmena 4" sheetId="16" r:id="rId9"/>
    <sheet name="zmena 3" sheetId="15" r:id="rId10"/>
    <sheet name="zmena 2" sheetId="14" r:id="rId11"/>
    <sheet name="zmena 1" sheetId="13" r:id="rId12"/>
    <sheet name="R2025" sheetId="12" r:id="rId13"/>
    <sheet name="VR25-27" sheetId="1" r:id="rId14"/>
  </sheets>
  <calcPr calcId="191029"/>
</workbook>
</file>

<file path=xl/calcChain.xml><?xml version="1.0" encoding="utf-8"?>
<calcChain xmlns="http://schemas.openxmlformats.org/spreadsheetml/2006/main">
  <c r="X132" i="22" l="1"/>
  <c r="AS238" i="22"/>
  <c r="X31" i="22" l="1"/>
  <c r="AS69" i="22"/>
  <c r="AS72" i="22"/>
  <c r="AS74" i="22"/>
  <c r="AS75" i="22"/>
  <c r="AS76" i="22"/>
  <c r="AA68" i="22"/>
  <c r="Z68" i="22"/>
  <c r="AA66" i="22"/>
  <c r="Z66" i="22"/>
  <c r="Y64" i="22"/>
  <c r="W68" i="22"/>
  <c r="W132" i="22" s="1"/>
  <c r="W60" i="22"/>
  <c r="Y60" i="22"/>
  <c r="W44" i="22"/>
  <c r="Y44" i="22" s="1"/>
  <c r="W40" i="22"/>
  <c r="Y40" i="22" s="1"/>
  <c r="X37" i="22"/>
  <c r="AA31" i="22"/>
  <c r="AA30" i="22"/>
  <c r="W28" i="22"/>
  <c r="Y28" i="22" s="1"/>
  <c r="W27" i="22"/>
  <c r="Y27" i="22" s="1"/>
  <c r="AA16" i="22"/>
  <c r="W22" i="22"/>
  <c r="Y22" i="22" s="1"/>
  <c r="W20" i="22"/>
  <c r="Y20" i="22" s="1"/>
  <c r="AA10" i="22"/>
  <c r="Z10" i="22"/>
  <c r="Y5" i="22"/>
  <c r="Y6" i="22"/>
  <c r="Y7" i="22"/>
  <c r="Y8" i="22"/>
  <c r="Y9" i="22"/>
  <c r="Y10" i="22"/>
  <c r="Y13" i="22"/>
  <c r="Y14" i="22"/>
  <c r="Y16" i="22"/>
  <c r="Y19" i="22"/>
  <c r="Y21" i="22"/>
  <c r="Y23" i="22"/>
  <c r="Y24" i="22"/>
  <c r="Y25" i="22"/>
  <c r="Y26" i="22"/>
  <c r="Y29" i="22"/>
  <c r="Y30" i="22"/>
  <c r="Y32" i="22"/>
  <c r="Y35" i="22"/>
  <c r="Y42" i="22"/>
  <c r="Y46" i="22"/>
  <c r="Y47" i="22"/>
  <c r="Y48" i="22"/>
  <c r="Y49" i="22"/>
  <c r="Y52" i="22"/>
  <c r="Y54" i="22"/>
  <c r="Y56" i="22"/>
  <c r="Y62" i="22"/>
  <c r="Y63" i="22"/>
  <c r="Y65" i="22"/>
  <c r="Y66" i="22"/>
  <c r="Y67" i="22"/>
  <c r="Y83" i="22"/>
  <c r="Y84" i="22"/>
  <c r="Y93" i="22"/>
  <c r="Y99" i="22"/>
  <c r="Y103" i="22"/>
  <c r="Y105" i="22"/>
  <c r="Y107" i="22"/>
  <c r="Y108" i="22"/>
  <c r="Y109" i="22"/>
  <c r="Y113" i="22"/>
  <c r="Y118" i="22"/>
  <c r="Y120" i="22"/>
  <c r="Y121" i="22"/>
  <c r="Y123" i="22"/>
  <c r="Y129" i="22"/>
  <c r="Y130" i="22"/>
  <c r="Y134" i="22"/>
  <c r="Y136" i="22"/>
  <c r="Y139" i="22"/>
  <c r="Y151" i="22"/>
  <c r="Y152" i="22"/>
  <c r="Y153" i="22"/>
  <c r="Y154" i="22"/>
  <c r="Y157" i="22"/>
  <c r="Y159" i="22"/>
  <c r="Y160" i="22"/>
  <c r="Y161" i="22"/>
  <c r="Y162" i="22"/>
  <c r="Y164" i="22"/>
  <c r="Y165" i="22"/>
  <c r="Y166" i="22"/>
  <c r="Y168" i="22"/>
  <c r="Y169" i="22"/>
  <c r="Y172" i="22"/>
  <c r="Y173" i="22"/>
  <c r="Y175" i="22"/>
  <c r="Y177" i="22"/>
  <c r="Y188" i="22"/>
  <c r="Y189" i="22"/>
  <c r="Y191" i="22"/>
  <c r="Y194" i="22"/>
  <c r="Y197" i="22"/>
  <c r="Y199" i="22"/>
  <c r="Y205" i="22"/>
  <c r="Y207" i="22"/>
  <c r="Y210" i="22"/>
  <c r="Y213" i="22"/>
  <c r="Y218" i="22"/>
  <c r="Y220" i="22"/>
  <c r="W127" i="22"/>
  <c r="W126" i="22"/>
  <c r="Y126" i="22" s="1"/>
  <c r="W124" i="22"/>
  <c r="Y124" i="22" s="1"/>
  <c r="W117" i="22"/>
  <c r="Y117" i="22" s="1"/>
  <c r="W90" i="22"/>
  <c r="Y90" i="22" s="1"/>
  <c r="W82" i="22"/>
  <c r="Y82" i="22" s="1"/>
  <c r="W85" i="22"/>
  <c r="Y85" i="22" s="1"/>
  <c r="W88" i="22"/>
  <c r="W87" i="22" s="1"/>
  <c r="W91" i="22"/>
  <c r="Y91" i="22" s="1"/>
  <c r="W94" i="22"/>
  <c r="W92" i="22" s="1"/>
  <c r="W95" i="22"/>
  <c r="Y95" i="22" s="1"/>
  <c r="W97" i="22"/>
  <c r="Y97" i="22" s="1"/>
  <c r="W98" i="22"/>
  <c r="Y98" i="22" s="1"/>
  <c r="W100" i="22"/>
  <c r="Y100" i="22" s="1"/>
  <c r="W102" i="22"/>
  <c r="W104" i="22"/>
  <c r="Y104" i="22" s="1"/>
  <c r="W106" i="22"/>
  <c r="W111" i="22"/>
  <c r="Y111" i="22" s="1"/>
  <c r="W112" i="22"/>
  <c r="Y112" i="22" s="1"/>
  <c r="W114" i="22"/>
  <c r="Y114" i="22" s="1"/>
  <c r="W115" i="22"/>
  <c r="Y115" i="22" s="1"/>
  <c r="W119" i="22"/>
  <c r="Y119" i="22" s="1"/>
  <c r="W122" i="22"/>
  <c r="Y122" i="22" s="1"/>
  <c r="W128" i="22"/>
  <c r="Y128" i="22" s="1"/>
  <c r="W135" i="22"/>
  <c r="Y135" i="22" s="1"/>
  <c r="W140" i="22"/>
  <c r="Y140" i="22" s="1"/>
  <c r="W141" i="22"/>
  <c r="Y141" i="22" s="1"/>
  <c r="W204" i="22"/>
  <c r="W206" i="22"/>
  <c r="W208" i="22"/>
  <c r="Y208" i="22" s="1"/>
  <c r="W209" i="22"/>
  <c r="Y209" i="22" s="1"/>
  <c r="W211" i="22"/>
  <c r="Y211" i="22" s="1"/>
  <c r="W212" i="22"/>
  <c r="Y212" i="22" s="1"/>
  <c r="W215" i="22"/>
  <c r="Y215" i="22" s="1"/>
  <c r="W216" i="22"/>
  <c r="W219" i="22"/>
  <c r="W217" i="22" s="1"/>
  <c r="W232" i="22" s="1"/>
  <c r="W155" i="22"/>
  <c r="W150" i="22" s="1"/>
  <c r="W228" i="22" s="1"/>
  <c r="W156" i="22"/>
  <c r="Y156" i="22" s="1"/>
  <c r="W158" i="22"/>
  <c r="Y158" i="22" s="1"/>
  <c r="W167" i="22"/>
  <c r="Y167" i="22" s="1"/>
  <c r="W171" i="22"/>
  <c r="Y171" i="22" s="1"/>
  <c r="W174" i="22"/>
  <c r="Y174" i="22" s="1"/>
  <c r="W176" i="22"/>
  <c r="W178" i="22"/>
  <c r="Y178" i="22" s="1"/>
  <c r="W179" i="22"/>
  <c r="W180" i="22"/>
  <c r="Y180" i="22" s="1"/>
  <c r="W181" i="22"/>
  <c r="Y181" i="22" s="1"/>
  <c r="W182" i="22"/>
  <c r="Y182" i="22" s="1"/>
  <c r="W183" i="22"/>
  <c r="Y183" i="22" s="1"/>
  <c r="W184" i="22"/>
  <c r="Y184" i="22" s="1"/>
  <c r="W185" i="22"/>
  <c r="Y185" i="22" s="1"/>
  <c r="W186" i="22"/>
  <c r="Y186" i="22" s="1"/>
  <c r="W187" i="22"/>
  <c r="Y187" i="22" s="1"/>
  <c r="W190" i="22"/>
  <c r="W193" i="22"/>
  <c r="Y193" i="22" s="1"/>
  <c r="W195" i="22"/>
  <c r="Y195" i="22" s="1"/>
  <c r="W196" i="22"/>
  <c r="W198" i="22"/>
  <c r="Y198" i="22" s="1"/>
  <c r="W4" i="22"/>
  <c r="Y4" i="22" s="1"/>
  <c r="W12" i="22"/>
  <c r="Y12" i="22" s="1"/>
  <c r="W15" i="22"/>
  <c r="Y15" i="22" s="1"/>
  <c r="W17" i="22"/>
  <c r="Y17" i="22" s="1"/>
  <c r="W31" i="22"/>
  <c r="Y31" i="22" s="1"/>
  <c r="W34" i="22"/>
  <c r="W36" i="22"/>
  <c r="W37" i="22" s="1"/>
  <c r="W38" i="22"/>
  <c r="Y38" i="22" s="1"/>
  <c r="W41" i="22"/>
  <c r="Y41" i="22" s="1"/>
  <c r="W42" i="22"/>
  <c r="W43" i="22"/>
  <c r="Y43" i="22" s="1"/>
  <c r="W45" i="22"/>
  <c r="Y45" i="22" s="1"/>
  <c r="W50" i="22"/>
  <c r="Y50" i="22" s="1"/>
  <c r="W53" i="22"/>
  <c r="Y53" i="22" s="1"/>
  <c r="W55" i="22"/>
  <c r="Y55" i="22" s="1"/>
  <c r="W57" i="22"/>
  <c r="Y57" i="22" s="1"/>
  <c r="W58" i="22"/>
  <c r="Y58" i="22" s="1"/>
  <c r="W59" i="22"/>
  <c r="Y59" i="22" s="1"/>
  <c r="W61" i="22"/>
  <c r="Y61" i="22" s="1"/>
  <c r="W70" i="22"/>
  <c r="W133" i="22" s="1"/>
  <c r="W71" i="22"/>
  <c r="Y71" i="22" s="1"/>
  <c r="W73" i="22"/>
  <c r="W74" i="22" s="1"/>
  <c r="V90" i="22"/>
  <c r="V68" i="22"/>
  <c r="V198" i="22"/>
  <c r="X196" i="22"/>
  <c r="Y196" i="22" s="1"/>
  <c r="V196" i="22"/>
  <c r="Z196" i="22"/>
  <c r="F14" i="8"/>
  <c r="C14" i="8"/>
  <c r="J7" i="8"/>
  <c r="K7" i="8"/>
  <c r="Z176" i="22"/>
  <c r="X176" i="22"/>
  <c r="Y176" i="22" s="1"/>
  <c r="V176" i="22"/>
  <c r="V171" i="22"/>
  <c r="C57" i="10"/>
  <c r="C56" i="10"/>
  <c r="C55" i="10"/>
  <c r="C59" i="10"/>
  <c r="C58" i="10"/>
  <c r="C54" i="10"/>
  <c r="C46" i="10"/>
  <c r="C47" i="10"/>
  <c r="C48" i="10"/>
  <c r="C53" i="10"/>
  <c r="C52" i="10"/>
  <c r="C50" i="10"/>
  <c r="C43" i="10"/>
  <c r="C44" i="10"/>
  <c r="C42" i="10"/>
  <c r="C39" i="10"/>
  <c r="C41" i="10"/>
  <c r="C45" i="10"/>
  <c r="C49" i="10"/>
  <c r="C40" i="10"/>
  <c r="C37" i="10"/>
  <c r="C36" i="10"/>
  <c r="W72" i="22" l="1"/>
  <c r="W75" i="22" s="1"/>
  <c r="W142" i="22"/>
  <c r="Y70" i="22"/>
  <c r="Z37" i="22"/>
  <c r="W101" i="22"/>
  <c r="W89" i="22"/>
  <c r="Y68" i="22"/>
  <c r="W3" i="22"/>
  <c r="W203" i="22"/>
  <c r="W231" i="22" s="1"/>
  <c r="W233" i="22" s="1"/>
  <c r="W143" i="22"/>
  <c r="Z16" i="22"/>
  <c r="Z38" i="22" s="1"/>
  <c r="Y37" i="22"/>
  <c r="W33" i="22"/>
  <c r="W125" i="22"/>
  <c r="Y204" i="22"/>
  <c r="Y36" i="22"/>
  <c r="W170" i="22"/>
  <c r="W229" i="22" s="1"/>
  <c r="W230" i="22" s="1"/>
  <c r="W137" i="22"/>
  <c r="Y137" i="22" s="1"/>
  <c r="W96" i="22"/>
  <c r="Y88" i="22"/>
  <c r="AA37" i="22"/>
  <c r="Z31" i="22"/>
  <c r="W81" i="22"/>
  <c r="Y155" i="22"/>
  <c r="Y127" i="22"/>
  <c r="Y73" i="22"/>
  <c r="Y34" i="22"/>
  <c r="W110" i="22"/>
  <c r="Y102" i="22"/>
  <c r="Y94" i="22"/>
  <c r="Z30" i="22"/>
  <c r="W116" i="22"/>
  <c r="W39" i="22"/>
  <c r="W11" i="22"/>
  <c r="W131" i="22"/>
  <c r="V70" i="22"/>
  <c r="C4" i="8"/>
  <c r="C12" i="8"/>
  <c r="F27" i="8"/>
  <c r="F24" i="8"/>
  <c r="C34" i="11"/>
  <c r="W138" i="22" l="1"/>
  <c r="W69" i="22"/>
  <c r="W76" i="22" s="1"/>
  <c r="W225" i="22" s="1"/>
  <c r="W236" i="22" s="1"/>
  <c r="C18" i="10"/>
  <c r="C17" i="10"/>
  <c r="C14" i="10"/>
  <c r="C9" i="10"/>
  <c r="C8" i="10"/>
  <c r="W144" i="22" l="1"/>
  <c r="W239" i="22"/>
  <c r="C31" i="8"/>
  <c r="F31" i="8"/>
  <c r="C32" i="8"/>
  <c r="W145" i="22" l="1"/>
  <c r="W226" i="22" s="1"/>
  <c r="W242" i="22"/>
  <c r="F4" i="8"/>
  <c r="W237" i="22" l="1"/>
  <c r="W227" i="22"/>
  <c r="W234" i="22" s="1"/>
  <c r="C65" i="10"/>
  <c r="C62" i="10"/>
  <c r="C61" i="10" s="1"/>
  <c r="C35" i="10"/>
  <c r="C30" i="10"/>
  <c r="C24" i="10"/>
  <c r="C22" i="10"/>
  <c r="C7" i="10"/>
  <c r="C27" i="10" s="1"/>
  <c r="G14" i="10"/>
  <c r="W240" i="22" l="1"/>
  <c r="W243" i="22" s="1"/>
  <c r="W244" i="22" s="1"/>
  <c r="C31" i="10"/>
  <c r="C67" i="10"/>
  <c r="C70" i="10" s="1"/>
  <c r="F12" i="8"/>
  <c r="D41" i="8"/>
  <c r="J41" i="8" s="1"/>
  <c r="D40" i="8"/>
  <c r="D42" i="8" s="1"/>
  <c r="G39" i="8"/>
  <c r="G38" i="8"/>
  <c r="F38" i="8"/>
  <c r="I36" i="8"/>
  <c r="H36" i="8"/>
  <c r="G36" i="8"/>
  <c r="F36" i="8"/>
  <c r="E36" i="8"/>
  <c r="D36" i="8"/>
  <c r="C36" i="8"/>
  <c r="J35" i="8"/>
  <c r="J36" i="8" s="1"/>
  <c r="H34" i="8"/>
  <c r="E34" i="8"/>
  <c r="J33" i="8"/>
  <c r="C33" i="8"/>
  <c r="K33" i="8" s="1"/>
  <c r="D32" i="8"/>
  <c r="J32" i="8" s="1"/>
  <c r="L32" i="8"/>
  <c r="J31" i="8"/>
  <c r="K31" i="8"/>
  <c r="J30" i="8"/>
  <c r="K30" i="8" s="1"/>
  <c r="L29" i="8"/>
  <c r="J29" i="8"/>
  <c r="K29" i="8" s="1"/>
  <c r="G28" i="8"/>
  <c r="G34" i="8" s="1"/>
  <c r="G37" i="8" s="1"/>
  <c r="F28" i="8"/>
  <c r="C28" i="8"/>
  <c r="M26" i="8"/>
  <c r="E27" i="8"/>
  <c r="D27" i="8"/>
  <c r="J27" i="8" s="1"/>
  <c r="K27" i="8" s="1"/>
  <c r="C27" i="8"/>
  <c r="J26" i="8"/>
  <c r="C26" i="8"/>
  <c r="K26" i="8" s="1"/>
  <c r="J25" i="8"/>
  <c r="F25" i="8"/>
  <c r="C25" i="8"/>
  <c r="J24" i="8"/>
  <c r="K24" i="8" s="1"/>
  <c r="J23" i="8"/>
  <c r="K23" i="8" s="1"/>
  <c r="F22" i="8"/>
  <c r="J22" i="8" s="1"/>
  <c r="C22" i="8"/>
  <c r="K22" i="8" s="1"/>
  <c r="J21" i="8"/>
  <c r="K21" i="8" s="1"/>
  <c r="F21" i="8"/>
  <c r="C21" i="8"/>
  <c r="F20" i="8"/>
  <c r="D20" i="8"/>
  <c r="J20" i="8" s="1"/>
  <c r="C20" i="8"/>
  <c r="K20" i="8" s="1"/>
  <c r="O18" i="8"/>
  <c r="J19" i="8"/>
  <c r="F19" i="8"/>
  <c r="C19" i="8"/>
  <c r="F18" i="8"/>
  <c r="D18" i="8"/>
  <c r="J18" i="8" s="1"/>
  <c r="C18" i="8"/>
  <c r="F17" i="8"/>
  <c r="D17" i="8"/>
  <c r="D34" i="8" s="1"/>
  <c r="D37" i="8" s="1"/>
  <c r="C17" i="8"/>
  <c r="L18" i="8" s="1"/>
  <c r="F16" i="8"/>
  <c r="J16" i="8" s="1"/>
  <c r="C16" i="8"/>
  <c r="F15" i="8"/>
  <c r="J15" i="8" s="1"/>
  <c r="K15" i="8" s="1"/>
  <c r="C15" i="8"/>
  <c r="F34" i="8"/>
  <c r="F37" i="8" s="1"/>
  <c r="F39" i="8" s="1"/>
  <c r="J13" i="8"/>
  <c r="K13" i="8" s="1"/>
  <c r="F13" i="8"/>
  <c r="C13" i="8"/>
  <c r="D12" i="8"/>
  <c r="J12" i="8" s="1"/>
  <c r="J11" i="8"/>
  <c r="K11" i="8" s="1"/>
  <c r="I10" i="8"/>
  <c r="J10" i="8" s="1"/>
  <c r="K10" i="8" s="1"/>
  <c r="I9" i="8"/>
  <c r="I34" i="8" s="1"/>
  <c r="I37" i="8" s="1"/>
  <c r="C9" i="8"/>
  <c r="F8" i="8"/>
  <c r="J8" i="8" s="1"/>
  <c r="C8" i="8"/>
  <c r="P6" i="8"/>
  <c r="P17" i="8" s="1"/>
  <c r="O6" i="8"/>
  <c r="O17" i="8" s="1"/>
  <c r="L6" i="8"/>
  <c r="J6" i="8"/>
  <c r="K6" i="8" s="1"/>
  <c r="O5" i="8"/>
  <c r="J5" i="8"/>
  <c r="K5" i="8" s="1"/>
  <c r="J4" i="8"/>
  <c r="K19" i="8" l="1"/>
  <c r="J28" i="8"/>
  <c r="K28" i="8" s="1"/>
  <c r="E37" i="8"/>
  <c r="H37" i="8"/>
  <c r="K18" i="8"/>
  <c r="K8" i="8"/>
  <c r="K16" i="8"/>
  <c r="K25" i="8"/>
  <c r="K36" i="8"/>
  <c r="C71" i="10"/>
  <c r="D43" i="8"/>
  <c r="K14" i="8"/>
  <c r="K12" i="8"/>
  <c r="C34" i="8"/>
  <c r="J17" i="8"/>
  <c r="K17" i="8" s="1"/>
  <c r="K32" i="8"/>
  <c r="J14" i="8"/>
  <c r="J9" i="8"/>
  <c r="K9" i="8" s="1"/>
  <c r="L15" i="8"/>
  <c r="K35" i="8"/>
  <c r="L12" i="8"/>
  <c r="L27" i="8"/>
  <c r="K4" i="8"/>
  <c r="J40" i="8"/>
  <c r="L22" i="8"/>
  <c r="V73" i="22"/>
  <c r="V142" i="22" s="1"/>
  <c r="V71" i="22"/>
  <c r="V137" i="22" s="1"/>
  <c r="V112" i="22"/>
  <c r="V40" i="22"/>
  <c r="V82" i="22"/>
  <c r="V85" i="22"/>
  <c r="V88" i="22"/>
  <c r="V87" i="22" s="1"/>
  <c r="V91" i="22"/>
  <c r="V89" i="22" s="1"/>
  <c r="V94" i="22"/>
  <c r="V92" i="22" s="1"/>
  <c r="V95" i="22"/>
  <c r="V97" i="22"/>
  <c r="V98" i="22"/>
  <c r="V100" i="22"/>
  <c r="V102" i="22"/>
  <c r="V104" i="22"/>
  <c r="V106" i="22"/>
  <c r="V111" i="22"/>
  <c r="V114" i="22"/>
  <c r="V115" i="22"/>
  <c r="V117" i="22"/>
  <c r="V119" i="22"/>
  <c r="V122" i="22"/>
  <c r="V124" i="22"/>
  <c r="V126" i="22"/>
  <c r="V127" i="22"/>
  <c r="V128" i="22"/>
  <c r="V132" i="22"/>
  <c r="V133" i="22"/>
  <c r="V135" i="22"/>
  <c r="V140" i="22"/>
  <c r="V141" i="22"/>
  <c r="V204" i="22"/>
  <c r="V206" i="22"/>
  <c r="V208" i="22"/>
  <c r="V209" i="22"/>
  <c r="V211" i="22"/>
  <c r="V212" i="22"/>
  <c r="V215" i="22"/>
  <c r="V216" i="22"/>
  <c r="V219" i="22"/>
  <c r="V217" i="22" s="1"/>
  <c r="V232" i="22" s="1"/>
  <c r="V155" i="22"/>
  <c r="V156" i="22"/>
  <c r="V158" i="22"/>
  <c r="V167" i="22"/>
  <c r="V174" i="22"/>
  <c r="V178" i="22"/>
  <c r="V179" i="22"/>
  <c r="V180" i="22"/>
  <c r="V181" i="22"/>
  <c r="V182" i="22"/>
  <c r="V183" i="22"/>
  <c r="V184" i="22"/>
  <c r="V185" i="22"/>
  <c r="V186" i="22"/>
  <c r="V187" i="22"/>
  <c r="V190" i="22"/>
  <c r="V193" i="22"/>
  <c r="V195" i="22"/>
  <c r="V4" i="22"/>
  <c r="V3" i="22" s="1"/>
  <c r="V12" i="22"/>
  <c r="V15" i="22"/>
  <c r="V17" i="22"/>
  <c r="V31" i="22"/>
  <c r="V34" i="22"/>
  <c r="V36" i="22"/>
  <c r="V37" i="22" s="1"/>
  <c r="V38" i="22"/>
  <c r="V41" i="22"/>
  <c r="V42" i="22"/>
  <c r="V43" i="22"/>
  <c r="V44" i="22"/>
  <c r="V45" i="22"/>
  <c r="V50" i="22"/>
  <c r="V53" i="22"/>
  <c r="V55" i="22"/>
  <c r="V57" i="22"/>
  <c r="V58" i="22"/>
  <c r="V59" i="22"/>
  <c r="V60" i="22"/>
  <c r="V61" i="22"/>
  <c r="V74" i="22"/>
  <c r="AR74" i="22" s="1"/>
  <c r="P232" i="22"/>
  <c r="AA219" i="22"/>
  <c r="U219" i="22"/>
  <c r="U217" i="22" s="1"/>
  <c r="U232" i="22" s="1"/>
  <c r="T219" i="22"/>
  <c r="T217" i="22" s="1"/>
  <c r="T232" i="22" s="1"/>
  <c r="S219" i="22"/>
  <c r="S217" i="22" s="1"/>
  <c r="R219" i="22"/>
  <c r="Z219" i="22" s="1"/>
  <c r="Q219" i="22"/>
  <c r="Q217" i="22" s="1"/>
  <c r="X217" i="22"/>
  <c r="P217" i="22"/>
  <c r="O217" i="22"/>
  <c r="O232" i="22" s="1"/>
  <c r="N217" i="22"/>
  <c r="M217" i="22"/>
  <c r="L217" i="22"/>
  <c r="K217" i="22"/>
  <c r="K232" i="22" s="1"/>
  <c r="J217" i="22"/>
  <c r="J232" i="22" s="1"/>
  <c r="I217" i="22"/>
  <c r="I232" i="22" s="1"/>
  <c r="H217" i="22"/>
  <c r="H232" i="22" s="1"/>
  <c r="G217" i="22"/>
  <c r="F217" i="22"/>
  <c r="E217" i="22"/>
  <c r="D217" i="22"/>
  <c r="D232" i="22" s="1"/>
  <c r="C217" i="22"/>
  <c r="C232" i="22" s="1"/>
  <c r="U216" i="22"/>
  <c r="T216" i="22"/>
  <c r="S216" i="22"/>
  <c r="R216" i="22"/>
  <c r="Q216" i="22"/>
  <c r="AA215" i="22"/>
  <c r="Z215" i="22"/>
  <c r="U215" i="22"/>
  <c r="T215" i="22"/>
  <c r="S215" i="22"/>
  <c r="R215" i="22"/>
  <c r="Q215" i="22"/>
  <c r="P215" i="22"/>
  <c r="O215" i="22"/>
  <c r="N215" i="22"/>
  <c r="M215" i="22"/>
  <c r="L215" i="22"/>
  <c r="K215" i="22"/>
  <c r="J215" i="22"/>
  <c r="I215" i="22"/>
  <c r="H215" i="22"/>
  <c r="G215" i="22"/>
  <c r="F215" i="22"/>
  <c r="E215" i="22"/>
  <c r="D215" i="22"/>
  <c r="C215" i="22"/>
  <c r="AA213" i="22"/>
  <c r="U212" i="22"/>
  <c r="T212" i="22"/>
  <c r="S212" i="22"/>
  <c r="R212" i="22"/>
  <c r="Q212" i="22"/>
  <c r="P212" i="22"/>
  <c r="O212" i="22"/>
  <c r="N212" i="22"/>
  <c r="M212" i="22"/>
  <c r="L212" i="22"/>
  <c r="K212" i="22"/>
  <c r="J212" i="22"/>
  <c r="I212" i="22"/>
  <c r="H212" i="22"/>
  <c r="G212" i="22"/>
  <c r="F212" i="22"/>
  <c r="E212" i="22"/>
  <c r="D212" i="22"/>
  <c r="U211" i="22"/>
  <c r="T211" i="22"/>
  <c r="S211" i="22"/>
  <c r="R211" i="22"/>
  <c r="Q211" i="22"/>
  <c r="P211" i="22"/>
  <c r="O211" i="22"/>
  <c r="N211" i="22"/>
  <c r="M211" i="22"/>
  <c r="L211" i="22"/>
  <c r="K211" i="22"/>
  <c r="J211" i="22"/>
  <c r="I211" i="22"/>
  <c r="H211" i="22"/>
  <c r="G211" i="22"/>
  <c r="F211" i="22"/>
  <c r="E211" i="22"/>
  <c r="D211" i="22"/>
  <c r="C211" i="22"/>
  <c r="AA209" i="22"/>
  <c r="U209" i="22"/>
  <c r="T209" i="22"/>
  <c r="S209" i="22"/>
  <c r="R209" i="22"/>
  <c r="Q209" i="22"/>
  <c r="P209" i="22"/>
  <c r="O209" i="22"/>
  <c r="N209" i="22"/>
  <c r="M209" i="22"/>
  <c r="L209" i="22"/>
  <c r="K209" i="22"/>
  <c r="J209" i="22"/>
  <c r="I209" i="22"/>
  <c r="H209" i="22"/>
  <c r="G209" i="22"/>
  <c r="F209" i="22"/>
  <c r="E209" i="22"/>
  <c r="D209" i="22"/>
  <c r="U208" i="22"/>
  <c r="T208" i="22"/>
  <c r="S208" i="22"/>
  <c r="R208" i="22"/>
  <c r="Q208" i="22"/>
  <c r="P208" i="22"/>
  <c r="O208" i="22"/>
  <c r="N208" i="22"/>
  <c r="M208" i="22"/>
  <c r="L208" i="22"/>
  <c r="K208" i="22"/>
  <c r="J208" i="22"/>
  <c r="I208" i="22"/>
  <c r="H208" i="22"/>
  <c r="G208" i="22"/>
  <c r="F208" i="22"/>
  <c r="E208" i="22"/>
  <c r="D208" i="22"/>
  <c r="U206" i="22"/>
  <c r="T206" i="22"/>
  <c r="S206" i="22"/>
  <c r="R206" i="22"/>
  <c r="Q206" i="22"/>
  <c r="P206" i="22"/>
  <c r="O206" i="22"/>
  <c r="N206" i="22"/>
  <c r="M206" i="22"/>
  <c r="L206" i="22"/>
  <c r="K206" i="22"/>
  <c r="J206" i="22"/>
  <c r="I206" i="22"/>
  <c r="H206" i="22"/>
  <c r="G206" i="22"/>
  <c r="F206" i="22"/>
  <c r="E206" i="22"/>
  <c r="D206" i="22"/>
  <c r="U204" i="22"/>
  <c r="T204" i="22"/>
  <c r="S204" i="22"/>
  <c r="R204" i="22"/>
  <c r="Q204" i="22"/>
  <c r="P204" i="22"/>
  <c r="O204" i="22"/>
  <c r="N204" i="22"/>
  <c r="M204" i="22"/>
  <c r="L204" i="22"/>
  <c r="K204" i="22"/>
  <c r="J204" i="22"/>
  <c r="I204" i="22"/>
  <c r="H204" i="22"/>
  <c r="G204" i="22"/>
  <c r="F204" i="22"/>
  <c r="E204" i="22"/>
  <c r="D204" i="22"/>
  <c r="C204" i="22"/>
  <c r="C203" i="22" s="1"/>
  <c r="C231" i="22" s="1"/>
  <c r="C233" i="22" s="1"/>
  <c r="X203" i="22"/>
  <c r="U198" i="22"/>
  <c r="T198" i="22"/>
  <c r="S198" i="22"/>
  <c r="R198" i="22"/>
  <c r="Q198" i="22"/>
  <c r="U196" i="22"/>
  <c r="T196" i="22"/>
  <c r="S196" i="22"/>
  <c r="R196" i="22"/>
  <c r="Q196" i="22"/>
  <c r="P196" i="22"/>
  <c r="O196" i="22"/>
  <c r="N196" i="22"/>
  <c r="M196" i="22"/>
  <c r="Z195" i="22"/>
  <c r="U195" i="22"/>
  <c r="T195" i="22"/>
  <c r="S195" i="22"/>
  <c r="R195" i="22"/>
  <c r="Q195" i="22"/>
  <c r="P195" i="22"/>
  <c r="O195" i="22"/>
  <c r="N195" i="22"/>
  <c r="M195" i="22"/>
  <c r="U193" i="22"/>
  <c r="T193" i="22"/>
  <c r="S193" i="22"/>
  <c r="R193" i="22"/>
  <c r="Q193" i="22"/>
  <c r="P193" i="22"/>
  <c r="O193" i="22"/>
  <c r="N193" i="22"/>
  <c r="M193" i="22"/>
  <c r="L193" i="22"/>
  <c r="K193" i="22"/>
  <c r="J193" i="22"/>
  <c r="I193" i="22"/>
  <c r="H193" i="22"/>
  <c r="G193" i="22"/>
  <c r="F193" i="22"/>
  <c r="E193" i="22"/>
  <c r="U190" i="22"/>
  <c r="T190" i="22"/>
  <c r="S190" i="22"/>
  <c r="R190" i="22"/>
  <c r="Q190" i="22"/>
  <c r="Z188" i="22"/>
  <c r="U187" i="22"/>
  <c r="T187" i="22"/>
  <c r="U186" i="22"/>
  <c r="T186" i="22"/>
  <c r="S186" i="22"/>
  <c r="R186" i="22"/>
  <c r="Q186" i="22"/>
  <c r="P186" i="22"/>
  <c r="O186" i="22"/>
  <c r="N186" i="22"/>
  <c r="M186" i="22"/>
  <c r="L186" i="22"/>
  <c r="K186" i="22"/>
  <c r="J186" i="22"/>
  <c r="I186" i="22"/>
  <c r="H186" i="22"/>
  <c r="G186" i="22"/>
  <c r="U185" i="22"/>
  <c r="T185" i="22"/>
  <c r="S185" i="22"/>
  <c r="R185" i="22"/>
  <c r="Q185" i="22"/>
  <c r="P185" i="22"/>
  <c r="O185" i="22"/>
  <c r="N185" i="22"/>
  <c r="M185" i="22"/>
  <c r="L185" i="22"/>
  <c r="K185" i="22"/>
  <c r="J185" i="22"/>
  <c r="I185" i="22"/>
  <c r="H185" i="22"/>
  <c r="G185" i="22"/>
  <c r="F185" i="22"/>
  <c r="E185" i="22"/>
  <c r="D185" i="22"/>
  <c r="U184" i="22"/>
  <c r="T184" i="22"/>
  <c r="S184" i="22"/>
  <c r="R184" i="22"/>
  <c r="Q184" i="22"/>
  <c r="P184" i="22"/>
  <c r="O184" i="22"/>
  <c r="N184" i="22"/>
  <c r="M184" i="22"/>
  <c r="L184" i="22"/>
  <c r="K184" i="22"/>
  <c r="J184" i="22"/>
  <c r="I184" i="22"/>
  <c r="H184" i="22"/>
  <c r="G184" i="22"/>
  <c r="U183" i="22"/>
  <c r="T183" i="22"/>
  <c r="U182" i="22"/>
  <c r="T182" i="22"/>
  <c r="S182" i="22"/>
  <c r="R182" i="22"/>
  <c r="Q182" i="22"/>
  <c r="P182" i="22"/>
  <c r="O182" i="22"/>
  <c r="N182" i="22"/>
  <c r="M182" i="22"/>
  <c r="L182" i="22"/>
  <c r="K182" i="22"/>
  <c r="J182" i="22"/>
  <c r="I182" i="22"/>
  <c r="H182" i="22"/>
  <c r="G182" i="22"/>
  <c r="U181" i="22"/>
  <c r="T181" i="22"/>
  <c r="S181" i="22"/>
  <c r="R181" i="22"/>
  <c r="Q181" i="22"/>
  <c r="P181" i="22"/>
  <c r="O181" i="22"/>
  <c r="N181" i="22"/>
  <c r="M181" i="22"/>
  <c r="U180" i="22"/>
  <c r="T180" i="22"/>
  <c r="S180" i="22"/>
  <c r="R180" i="22"/>
  <c r="Q180" i="22"/>
  <c r="P180" i="22"/>
  <c r="O180" i="22"/>
  <c r="N180" i="22"/>
  <c r="M180" i="22"/>
  <c r="L180" i="22"/>
  <c r="K180" i="22"/>
  <c r="J180" i="22"/>
  <c r="I180" i="22"/>
  <c r="H180" i="22"/>
  <c r="G180" i="22"/>
  <c r="F180" i="22"/>
  <c r="E180" i="22"/>
  <c r="U179" i="22"/>
  <c r="T179" i="22"/>
  <c r="S179" i="22"/>
  <c r="R179" i="22"/>
  <c r="Q179" i="22"/>
  <c r="P179" i="22"/>
  <c r="O179" i="22"/>
  <c r="N179" i="22"/>
  <c r="M179" i="22"/>
  <c r="L179" i="22"/>
  <c r="K179" i="22"/>
  <c r="K170" i="22" s="1"/>
  <c r="K229" i="22" s="1"/>
  <c r="J179" i="22"/>
  <c r="I179" i="22"/>
  <c r="H179" i="22"/>
  <c r="G179" i="22"/>
  <c r="F179" i="22"/>
  <c r="E179" i="22"/>
  <c r="U178" i="22"/>
  <c r="T178" i="22"/>
  <c r="S178" i="22"/>
  <c r="R178" i="22"/>
  <c r="Q178" i="22"/>
  <c r="U176" i="22"/>
  <c r="T176" i="22"/>
  <c r="S176" i="22"/>
  <c r="R176" i="22"/>
  <c r="Q176" i="22"/>
  <c r="P176" i="22"/>
  <c r="O176" i="22"/>
  <c r="N176" i="22"/>
  <c r="M176" i="22"/>
  <c r="L176" i="22"/>
  <c r="K176" i="22"/>
  <c r="J176" i="22"/>
  <c r="I176" i="22"/>
  <c r="H176" i="22"/>
  <c r="G176" i="22"/>
  <c r="F176" i="22"/>
  <c r="E176" i="22"/>
  <c r="U174" i="22"/>
  <c r="T174" i="22"/>
  <c r="S174" i="22"/>
  <c r="R174" i="22"/>
  <c r="Q174" i="22"/>
  <c r="P174" i="22"/>
  <c r="O174" i="22"/>
  <c r="N174" i="22"/>
  <c r="M174" i="22"/>
  <c r="X170" i="22"/>
  <c r="D170" i="22"/>
  <c r="D229" i="22" s="1"/>
  <c r="C170" i="22"/>
  <c r="C229" i="22" s="1"/>
  <c r="AA169" i="22"/>
  <c r="U167" i="22"/>
  <c r="T167" i="22"/>
  <c r="S167" i="22"/>
  <c r="R167" i="22"/>
  <c r="Q167" i="22"/>
  <c r="P167" i="22"/>
  <c r="O167" i="22"/>
  <c r="N167" i="22"/>
  <c r="M167" i="22"/>
  <c r="L167" i="22"/>
  <c r="K167" i="22"/>
  <c r="J167" i="22"/>
  <c r="I167" i="22"/>
  <c r="H167" i="22"/>
  <c r="G167" i="22"/>
  <c r="F167" i="22"/>
  <c r="E167" i="22"/>
  <c r="D167" i="22"/>
  <c r="C167" i="22"/>
  <c r="P163" i="22"/>
  <c r="O163" i="22"/>
  <c r="N163" i="22"/>
  <c r="M163" i="22"/>
  <c r="L163" i="22"/>
  <c r="K163" i="22"/>
  <c r="J163" i="22"/>
  <c r="I163" i="22"/>
  <c r="H163" i="22"/>
  <c r="G163" i="22"/>
  <c r="F163" i="22"/>
  <c r="E163" i="22"/>
  <c r="D163" i="22"/>
  <c r="U158" i="22"/>
  <c r="T158" i="22"/>
  <c r="S158" i="22"/>
  <c r="R158" i="22"/>
  <c r="Q158" i="22"/>
  <c r="P158" i="22"/>
  <c r="O158" i="22"/>
  <c r="N158" i="22"/>
  <c r="M158" i="22"/>
  <c r="L158" i="22"/>
  <c r="K158" i="22"/>
  <c r="J158" i="22"/>
  <c r="I158" i="22"/>
  <c r="H158" i="22"/>
  <c r="G158" i="22"/>
  <c r="F158" i="22"/>
  <c r="E158" i="22"/>
  <c r="U156" i="22"/>
  <c r="T156" i="22"/>
  <c r="S156" i="22"/>
  <c r="R156" i="22"/>
  <c r="Q156" i="22"/>
  <c r="P156" i="22"/>
  <c r="O156" i="22"/>
  <c r="N156" i="22"/>
  <c r="M156" i="22"/>
  <c r="L156" i="22"/>
  <c r="K156" i="22"/>
  <c r="J156" i="22"/>
  <c r="J150" i="22" s="1"/>
  <c r="I156" i="22"/>
  <c r="I150" i="22" s="1"/>
  <c r="I228" i="22" s="1"/>
  <c r="H156" i="22"/>
  <c r="G156" i="22"/>
  <c r="F156" i="22"/>
  <c r="E156" i="22"/>
  <c r="U155" i="22"/>
  <c r="T155" i="22"/>
  <c r="S155" i="22"/>
  <c r="S150" i="22" s="1"/>
  <c r="R155" i="22"/>
  <c r="Q155" i="22"/>
  <c r="P155" i="22"/>
  <c r="O155" i="22"/>
  <c r="N155" i="22"/>
  <c r="M155" i="22"/>
  <c r="X150" i="22"/>
  <c r="K150" i="22"/>
  <c r="K228" i="22" s="1"/>
  <c r="C150" i="22"/>
  <c r="C228" i="22" s="1"/>
  <c r="X142" i="22"/>
  <c r="Y142" i="22" s="1"/>
  <c r="U142" i="22"/>
  <c r="T142" i="22"/>
  <c r="S142" i="22"/>
  <c r="R142" i="22"/>
  <c r="Q142" i="22"/>
  <c r="P142" i="22"/>
  <c r="O142" i="22"/>
  <c r="N142" i="22"/>
  <c r="M142" i="22"/>
  <c r="M143" i="22" s="1"/>
  <c r="L142" i="22"/>
  <c r="L143" i="22" s="1"/>
  <c r="K142" i="22"/>
  <c r="K143" i="22" s="1"/>
  <c r="J142" i="22"/>
  <c r="J143" i="22" s="1"/>
  <c r="I142" i="22"/>
  <c r="I143" i="22" s="1"/>
  <c r="H142" i="22"/>
  <c r="H143" i="22" s="1"/>
  <c r="G142" i="22"/>
  <c r="G143" i="22" s="1"/>
  <c r="F142" i="22"/>
  <c r="F143" i="22" s="1"/>
  <c r="E142" i="22"/>
  <c r="E143" i="22" s="1"/>
  <c r="D142" i="22"/>
  <c r="D143" i="22" s="1"/>
  <c r="C142" i="22"/>
  <c r="C143" i="22" s="1"/>
  <c r="U141" i="22"/>
  <c r="T141" i="22"/>
  <c r="S141" i="22"/>
  <c r="U140" i="22"/>
  <c r="T140" i="22"/>
  <c r="S140" i="22"/>
  <c r="R140" i="22"/>
  <c r="Q140" i="22"/>
  <c r="P140" i="22"/>
  <c r="O140" i="22"/>
  <c r="N140" i="22"/>
  <c r="AA137" i="22"/>
  <c r="U137" i="22"/>
  <c r="T137" i="22"/>
  <c r="S137" i="22"/>
  <c r="R137" i="22"/>
  <c r="Q137" i="22"/>
  <c r="P137" i="22"/>
  <c r="O137" i="22"/>
  <c r="N137" i="22"/>
  <c r="M137" i="22"/>
  <c r="L137" i="22"/>
  <c r="K137" i="22"/>
  <c r="J137" i="22"/>
  <c r="I137" i="22"/>
  <c r="H137" i="22"/>
  <c r="G137" i="22"/>
  <c r="F137" i="22"/>
  <c r="E137" i="22"/>
  <c r="D137" i="22"/>
  <c r="C137" i="22"/>
  <c r="U135" i="22"/>
  <c r="T135" i="22"/>
  <c r="S135" i="22"/>
  <c r="X133" i="22"/>
  <c r="Y133" i="22" s="1"/>
  <c r="C132" i="22"/>
  <c r="U128" i="22"/>
  <c r="T128" i="22"/>
  <c r="S128" i="22"/>
  <c r="R128" i="22"/>
  <c r="Q128" i="22"/>
  <c r="P128" i="22"/>
  <c r="O128" i="22"/>
  <c r="N128" i="22"/>
  <c r="M128" i="22"/>
  <c r="L128" i="22"/>
  <c r="K128" i="22"/>
  <c r="J128" i="22"/>
  <c r="J125" i="22" s="1"/>
  <c r="I128" i="22"/>
  <c r="H128" i="22"/>
  <c r="G128" i="22"/>
  <c r="F128" i="22"/>
  <c r="E128" i="22"/>
  <c r="D128" i="22"/>
  <c r="U127" i="22"/>
  <c r="U125" i="22" s="1"/>
  <c r="T127" i="22"/>
  <c r="S127" i="22"/>
  <c r="R127" i="22"/>
  <c r="Q127" i="22"/>
  <c r="P127" i="22"/>
  <c r="O127" i="22"/>
  <c r="N127" i="22"/>
  <c r="M127" i="22"/>
  <c r="M125" i="22" s="1"/>
  <c r="L127" i="22"/>
  <c r="K127" i="22"/>
  <c r="J127" i="22"/>
  <c r="I127" i="22"/>
  <c r="H127" i="22"/>
  <c r="G127" i="22"/>
  <c r="F127" i="22"/>
  <c r="E127" i="22"/>
  <c r="D127" i="22"/>
  <c r="U126" i="22"/>
  <c r="T126" i="22"/>
  <c r="S126" i="22"/>
  <c r="R126" i="22"/>
  <c r="Q126" i="22"/>
  <c r="P126" i="22"/>
  <c r="O126" i="22"/>
  <c r="N126" i="22"/>
  <c r="N125" i="22" s="1"/>
  <c r="M126" i="22"/>
  <c r="L126" i="22"/>
  <c r="K126" i="22"/>
  <c r="J126" i="22"/>
  <c r="I126" i="22"/>
  <c r="H126" i="22"/>
  <c r="G126" i="22"/>
  <c r="F126" i="22"/>
  <c r="E126" i="22"/>
  <c r="D126" i="22"/>
  <c r="X125" i="22"/>
  <c r="Y125" i="22" s="1"/>
  <c r="C125" i="22"/>
  <c r="U124" i="22"/>
  <c r="T124" i="22"/>
  <c r="S124" i="22"/>
  <c r="R124" i="22"/>
  <c r="Q124" i="22"/>
  <c r="P124" i="22"/>
  <c r="O124" i="22"/>
  <c r="N124" i="22"/>
  <c r="M124" i="22"/>
  <c r="L124" i="22"/>
  <c r="K124" i="22"/>
  <c r="J124" i="22"/>
  <c r="I124" i="22"/>
  <c r="H124" i="22"/>
  <c r="G124" i="22"/>
  <c r="F124" i="22"/>
  <c r="E124" i="22"/>
  <c r="D124" i="22"/>
  <c r="AA122" i="22"/>
  <c r="U122" i="22"/>
  <c r="T122" i="22"/>
  <c r="S122" i="22"/>
  <c r="R122" i="22"/>
  <c r="Q122" i="22"/>
  <c r="P122" i="22"/>
  <c r="O122" i="22"/>
  <c r="N122" i="22"/>
  <c r="M122" i="22"/>
  <c r="L122" i="22"/>
  <c r="K122" i="22"/>
  <c r="J122" i="22"/>
  <c r="I122" i="22"/>
  <c r="H122" i="22"/>
  <c r="G122" i="22"/>
  <c r="F122" i="22"/>
  <c r="E122" i="22"/>
  <c r="D122" i="22"/>
  <c r="U119" i="22"/>
  <c r="T119" i="22"/>
  <c r="S119" i="22"/>
  <c r="R119" i="22"/>
  <c r="Q119" i="22"/>
  <c r="P119" i="22"/>
  <c r="O119" i="22"/>
  <c r="N119" i="22"/>
  <c r="M119" i="22"/>
  <c r="L119" i="22"/>
  <c r="K119" i="22"/>
  <c r="J119" i="22"/>
  <c r="I119" i="22"/>
  <c r="H119" i="22"/>
  <c r="G119" i="22"/>
  <c r="F119" i="22"/>
  <c r="E119" i="22"/>
  <c r="U117" i="22"/>
  <c r="T117" i="22"/>
  <c r="S117" i="22"/>
  <c r="R117" i="22"/>
  <c r="Q117" i="22"/>
  <c r="P117" i="22"/>
  <c r="O117" i="22"/>
  <c r="N117" i="22"/>
  <c r="M117" i="22"/>
  <c r="L117" i="22"/>
  <c r="K117" i="22"/>
  <c r="J117" i="22"/>
  <c r="I117" i="22"/>
  <c r="H117" i="22"/>
  <c r="G117" i="22"/>
  <c r="F117" i="22"/>
  <c r="E117" i="22"/>
  <c r="D117" i="22"/>
  <c r="X116" i="22"/>
  <c r="Y116" i="22" s="1"/>
  <c r="C116" i="22"/>
  <c r="U115" i="22"/>
  <c r="T115" i="22"/>
  <c r="S115" i="22"/>
  <c r="R115" i="22"/>
  <c r="Q115" i="22"/>
  <c r="P115" i="22"/>
  <c r="O115" i="22"/>
  <c r="N115" i="22"/>
  <c r="M115" i="22"/>
  <c r="L115" i="22"/>
  <c r="K115" i="22"/>
  <c r="J115" i="22"/>
  <c r="I115" i="22"/>
  <c r="H115" i="22"/>
  <c r="G115" i="22"/>
  <c r="F115" i="22"/>
  <c r="E115" i="22"/>
  <c r="U114" i="22"/>
  <c r="T114" i="22"/>
  <c r="S114" i="22"/>
  <c r="R114" i="22"/>
  <c r="Q114" i="22"/>
  <c r="P114" i="22"/>
  <c r="O114" i="22"/>
  <c r="N114" i="22"/>
  <c r="M114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U111" i="22"/>
  <c r="T111" i="22"/>
  <c r="S111" i="22"/>
  <c r="R111" i="22"/>
  <c r="R110" i="22" s="1"/>
  <c r="Q111" i="22"/>
  <c r="P111" i="22"/>
  <c r="O111" i="22"/>
  <c r="N111" i="22"/>
  <c r="M111" i="22"/>
  <c r="L111" i="22"/>
  <c r="K111" i="22"/>
  <c r="J111" i="22"/>
  <c r="J110" i="22" s="1"/>
  <c r="I111" i="22"/>
  <c r="H111" i="22"/>
  <c r="G111" i="22"/>
  <c r="F111" i="22"/>
  <c r="E111" i="22"/>
  <c r="X110" i="22"/>
  <c r="Y110" i="22" s="1"/>
  <c r="D110" i="22"/>
  <c r="C110" i="22"/>
  <c r="X106" i="22"/>
  <c r="Y106" i="22" s="1"/>
  <c r="U106" i="22"/>
  <c r="T106" i="22"/>
  <c r="S106" i="22"/>
  <c r="R106" i="22"/>
  <c r="Q106" i="22"/>
  <c r="P106" i="22"/>
  <c r="O106" i="22"/>
  <c r="N106" i="22"/>
  <c r="M106" i="22"/>
  <c r="L106" i="22"/>
  <c r="K106" i="22"/>
  <c r="J106" i="22"/>
  <c r="I106" i="22"/>
  <c r="H106" i="22"/>
  <c r="G106" i="22"/>
  <c r="F106" i="22"/>
  <c r="E106" i="22"/>
  <c r="D106" i="22"/>
  <c r="C106" i="22"/>
  <c r="U104" i="22"/>
  <c r="T104" i="22"/>
  <c r="S104" i="22"/>
  <c r="R104" i="22"/>
  <c r="Q104" i="22"/>
  <c r="P104" i="22"/>
  <c r="O104" i="22"/>
  <c r="N104" i="22"/>
  <c r="M104" i="22"/>
  <c r="L104" i="22"/>
  <c r="K104" i="22"/>
  <c r="K101" i="22" s="1"/>
  <c r="J104" i="22"/>
  <c r="J101" i="22" s="1"/>
  <c r="I104" i="22"/>
  <c r="I101" i="22" s="1"/>
  <c r="H104" i="22"/>
  <c r="H101" i="22" s="1"/>
  <c r="G104" i="22"/>
  <c r="G101" i="22" s="1"/>
  <c r="F104" i="22"/>
  <c r="F101" i="22" s="1"/>
  <c r="E104" i="22"/>
  <c r="E101" i="22" s="1"/>
  <c r="U102" i="22"/>
  <c r="T102" i="22"/>
  <c r="S102" i="22"/>
  <c r="S101" i="22" s="1"/>
  <c r="R102" i="22"/>
  <c r="R101" i="22" s="1"/>
  <c r="Q102" i="22"/>
  <c r="P102" i="22"/>
  <c r="P101" i="22" s="1"/>
  <c r="O102" i="22"/>
  <c r="N102" i="22"/>
  <c r="M102" i="22"/>
  <c r="L102" i="22"/>
  <c r="X101" i="22"/>
  <c r="Y101" i="22" s="1"/>
  <c r="U101" i="22"/>
  <c r="D101" i="22"/>
  <c r="C101" i="22"/>
  <c r="U100" i="22"/>
  <c r="T100" i="22"/>
  <c r="S100" i="22"/>
  <c r="R100" i="22"/>
  <c r="Q100" i="22"/>
  <c r="P100" i="22"/>
  <c r="O100" i="22"/>
  <c r="N100" i="22"/>
  <c r="M100" i="22"/>
  <c r="L100" i="22"/>
  <c r="K100" i="22"/>
  <c r="J100" i="22"/>
  <c r="I100" i="22"/>
  <c r="H100" i="22"/>
  <c r="G100" i="22"/>
  <c r="F100" i="22"/>
  <c r="E100" i="22"/>
  <c r="U98" i="22"/>
  <c r="T98" i="22"/>
  <c r="S98" i="22"/>
  <c r="R98" i="22"/>
  <c r="Q98" i="22"/>
  <c r="Q96" i="22" s="1"/>
  <c r="P98" i="22"/>
  <c r="O98" i="22"/>
  <c r="N98" i="22"/>
  <c r="M98" i="22"/>
  <c r="L98" i="22"/>
  <c r="K98" i="22"/>
  <c r="J98" i="22"/>
  <c r="I98" i="22"/>
  <c r="H98" i="22"/>
  <c r="G98" i="22"/>
  <c r="G96" i="22" s="1"/>
  <c r="F98" i="22"/>
  <c r="E98" i="22"/>
  <c r="U97" i="22"/>
  <c r="T97" i="22"/>
  <c r="S97" i="22"/>
  <c r="R97" i="22"/>
  <c r="R96" i="22" s="1"/>
  <c r="Q97" i="22"/>
  <c r="P97" i="22"/>
  <c r="O97" i="22"/>
  <c r="N97" i="22"/>
  <c r="M97" i="22"/>
  <c r="L97" i="22"/>
  <c r="K97" i="22"/>
  <c r="X96" i="22"/>
  <c r="Y96" i="22" s="1"/>
  <c r="E96" i="22"/>
  <c r="D96" i="22"/>
  <c r="C96" i="22"/>
  <c r="U95" i="22"/>
  <c r="T95" i="22"/>
  <c r="S95" i="22"/>
  <c r="R95" i="22"/>
  <c r="Q95" i="22"/>
  <c r="P95" i="22"/>
  <c r="O95" i="22"/>
  <c r="N95" i="22"/>
  <c r="N92" i="22" s="1"/>
  <c r="M95" i="22"/>
  <c r="U94" i="22"/>
  <c r="U92" i="22" s="1"/>
  <c r="T94" i="22"/>
  <c r="T92" i="22" s="1"/>
  <c r="S94" i="22"/>
  <c r="R94" i="22"/>
  <c r="R92" i="22" s="1"/>
  <c r="Q94" i="22"/>
  <c r="P94" i="22"/>
  <c r="O94" i="22"/>
  <c r="N94" i="22"/>
  <c r="M94" i="22"/>
  <c r="M92" i="22" s="1"/>
  <c r="L94" i="22"/>
  <c r="L92" i="22" s="1"/>
  <c r="K94" i="22"/>
  <c r="K92" i="22" s="1"/>
  <c r="J94" i="22"/>
  <c r="J92" i="22" s="1"/>
  <c r="I94" i="22"/>
  <c r="I92" i="22" s="1"/>
  <c r="H94" i="22"/>
  <c r="H92" i="22" s="1"/>
  <c r="G94" i="22"/>
  <c r="G92" i="22" s="1"/>
  <c r="F94" i="22"/>
  <c r="E94" i="22"/>
  <c r="D94" i="22"/>
  <c r="D92" i="22" s="1"/>
  <c r="X92" i="22"/>
  <c r="Y92" i="22" s="1"/>
  <c r="F92" i="22"/>
  <c r="E92" i="22"/>
  <c r="C92" i="22"/>
  <c r="U91" i="22"/>
  <c r="T91" i="22"/>
  <c r="S91" i="22"/>
  <c r="R91" i="22"/>
  <c r="Q91" i="22"/>
  <c r="P91" i="22"/>
  <c r="O91" i="22"/>
  <c r="N91" i="22"/>
  <c r="M91" i="22"/>
  <c r="L91" i="22"/>
  <c r="K91" i="22"/>
  <c r="J91" i="22"/>
  <c r="I91" i="22"/>
  <c r="H91" i="22"/>
  <c r="G91" i="22"/>
  <c r="F91" i="22"/>
  <c r="E91" i="22"/>
  <c r="D91" i="22"/>
  <c r="D89" i="22" s="1"/>
  <c r="U90" i="22"/>
  <c r="U89" i="22" s="1"/>
  <c r="T90" i="22"/>
  <c r="S90" i="22"/>
  <c r="R90" i="22"/>
  <c r="Q90" i="22"/>
  <c r="P90" i="22"/>
  <c r="O90" i="22"/>
  <c r="N90" i="22"/>
  <c r="M90" i="22"/>
  <c r="M89" i="22" s="1"/>
  <c r="L90" i="22"/>
  <c r="K90" i="22"/>
  <c r="J90" i="22"/>
  <c r="J89" i="22" s="1"/>
  <c r="I90" i="22"/>
  <c r="H90" i="22"/>
  <c r="G90" i="22"/>
  <c r="F90" i="22"/>
  <c r="E90" i="22"/>
  <c r="E89" i="22" s="1"/>
  <c r="X89" i="22"/>
  <c r="Y89" i="22" s="1"/>
  <c r="O89" i="22"/>
  <c r="N89" i="22"/>
  <c r="C89" i="22"/>
  <c r="U88" i="22"/>
  <c r="U87" i="22" s="1"/>
  <c r="T88" i="22"/>
  <c r="T87" i="22" s="1"/>
  <c r="S88" i="22"/>
  <c r="S87" i="22" s="1"/>
  <c r="R88" i="22"/>
  <c r="R87" i="22" s="1"/>
  <c r="Q88" i="22"/>
  <c r="P88" i="22"/>
  <c r="P87" i="22" s="1"/>
  <c r="O88" i="22"/>
  <c r="O87" i="22" s="1"/>
  <c r="N88" i="22"/>
  <c r="M88" i="22"/>
  <c r="M87" i="22" s="1"/>
  <c r="L88" i="22"/>
  <c r="L87" i="22" s="1"/>
  <c r="K88" i="22"/>
  <c r="K87" i="22" s="1"/>
  <c r="J88" i="22"/>
  <c r="J87" i="22" s="1"/>
  <c r="I88" i="22"/>
  <c r="H88" i="22"/>
  <c r="H87" i="22" s="1"/>
  <c r="G88" i="22"/>
  <c r="G87" i="22" s="1"/>
  <c r="F88" i="22"/>
  <c r="F87" i="22" s="1"/>
  <c r="E88" i="22"/>
  <c r="E87" i="22" s="1"/>
  <c r="D88" i="22"/>
  <c r="D87" i="22" s="1"/>
  <c r="X87" i="22"/>
  <c r="Y87" i="22" s="1"/>
  <c r="Q87" i="22"/>
  <c r="N87" i="22"/>
  <c r="I87" i="22"/>
  <c r="C87" i="22"/>
  <c r="U85" i="22"/>
  <c r="T85" i="22"/>
  <c r="S85" i="22"/>
  <c r="R85" i="22"/>
  <c r="Q85" i="22"/>
  <c r="P85" i="22"/>
  <c r="O85" i="22"/>
  <c r="N85" i="22"/>
  <c r="M85" i="22"/>
  <c r="L85" i="22"/>
  <c r="K85" i="22"/>
  <c r="J85" i="22"/>
  <c r="J81" i="22" s="1"/>
  <c r="I85" i="22"/>
  <c r="I81" i="22" s="1"/>
  <c r="H85" i="22"/>
  <c r="H81" i="22" s="1"/>
  <c r="G85" i="22"/>
  <c r="G81" i="22" s="1"/>
  <c r="F85" i="22"/>
  <c r="F81" i="22" s="1"/>
  <c r="E85" i="22"/>
  <c r="E81" i="22" s="1"/>
  <c r="D85" i="22"/>
  <c r="D81" i="22" s="1"/>
  <c r="U82" i="22"/>
  <c r="U81" i="22" s="1"/>
  <c r="T82" i="22"/>
  <c r="S82" i="22"/>
  <c r="R82" i="22"/>
  <c r="Q82" i="22"/>
  <c r="Q81" i="22" s="1"/>
  <c r="P82" i="22"/>
  <c r="O82" i="22"/>
  <c r="N82" i="22"/>
  <c r="M82" i="22"/>
  <c r="L82" i="22"/>
  <c r="K82" i="22"/>
  <c r="X81" i="22"/>
  <c r="Y81" i="22" s="1"/>
  <c r="C81" i="22"/>
  <c r="X74" i="22"/>
  <c r="Y74" i="22" s="1"/>
  <c r="U74" i="22"/>
  <c r="T74" i="22"/>
  <c r="S74" i="22"/>
  <c r="R74" i="22"/>
  <c r="Q74" i="22"/>
  <c r="AM74" i="22" s="1"/>
  <c r="P74" i="22"/>
  <c r="O74" i="22"/>
  <c r="N74" i="22"/>
  <c r="M74" i="22"/>
  <c r="L74" i="22"/>
  <c r="K74" i="22"/>
  <c r="J74" i="22"/>
  <c r="I74" i="22"/>
  <c r="H74" i="22"/>
  <c r="G74" i="22"/>
  <c r="F74" i="22"/>
  <c r="E74" i="22"/>
  <c r="D74" i="22"/>
  <c r="C74" i="22"/>
  <c r="X72" i="22"/>
  <c r="Y72" i="22" s="1"/>
  <c r="Q72" i="22"/>
  <c r="U70" i="22"/>
  <c r="U133" i="22" s="1"/>
  <c r="U138" i="22" s="1"/>
  <c r="T70" i="22"/>
  <c r="T133" i="22" s="1"/>
  <c r="S70" i="22"/>
  <c r="S133" i="22" s="1"/>
  <c r="R70" i="22"/>
  <c r="R133" i="22" s="1"/>
  <c r="Q70" i="22"/>
  <c r="Q133" i="22" s="1"/>
  <c r="P70" i="22"/>
  <c r="O70" i="22"/>
  <c r="N70" i="22"/>
  <c r="M70" i="22"/>
  <c r="M133" i="22" s="1"/>
  <c r="L70" i="22"/>
  <c r="L72" i="22" s="1"/>
  <c r="K70" i="22"/>
  <c r="K72" i="22" s="1"/>
  <c r="J70" i="22"/>
  <c r="J72" i="22" s="1"/>
  <c r="I70" i="22"/>
  <c r="I133" i="22" s="1"/>
  <c r="H70" i="22"/>
  <c r="G70" i="22"/>
  <c r="F70" i="22"/>
  <c r="E70" i="22"/>
  <c r="E133" i="22" s="1"/>
  <c r="D70" i="22"/>
  <c r="D133" i="22" s="1"/>
  <c r="C70" i="22"/>
  <c r="C133" i="22" s="1"/>
  <c r="U68" i="22"/>
  <c r="U132" i="22" s="1"/>
  <c r="T68" i="22"/>
  <c r="T132" i="22" s="1"/>
  <c r="S68" i="22"/>
  <c r="S132" i="22" s="1"/>
  <c r="R68" i="22"/>
  <c r="R132" i="22" s="1"/>
  <c r="Q68" i="22"/>
  <c r="Q132" i="22" s="1"/>
  <c r="P68" i="22"/>
  <c r="P132" i="22" s="1"/>
  <c r="O68" i="22"/>
  <c r="O132" i="22" s="1"/>
  <c r="N68" i="22"/>
  <c r="N132" i="22" s="1"/>
  <c r="M68" i="22"/>
  <c r="M132" i="22" s="1"/>
  <c r="L68" i="22"/>
  <c r="L132" i="22" s="1"/>
  <c r="K68" i="22"/>
  <c r="K132" i="22" s="1"/>
  <c r="J68" i="22"/>
  <c r="J132" i="22" s="1"/>
  <c r="I68" i="22"/>
  <c r="I132" i="22" s="1"/>
  <c r="H68" i="22"/>
  <c r="H132" i="22" s="1"/>
  <c r="G68" i="22"/>
  <c r="G132" i="22" s="1"/>
  <c r="F68" i="22"/>
  <c r="F132" i="22" s="1"/>
  <c r="E68" i="22"/>
  <c r="E132" i="22" s="1"/>
  <c r="D68" i="22"/>
  <c r="D132" i="22" s="1"/>
  <c r="U61" i="22"/>
  <c r="T61" i="22"/>
  <c r="S61" i="22"/>
  <c r="R61" i="22"/>
  <c r="Q61" i="22"/>
  <c r="P61" i="22"/>
  <c r="O61" i="22"/>
  <c r="N61" i="22"/>
  <c r="U60" i="22"/>
  <c r="T60" i="22"/>
  <c r="S60" i="22"/>
  <c r="R60" i="22"/>
  <c r="Q60" i="22"/>
  <c r="P60" i="22"/>
  <c r="O60" i="22"/>
  <c r="N60" i="22"/>
  <c r="M60" i="22"/>
  <c r="L60" i="22"/>
  <c r="K60" i="22"/>
  <c r="J60" i="22"/>
  <c r="I60" i="22"/>
  <c r="H60" i="22"/>
  <c r="G60" i="22"/>
  <c r="F60" i="22"/>
  <c r="E60" i="22"/>
  <c r="D60" i="22"/>
  <c r="U59" i="22"/>
  <c r="T59" i="22"/>
  <c r="S59" i="22"/>
  <c r="R59" i="22"/>
  <c r="Q59" i="22"/>
  <c r="P59" i="22"/>
  <c r="O59" i="22"/>
  <c r="N59" i="22"/>
  <c r="M59" i="22"/>
  <c r="L59" i="22"/>
  <c r="K59" i="22"/>
  <c r="J59" i="22"/>
  <c r="I59" i="22"/>
  <c r="H59" i="22"/>
  <c r="G59" i="22"/>
  <c r="F59" i="22"/>
  <c r="E59" i="22"/>
  <c r="D59" i="22"/>
  <c r="C59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C58" i="22"/>
  <c r="U57" i="22"/>
  <c r="T57" i="22"/>
  <c r="S57" i="22"/>
  <c r="R57" i="22"/>
  <c r="Q57" i="22"/>
  <c r="P57" i="22"/>
  <c r="O57" i="22"/>
  <c r="N57" i="22"/>
  <c r="M57" i="22"/>
  <c r="L57" i="22"/>
  <c r="K57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D55" i="22"/>
  <c r="C55" i="22"/>
  <c r="U53" i="22"/>
  <c r="T53" i="22"/>
  <c r="S53" i="22"/>
  <c r="R53" i="22"/>
  <c r="Q53" i="22"/>
  <c r="P53" i="22"/>
  <c r="O53" i="22"/>
  <c r="N53" i="22"/>
  <c r="M53" i="22"/>
  <c r="L53" i="22"/>
  <c r="K53" i="22"/>
  <c r="U50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U42" i="22"/>
  <c r="T42" i="22"/>
  <c r="S42" i="22"/>
  <c r="R42" i="22"/>
  <c r="U41" i="22"/>
  <c r="T41" i="22"/>
  <c r="S41" i="22"/>
  <c r="R41" i="22"/>
  <c r="Q41" i="22"/>
  <c r="P41" i="22"/>
  <c r="O41" i="22"/>
  <c r="N41" i="22"/>
  <c r="M41" i="22"/>
  <c r="L41" i="22"/>
  <c r="K41" i="22"/>
  <c r="U40" i="22"/>
  <c r="T40" i="22"/>
  <c r="S40" i="22"/>
  <c r="X39" i="22"/>
  <c r="Y39" i="22" s="1"/>
  <c r="U38" i="22"/>
  <c r="T38" i="22"/>
  <c r="S38" i="22"/>
  <c r="R38" i="22"/>
  <c r="Q38" i="22"/>
  <c r="P38" i="22"/>
  <c r="O38" i="22"/>
  <c r="N38" i="22"/>
  <c r="M38" i="22"/>
  <c r="L38" i="22"/>
  <c r="L33" i="22" s="1"/>
  <c r="K38" i="22"/>
  <c r="J38" i="22"/>
  <c r="I38" i="22"/>
  <c r="J37" i="22"/>
  <c r="C37" i="22"/>
  <c r="C33" i="22" s="1"/>
  <c r="U36" i="22"/>
  <c r="U37" i="22" s="1"/>
  <c r="T36" i="22"/>
  <c r="T37" i="22" s="1"/>
  <c r="S36" i="22"/>
  <c r="S37" i="22" s="1"/>
  <c r="R36" i="22"/>
  <c r="R37" i="22" s="1"/>
  <c r="Q36" i="22"/>
  <c r="Q37" i="22" s="1"/>
  <c r="P36" i="22"/>
  <c r="P37" i="22" s="1"/>
  <c r="O36" i="22"/>
  <c r="O37" i="22" s="1"/>
  <c r="N36" i="22"/>
  <c r="M36" i="22"/>
  <c r="L36" i="22"/>
  <c r="L37" i="22" s="1"/>
  <c r="K36" i="22"/>
  <c r="K37" i="22" s="1"/>
  <c r="J36" i="22"/>
  <c r="I36" i="22"/>
  <c r="I37" i="22" s="1"/>
  <c r="H36" i="22"/>
  <c r="H37" i="22" s="1"/>
  <c r="G36" i="22"/>
  <c r="G37" i="22" s="1"/>
  <c r="F36" i="22"/>
  <c r="F37" i="22" s="1"/>
  <c r="E36" i="22"/>
  <c r="E37" i="22" s="1"/>
  <c r="D36" i="22"/>
  <c r="D37" i="22" s="1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X33" i="22"/>
  <c r="Y33" i="22" s="1"/>
  <c r="J33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E31" i="22"/>
  <c r="D31" i="22"/>
  <c r="C31" i="22"/>
  <c r="U17" i="22"/>
  <c r="T17" i="22"/>
  <c r="S17" i="22"/>
  <c r="R17" i="22"/>
  <c r="Q17" i="22"/>
  <c r="P17" i="22"/>
  <c r="U15" i="22"/>
  <c r="T15" i="22"/>
  <c r="S15" i="22"/>
  <c r="R15" i="22"/>
  <c r="Q15" i="22"/>
  <c r="P15" i="22"/>
  <c r="O15" i="22"/>
  <c r="O11" i="22" s="1"/>
  <c r="N15" i="22"/>
  <c r="M15" i="22"/>
  <c r="L15" i="22"/>
  <c r="K15" i="22"/>
  <c r="J15" i="22"/>
  <c r="I15" i="22"/>
  <c r="H15" i="22"/>
  <c r="G15" i="22"/>
  <c r="F15" i="22"/>
  <c r="E15" i="22"/>
  <c r="D15" i="22"/>
  <c r="U12" i="22"/>
  <c r="T12" i="22"/>
  <c r="T11" i="22" s="1"/>
  <c r="S12" i="22"/>
  <c r="R12" i="22"/>
  <c r="Q12" i="22"/>
  <c r="P12" i="22"/>
  <c r="O12" i="22"/>
  <c r="N12" i="22"/>
  <c r="N11" i="22" s="1"/>
  <c r="M12" i="22"/>
  <c r="L12" i="22"/>
  <c r="L11" i="22" s="1"/>
  <c r="K12" i="22"/>
  <c r="J12" i="22"/>
  <c r="I12" i="22"/>
  <c r="H12" i="22"/>
  <c r="G12" i="22"/>
  <c r="G11" i="22" s="1"/>
  <c r="F12" i="22"/>
  <c r="E12" i="22"/>
  <c r="E11" i="22" s="1"/>
  <c r="D12" i="22"/>
  <c r="D11" i="22" s="1"/>
  <c r="X11" i="22"/>
  <c r="Y11" i="22" s="1"/>
  <c r="H11" i="22"/>
  <c r="F11" i="22"/>
  <c r="C11" i="22"/>
  <c r="U4" i="22"/>
  <c r="U3" i="22" s="1"/>
  <c r="T4" i="22"/>
  <c r="T3" i="22" s="1"/>
  <c r="S4" i="22"/>
  <c r="R4" i="22"/>
  <c r="R3" i="22" s="1"/>
  <c r="Q4" i="22"/>
  <c r="Q3" i="22" s="1"/>
  <c r="P4" i="22"/>
  <c r="P3" i="22" s="1"/>
  <c r="X3" i="22"/>
  <c r="S3" i="22"/>
  <c r="O3" i="22"/>
  <c r="N3" i="22"/>
  <c r="M3" i="22"/>
  <c r="L3" i="22"/>
  <c r="K3" i="22"/>
  <c r="J3" i="22"/>
  <c r="I3" i="22"/>
  <c r="H3" i="22"/>
  <c r="G3" i="22"/>
  <c r="F3" i="22"/>
  <c r="E3" i="22"/>
  <c r="D3" i="22"/>
  <c r="C3" i="22"/>
  <c r="AO234" i="20"/>
  <c r="AO235" i="20"/>
  <c r="AO237" i="20"/>
  <c r="AO238" i="20"/>
  <c r="AO240" i="20"/>
  <c r="AO241" i="20"/>
  <c r="AN130" i="20"/>
  <c r="AO130" i="20"/>
  <c r="AN137" i="20"/>
  <c r="AO137" i="20"/>
  <c r="AN142" i="20"/>
  <c r="AO142" i="20"/>
  <c r="AN143" i="20"/>
  <c r="AO143" i="20"/>
  <c r="AN144" i="20"/>
  <c r="AO144" i="20"/>
  <c r="U125" i="20"/>
  <c r="U116" i="20"/>
  <c r="U115" i="20" s="1"/>
  <c r="U111" i="20"/>
  <c r="U89" i="20"/>
  <c r="U51" i="20"/>
  <c r="AN68" i="20"/>
  <c r="AN71" i="20"/>
  <c r="AO71" i="20"/>
  <c r="AN73" i="20"/>
  <c r="AO73" i="20"/>
  <c r="AN74" i="20"/>
  <c r="AO74" i="20"/>
  <c r="AN75" i="20"/>
  <c r="U67" i="20"/>
  <c r="U61" i="20"/>
  <c r="U60" i="20"/>
  <c r="U40" i="20"/>
  <c r="AN235" i="20"/>
  <c r="AN238" i="20"/>
  <c r="AN241" i="20"/>
  <c r="U81" i="20"/>
  <c r="U80" i="20" s="1"/>
  <c r="U84" i="20"/>
  <c r="U87" i="20"/>
  <c r="U86" i="20" s="1"/>
  <c r="U88" i="20"/>
  <c r="U90" i="20"/>
  <c r="U93" i="20"/>
  <c r="U91" i="20" s="1"/>
  <c r="U94" i="20"/>
  <c r="U96" i="20"/>
  <c r="U95" i="20" s="1"/>
  <c r="U97" i="20"/>
  <c r="U99" i="20"/>
  <c r="U100" i="20"/>
  <c r="U101" i="20"/>
  <c r="U103" i="20"/>
  <c r="U105" i="20"/>
  <c r="U110" i="20"/>
  <c r="U109" i="20" s="1"/>
  <c r="U113" i="20"/>
  <c r="U114" i="20"/>
  <c r="U118" i="20"/>
  <c r="U121" i="20"/>
  <c r="U123" i="20"/>
  <c r="U124" i="20"/>
  <c r="U126" i="20"/>
  <c r="U127" i="20"/>
  <c r="U131" i="20"/>
  <c r="U132" i="20"/>
  <c r="U134" i="20"/>
  <c r="U136" i="20"/>
  <c r="U137" i="20"/>
  <c r="U139" i="20"/>
  <c r="U142" i="20" s="1"/>
  <c r="U140" i="20"/>
  <c r="U141" i="20"/>
  <c r="U226" i="20"/>
  <c r="U227" i="20"/>
  <c r="U228" i="20"/>
  <c r="U229" i="20"/>
  <c r="U231" i="20" s="1"/>
  <c r="U230" i="20"/>
  <c r="U202" i="20"/>
  <c r="U201" i="20" s="1"/>
  <c r="U204" i="20"/>
  <c r="U206" i="20"/>
  <c r="U207" i="20"/>
  <c r="U209" i="20"/>
  <c r="U210" i="20"/>
  <c r="U213" i="20"/>
  <c r="U214" i="20"/>
  <c r="U217" i="20"/>
  <c r="U215" i="20" s="1"/>
  <c r="U154" i="20"/>
  <c r="U149" i="20" s="1"/>
  <c r="U155" i="20"/>
  <c r="U157" i="20"/>
  <c r="U166" i="20"/>
  <c r="U172" i="20"/>
  <c r="U169" i="20" s="1"/>
  <c r="U174" i="20"/>
  <c r="U176" i="20"/>
  <c r="U177" i="20"/>
  <c r="U178" i="20"/>
  <c r="U179" i="20"/>
  <c r="U180" i="20"/>
  <c r="U181" i="20"/>
  <c r="U182" i="20"/>
  <c r="U183" i="20"/>
  <c r="U184" i="20"/>
  <c r="U185" i="20"/>
  <c r="U188" i="20"/>
  <c r="U191" i="20"/>
  <c r="U193" i="20"/>
  <c r="U194" i="20"/>
  <c r="U196" i="20"/>
  <c r="U4" i="20"/>
  <c r="U3" i="20" s="1"/>
  <c r="U12" i="20"/>
  <c r="U11" i="20" s="1"/>
  <c r="U15" i="20"/>
  <c r="U17" i="20"/>
  <c r="U31" i="20"/>
  <c r="U33" i="20"/>
  <c r="U34" i="20"/>
  <c r="U36" i="20"/>
  <c r="U37" i="20"/>
  <c r="U38" i="20"/>
  <c r="U39" i="20"/>
  <c r="U41" i="20"/>
  <c r="U42" i="20"/>
  <c r="U43" i="20"/>
  <c r="U44" i="20"/>
  <c r="U45" i="20"/>
  <c r="U53" i="20"/>
  <c r="U55" i="20"/>
  <c r="U57" i="20"/>
  <c r="U58" i="20"/>
  <c r="U59" i="20"/>
  <c r="U69" i="20"/>
  <c r="U71" i="20"/>
  <c r="U73" i="20"/>
  <c r="U74" i="20"/>
  <c r="C38" i="11"/>
  <c r="C30" i="11"/>
  <c r="C26" i="11"/>
  <c r="C41" i="11" s="1"/>
  <c r="C44" i="11" s="1"/>
  <c r="C16" i="11"/>
  <c r="C12" i="11"/>
  <c r="C7" i="11"/>
  <c r="G52" i="10"/>
  <c r="G51" i="10"/>
  <c r="G53" i="10"/>
  <c r="G45" i="10"/>
  <c r="G46" i="10"/>
  <c r="G44" i="10"/>
  <c r="G49" i="10"/>
  <c r="G40" i="10"/>
  <c r="G41" i="10"/>
  <c r="G39" i="10"/>
  <c r="G38" i="10"/>
  <c r="G35" i="10"/>
  <c r="G37" i="10"/>
  <c r="G42" i="10"/>
  <c r="G43" i="10"/>
  <c r="G47" i="10"/>
  <c r="G31" i="10"/>
  <c r="G36" i="10"/>
  <c r="G33" i="10"/>
  <c r="G32" i="10"/>
  <c r="G30" i="10"/>
  <c r="G9" i="10"/>
  <c r="G34" i="10"/>
  <c r="G11" i="10"/>
  <c r="H13" i="10" s="1"/>
  <c r="G63" i="10" s="1"/>
  <c r="M116" i="22" l="1"/>
  <c r="M11" i="22"/>
  <c r="U11" i="22"/>
  <c r="M72" i="22"/>
  <c r="O92" i="22"/>
  <c r="M101" i="22"/>
  <c r="R125" i="22"/>
  <c r="L150" i="22"/>
  <c r="I203" i="22"/>
  <c r="AE203" i="22" s="1"/>
  <c r="V101" i="22"/>
  <c r="O81" i="22"/>
  <c r="Q92" i="22"/>
  <c r="O96" i="22"/>
  <c r="F96" i="22"/>
  <c r="N110" i="22"/>
  <c r="E110" i="22"/>
  <c r="S110" i="22"/>
  <c r="L170" i="22"/>
  <c r="H203" i="22"/>
  <c r="R72" i="22"/>
  <c r="R81" i="22"/>
  <c r="H89" i="22"/>
  <c r="P89" i="22"/>
  <c r="L110" i="22"/>
  <c r="V39" i="22"/>
  <c r="V116" i="22"/>
  <c r="L116" i="22"/>
  <c r="P11" i="22"/>
  <c r="K81" i="22"/>
  <c r="S81" i="22"/>
  <c r="I89" i="22"/>
  <c r="Q89" i="22"/>
  <c r="S92" i="22"/>
  <c r="H110" i="22"/>
  <c r="X143" i="22"/>
  <c r="Y143" i="22" s="1"/>
  <c r="J170" i="22"/>
  <c r="J229" i="22" s="1"/>
  <c r="F170" i="22"/>
  <c r="AB170" i="22" s="1"/>
  <c r="J203" i="22"/>
  <c r="AL217" i="22"/>
  <c r="V138" i="22"/>
  <c r="AS138" i="22" s="1"/>
  <c r="K39" i="22"/>
  <c r="AG217" i="22"/>
  <c r="I96" i="22"/>
  <c r="K11" i="22"/>
  <c r="S11" i="22"/>
  <c r="D33" i="22"/>
  <c r="K33" i="22"/>
  <c r="L81" i="22"/>
  <c r="T81" i="22"/>
  <c r="L101" i="22"/>
  <c r="T101" i="22"/>
  <c r="V33" i="22"/>
  <c r="AH72" i="22"/>
  <c r="AM217" i="22"/>
  <c r="Q232" i="22"/>
  <c r="E116" i="22"/>
  <c r="R150" i="22"/>
  <c r="AO150" i="22" s="1"/>
  <c r="V170" i="22"/>
  <c r="V229" i="22" s="1"/>
  <c r="O116" i="22"/>
  <c r="X228" i="22"/>
  <c r="Y150" i="22"/>
  <c r="L39" i="22"/>
  <c r="L69" i="22" s="1"/>
  <c r="C72" i="22"/>
  <c r="Z72" i="22" s="1"/>
  <c r="S72" i="22"/>
  <c r="AK74" i="22"/>
  <c r="H96" i="22"/>
  <c r="I110" i="22"/>
  <c r="Q110" i="22"/>
  <c r="P110" i="22"/>
  <c r="F110" i="22"/>
  <c r="I125" i="22"/>
  <c r="Q125" i="22"/>
  <c r="G125" i="22"/>
  <c r="O125" i="22"/>
  <c r="E125" i="22"/>
  <c r="S143" i="22"/>
  <c r="V72" i="22"/>
  <c r="V75" i="22" s="1"/>
  <c r="V110" i="22"/>
  <c r="E39" i="22"/>
  <c r="U110" i="22"/>
  <c r="N39" i="22"/>
  <c r="V11" i="22"/>
  <c r="H39" i="22"/>
  <c r="M39" i="22"/>
  <c r="D72" i="22"/>
  <c r="T72" i="22"/>
  <c r="T75" i="22" s="1"/>
  <c r="AP75" i="22" s="1"/>
  <c r="AD74" i="22"/>
  <c r="AL74" i="22"/>
  <c r="R89" i="22"/>
  <c r="S116" i="22"/>
  <c r="H125" i="22"/>
  <c r="P125" i="22"/>
  <c r="K133" i="22"/>
  <c r="X229" i="22"/>
  <c r="Y170" i="22"/>
  <c r="X231" i="22"/>
  <c r="X233" i="22" s="1"/>
  <c r="Y203" i="22"/>
  <c r="P203" i="22"/>
  <c r="AL203" i="22" s="1"/>
  <c r="P39" i="22"/>
  <c r="U72" i="22"/>
  <c r="AQ72" i="22" s="1"/>
  <c r="K96" i="22"/>
  <c r="S96" i="22"/>
  <c r="J96" i="22"/>
  <c r="N101" i="22"/>
  <c r="K110" i="22"/>
  <c r="L133" i="22"/>
  <c r="L138" i="22" s="1"/>
  <c r="AI138" i="22" s="1"/>
  <c r="U150" i="22"/>
  <c r="U228" i="22" s="1"/>
  <c r="K203" i="22"/>
  <c r="K231" i="22" s="1"/>
  <c r="K233" i="22" s="1"/>
  <c r="S203" i="22"/>
  <c r="V150" i="22"/>
  <c r="V228" i="22" s="1"/>
  <c r="V81" i="22"/>
  <c r="F39" i="22"/>
  <c r="G116" i="22"/>
  <c r="N116" i="22"/>
  <c r="F125" i="22"/>
  <c r="AA136" i="22"/>
  <c r="Y132" i="22"/>
  <c r="H150" i="22"/>
  <c r="AD150" i="22" s="1"/>
  <c r="V96" i="22"/>
  <c r="I39" i="22"/>
  <c r="I11" i="22"/>
  <c r="Q11" i="22"/>
  <c r="T39" i="22"/>
  <c r="J39" i="22"/>
  <c r="C39" i="22"/>
  <c r="C69" i="22" s="1"/>
  <c r="M138" i="22"/>
  <c r="M144" i="22" s="1"/>
  <c r="M81" i="22"/>
  <c r="F89" i="22"/>
  <c r="M96" i="22"/>
  <c r="U96" i="22"/>
  <c r="U131" i="22" s="1"/>
  <c r="L96" i="22"/>
  <c r="O101" i="22"/>
  <c r="N143" i="22"/>
  <c r="E170" i="22"/>
  <c r="AA170" i="22" s="1"/>
  <c r="R217" i="22"/>
  <c r="R232" i="22" s="1"/>
  <c r="V203" i="22"/>
  <c r="V231" i="22" s="1"/>
  <c r="V233" i="22" s="1"/>
  <c r="U116" i="22"/>
  <c r="AB74" i="22"/>
  <c r="F116" i="22"/>
  <c r="E72" i="22"/>
  <c r="AA72" i="22" s="1"/>
  <c r="J11" i="22"/>
  <c r="R11" i="22"/>
  <c r="D39" i="22"/>
  <c r="P81" i="22"/>
  <c r="N81" i="22"/>
  <c r="G89" i="22"/>
  <c r="P92" i="22"/>
  <c r="N96" i="22"/>
  <c r="Q101" i="22"/>
  <c r="M110" i="22"/>
  <c r="AD143" i="22"/>
  <c r="O143" i="22"/>
  <c r="AK143" i="22" s="1"/>
  <c r="Q150" i="22"/>
  <c r="Q228" i="22" s="1"/>
  <c r="G150" i="22"/>
  <c r="G228" i="22" s="1"/>
  <c r="H170" i="22"/>
  <c r="G170" i="22"/>
  <c r="G229" i="22" s="1"/>
  <c r="O203" i="22"/>
  <c r="Z213" i="22"/>
  <c r="X232" i="22"/>
  <c r="Y217" i="22"/>
  <c r="V125" i="22"/>
  <c r="S39" i="22"/>
  <c r="J116" i="22"/>
  <c r="Q39" i="22"/>
  <c r="K116" i="22"/>
  <c r="R39" i="22"/>
  <c r="AA38" i="22"/>
  <c r="X69" i="22"/>
  <c r="Y69" i="22" s="1"/>
  <c r="Y3" i="22"/>
  <c r="L75" i="22"/>
  <c r="S75" i="22"/>
  <c r="AC74" i="22"/>
  <c r="AI72" i="22"/>
  <c r="T143" i="22"/>
  <c r="AP143" i="22" s="1"/>
  <c r="U143" i="22"/>
  <c r="AE217" i="22"/>
  <c r="G33" i="22"/>
  <c r="X75" i="22"/>
  <c r="Y75" i="22" s="1"/>
  <c r="AF217" i="22"/>
  <c r="AK217" i="22"/>
  <c r="Q75" i="22"/>
  <c r="AJ74" i="22"/>
  <c r="AQ74" i="22"/>
  <c r="I138" i="22"/>
  <c r="I144" i="22" s="1"/>
  <c r="AJ143" i="22"/>
  <c r="K230" i="22"/>
  <c r="C230" i="22"/>
  <c r="C19" i="11"/>
  <c r="C22" i="11" s="1"/>
  <c r="C45" i="11" s="1"/>
  <c r="AR138" i="22"/>
  <c r="C37" i="8"/>
  <c r="J34" i="8"/>
  <c r="J37" i="8" s="1"/>
  <c r="V143" i="22"/>
  <c r="AS143" i="22" s="1"/>
  <c r="H33" i="22"/>
  <c r="H69" i="22" s="1"/>
  <c r="AE143" i="22"/>
  <c r="S33" i="22"/>
  <c r="T33" i="22"/>
  <c r="T69" i="22" s="1"/>
  <c r="U75" i="22"/>
  <c r="X131" i="22"/>
  <c r="Y131" i="22" s="1"/>
  <c r="AG143" i="22"/>
  <c r="R75" i="22"/>
  <c r="AA143" i="22"/>
  <c r="D75" i="22"/>
  <c r="Z137" i="22"/>
  <c r="AA74" i="22"/>
  <c r="P143" i="22"/>
  <c r="AL143" i="22" s="1"/>
  <c r="AF143" i="22"/>
  <c r="AE74" i="22"/>
  <c r="I33" i="22"/>
  <c r="Q33" i="22"/>
  <c r="H228" i="22"/>
  <c r="S232" i="22"/>
  <c r="E229" i="22"/>
  <c r="R33" i="22"/>
  <c r="J75" i="22"/>
  <c r="S228" i="22"/>
  <c r="R228" i="22"/>
  <c r="H229" i="22"/>
  <c r="AD170" i="22"/>
  <c r="O39" i="22"/>
  <c r="H133" i="22"/>
  <c r="H138" i="22" s="1"/>
  <c r="H72" i="22"/>
  <c r="AH170" i="22"/>
  <c r="L229" i="22"/>
  <c r="T110" i="22"/>
  <c r="D69" i="22"/>
  <c r="AO72" i="22"/>
  <c r="AO74" i="22"/>
  <c r="T96" i="22"/>
  <c r="P96" i="22"/>
  <c r="T116" i="22"/>
  <c r="H116" i="22"/>
  <c r="P116" i="22"/>
  <c r="J133" i="22"/>
  <c r="AH143" i="22"/>
  <c r="O170" i="22"/>
  <c r="T170" i="22"/>
  <c r="T229" i="22" s="1"/>
  <c r="I231" i="22"/>
  <c r="I233" i="22" s="1"/>
  <c r="AG203" i="22"/>
  <c r="S231" i="22"/>
  <c r="P133" i="22"/>
  <c r="P138" i="22" s="1"/>
  <c r="P72" i="22"/>
  <c r="G133" i="22"/>
  <c r="G138" i="22" s="1"/>
  <c r="G72" i="22"/>
  <c r="J69" i="22"/>
  <c r="U33" i="22"/>
  <c r="M75" i="22"/>
  <c r="Q143" i="22"/>
  <c r="AB143" i="22"/>
  <c r="AN72" i="22"/>
  <c r="AN74" i="22"/>
  <c r="AA133" i="22"/>
  <c r="N170" i="22"/>
  <c r="AP74" i="22"/>
  <c r="I116" i="22"/>
  <c r="M170" i="22"/>
  <c r="J231" i="22"/>
  <c r="J233" i="22" s="1"/>
  <c r="AF203" i="22"/>
  <c r="F33" i="22"/>
  <c r="K138" i="22"/>
  <c r="Z133" i="22"/>
  <c r="S138" i="22"/>
  <c r="R116" i="22"/>
  <c r="J138" i="22"/>
  <c r="P150" i="22"/>
  <c r="O150" i="22"/>
  <c r="AH150" i="22"/>
  <c r="L228" i="22"/>
  <c r="AG170" i="22"/>
  <c r="O133" i="22"/>
  <c r="O138" i="22" s="1"/>
  <c r="O72" i="22"/>
  <c r="AF150" i="22"/>
  <c r="AG150" i="22"/>
  <c r="M37" i="22"/>
  <c r="M33" i="22" s="1"/>
  <c r="M69" i="22" s="1"/>
  <c r="T150" i="22"/>
  <c r="N37" i="22"/>
  <c r="N33" i="22" s="1"/>
  <c r="R143" i="22"/>
  <c r="AO143" i="22" s="1"/>
  <c r="AC143" i="22"/>
  <c r="S170" i="22"/>
  <c r="U39" i="22"/>
  <c r="AG74" i="22"/>
  <c r="E33" i="22"/>
  <c r="AP72" i="22"/>
  <c r="AH74" i="22"/>
  <c r="AI74" i="22"/>
  <c r="Q116" i="22"/>
  <c r="Q131" i="22" s="1"/>
  <c r="X138" i="22"/>
  <c r="Y138" i="22" s="1"/>
  <c r="P170" i="22"/>
  <c r="U170" i="22"/>
  <c r="U229" i="22" s="1"/>
  <c r="U230" i="22" s="1"/>
  <c r="O33" i="22"/>
  <c r="D138" i="22"/>
  <c r="T138" i="22"/>
  <c r="AG72" i="22"/>
  <c r="J131" i="22"/>
  <c r="K89" i="22"/>
  <c r="S89" i="22"/>
  <c r="D116" i="22"/>
  <c r="Z122" i="22"/>
  <c r="K125" i="22"/>
  <c r="S125" i="22"/>
  <c r="Q138" i="22"/>
  <c r="E150" i="22"/>
  <c r="M150" i="22"/>
  <c r="Z217" i="22"/>
  <c r="AH217" i="22"/>
  <c r="L232" i="22"/>
  <c r="G39" i="22"/>
  <c r="G69" i="22" s="1"/>
  <c r="I170" i="22"/>
  <c r="AF170" i="22" s="1"/>
  <c r="K69" i="22"/>
  <c r="AF74" i="22"/>
  <c r="H231" i="22"/>
  <c r="H233" i="22" s="1"/>
  <c r="J228" i="22"/>
  <c r="J230" i="22" s="1"/>
  <c r="I72" i="22"/>
  <c r="Z74" i="22"/>
  <c r="P33" i="22"/>
  <c r="P69" i="22" s="1"/>
  <c r="E138" i="22"/>
  <c r="F133" i="22"/>
  <c r="F138" i="22" s="1"/>
  <c r="F72" i="22"/>
  <c r="N133" i="22"/>
  <c r="N138" i="22" s="1"/>
  <c r="N72" i="22"/>
  <c r="K75" i="22"/>
  <c r="L89" i="22"/>
  <c r="T89" i="22"/>
  <c r="D125" i="22"/>
  <c r="L125" i="22"/>
  <c r="T125" i="22"/>
  <c r="R138" i="22"/>
  <c r="Z143" i="22"/>
  <c r="Z169" i="22"/>
  <c r="AE150" i="22"/>
  <c r="O231" i="22"/>
  <c r="O233" i="22" s="1"/>
  <c r="Z209" i="22"/>
  <c r="N203" i="22"/>
  <c r="AA217" i="22"/>
  <c r="E232" i="22"/>
  <c r="AI217" i="22"/>
  <c r="M232" i="22"/>
  <c r="G110" i="22"/>
  <c r="O110" i="22"/>
  <c r="O131" i="22" s="1"/>
  <c r="Q203" i="22"/>
  <c r="F203" i="22"/>
  <c r="AB217" i="22"/>
  <c r="F232" i="22"/>
  <c r="AJ217" i="22"/>
  <c r="N232" i="22"/>
  <c r="C131" i="22"/>
  <c r="C138" i="22"/>
  <c r="C144" i="22" s="1"/>
  <c r="AI143" i="22"/>
  <c r="R203" i="22"/>
  <c r="AO203" i="22" s="1"/>
  <c r="G203" i="22"/>
  <c r="G232" i="22"/>
  <c r="AD217" i="22"/>
  <c r="AC217" i="22"/>
  <c r="Q170" i="22"/>
  <c r="D203" i="22"/>
  <c r="L203" i="22"/>
  <c r="T203" i="22"/>
  <c r="R170" i="22"/>
  <c r="E203" i="22"/>
  <c r="M203" i="22"/>
  <c r="U203" i="22"/>
  <c r="U231" i="22" s="1"/>
  <c r="U233" i="22" s="1"/>
  <c r="F150" i="22"/>
  <c r="AC150" i="22" s="1"/>
  <c r="N150" i="22"/>
  <c r="D150" i="22"/>
  <c r="Z170" i="22"/>
  <c r="U143" i="20"/>
  <c r="U130" i="20"/>
  <c r="U144" i="20" s="1"/>
  <c r="U224" i="20" s="1"/>
  <c r="U235" i="20" s="1"/>
  <c r="U238" i="20" s="1"/>
  <c r="U241" i="20" s="1"/>
  <c r="U68" i="20"/>
  <c r="T191" i="20"/>
  <c r="T174" i="20"/>
  <c r="F71" i="8"/>
  <c r="C71" i="8"/>
  <c r="C56" i="8"/>
  <c r="X230" i="22" l="1"/>
  <c r="O69" i="22"/>
  <c r="E131" i="22"/>
  <c r="F131" i="22"/>
  <c r="L131" i="22"/>
  <c r="E75" i="22"/>
  <c r="C75" i="22"/>
  <c r="C76" i="22" s="1"/>
  <c r="C225" i="22" s="1"/>
  <c r="C236" i="22" s="1"/>
  <c r="AC170" i="22"/>
  <c r="AR72" i="22"/>
  <c r="F229" i="22"/>
  <c r="AO217" i="22"/>
  <c r="AN217" i="22"/>
  <c r="AQ75" i="22"/>
  <c r="E69" i="22"/>
  <c r="AA69" i="22" s="1"/>
  <c r="P131" i="22"/>
  <c r="AL131" i="22" s="1"/>
  <c r="N131" i="22"/>
  <c r="AR143" i="22"/>
  <c r="V131" i="22"/>
  <c r="AS131" i="22" s="1"/>
  <c r="M131" i="22"/>
  <c r="V69" i="22"/>
  <c r="V76" i="22" s="1"/>
  <c r="V225" i="22" s="1"/>
  <c r="V236" i="22" s="1"/>
  <c r="V230" i="22"/>
  <c r="R131" i="22"/>
  <c r="AN131" i="22" s="1"/>
  <c r="I131" i="22"/>
  <c r="I145" i="22" s="1"/>
  <c r="AM143" i="22"/>
  <c r="P231" i="22"/>
  <c r="P233" i="22" s="1"/>
  <c r="AN150" i="22"/>
  <c r="I69" i="22"/>
  <c r="AF69" i="22" s="1"/>
  <c r="V144" i="22"/>
  <c r="AS144" i="22" s="1"/>
  <c r="AI75" i="22"/>
  <c r="Q69" i="22"/>
  <c r="Q76" i="22" s="1"/>
  <c r="S69" i="22"/>
  <c r="AP69" i="22" s="1"/>
  <c r="AR75" i="22"/>
  <c r="G131" i="22"/>
  <c r="AC131" i="22" s="1"/>
  <c r="AH75" i="22"/>
  <c r="N69" i="22"/>
  <c r="U144" i="22"/>
  <c r="U145" i="22" s="1"/>
  <c r="U226" i="22" s="1"/>
  <c r="U237" i="22" s="1"/>
  <c r="AN75" i="22"/>
  <c r="D131" i="22"/>
  <c r="AA131" i="22" s="1"/>
  <c r="F69" i="22"/>
  <c r="AC69" i="22" s="1"/>
  <c r="H131" i="22"/>
  <c r="R69" i="22"/>
  <c r="R76" i="22" s="1"/>
  <c r="X76" i="22"/>
  <c r="Y76" i="22" s="1"/>
  <c r="AG75" i="22"/>
  <c r="AQ143" i="22"/>
  <c r="AO75" i="22"/>
  <c r="S131" i="22"/>
  <c r="C38" i="8"/>
  <c r="K37" i="8"/>
  <c r="K34" i="8"/>
  <c r="AA75" i="22"/>
  <c r="K131" i="22"/>
  <c r="AH131" i="22" s="1"/>
  <c r="T131" i="22"/>
  <c r="AQ131" i="22" s="1"/>
  <c r="U69" i="22"/>
  <c r="U76" i="22" s="1"/>
  <c r="AK131" i="22"/>
  <c r="N144" i="22"/>
  <c r="AJ144" i="22" s="1"/>
  <c r="AJ138" i="22"/>
  <c r="O144" i="22"/>
  <c r="AK138" i="22"/>
  <c r="AC138" i="22"/>
  <c r="G144" i="22"/>
  <c r="AD138" i="22"/>
  <c r="H144" i="22"/>
  <c r="AD144" i="22" s="1"/>
  <c r="AE138" i="22"/>
  <c r="AD131" i="22"/>
  <c r="AI69" i="22"/>
  <c r="M76" i="22"/>
  <c r="AB138" i="22"/>
  <c r="F144" i="22"/>
  <c r="N75" i="22"/>
  <c r="AJ75" i="22" s="1"/>
  <c r="AJ72" i="22"/>
  <c r="P229" i="22"/>
  <c r="AL170" i="22"/>
  <c r="O228" i="22"/>
  <c r="AK150" i="22"/>
  <c r="C145" i="22"/>
  <c r="C226" i="22" s="1"/>
  <c r="C237" i="22" s="1"/>
  <c r="X144" i="22"/>
  <c r="Y144" i="22" s="1"/>
  <c r="AL150" i="22"/>
  <c r="P228" i="22"/>
  <c r="O75" i="22"/>
  <c r="O76" i="22" s="1"/>
  <c r="AK72" i="22"/>
  <c r="AD69" i="22"/>
  <c r="AH203" i="22"/>
  <c r="L231" i="22"/>
  <c r="L233" i="22" s="1"/>
  <c r="AB131" i="22"/>
  <c r="M145" i="22"/>
  <c r="AI131" i="22"/>
  <c r="K76" i="22"/>
  <c r="AG69" i="22"/>
  <c r="R229" i="22"/>
  <c r="R230" i="22" s="1"/>
  <c r="AN170" i="22"/>
  <c r="AJ170" i="22"/>
  <c r="N229" i="22"/>
  <c r="T144" i="22"/>
  <c r="AP138" i="22"/>
  <c r="E228" i="22"/>
  <c r="E230" i="22" s="1"/>
  <c r="AA150" i="22"/>
  <c r="S229" i="22"/>
  <c r="S230" i="22" s="1"/>
  <c r="AO170" i="22"/>
  <c r="Z203" i="22"/>
  <c r="D231" i="22"/>
  <c r="D233" i="22" s="1"/>
  <c r="R231" i="22"/>
  <c r="R233" i="22" s="1"/>
  <c r="AN203" i="22"/>
  <c r="D144" i="22"/>
  <c r="Z144" i="22" s="1"/>
  <c r="Z138" i="22"/>
  <c r="AI170" i="22"/>
  <c r="M229" i="22"/>
  <c r="P75" i="22"/>
  <c r="P76" i="22" s="1"/>
  <c r="AL72" i="22"/>
  <c r="AM72" i="22"/>
  <c r="G230" i="22"/>
  <c r="E231" i="22"/>
  <c r="E233" i="22" s="1"/>
  <c r="AA203" i="22"/>
  <c r="AJ203" i="22"/>
  <c r="N231" i="22"/>
  <c r="N233" i="22" s="1"/>
  <c r="K144" i="22"/>
  <c r="AG138" i="22"/>
  <c r="T76" i="22"/>
  <c r="O229" i="22"/>
  <c r="AK170" i="22"/>
  <c r="T231" i="22"/>
  <c r="T233" i="22" s="1"/>
  <c r="M228" i="22"/>
  <c r="AI150" i="22"/>
  <c r="N228" i="22"/>
  <c r="AJ150" i="22"/>
  <c r="AC203" i="22"/>
  <c r="G231" i="22"/>
  <c r="G233" i="22" s="1"/>
  <c r="AA138" i="22"/>
  <c r="E144" i="22"/>
  <c r="H75" i="22"/>
  <c r="AD72" i="22"/>
  <c r="F228" i="22"/>
  <c r="F230" i="22" s="1"/>
  <c r="AB150" i="22"/>
  <c r="Q229" i="22"/>
  <c r="Q230" i="22" s="1"/>
  <c r="AM170" i="22"/>
  <c r="F231" i="22"/>
  <c r="F233" i="22" s="1"/>
  <c r="AB203" i="22"/>
  <c r="AM150" i="22"/>
  <c r="AN143" i="22"/>
  <c r="L230" i="22"/>
  <c r="S144" i="22"/>
  <c r="AO138" i="22"/>
  <c r="J76" i="22"/>
  <c r="AQ138" i="22"/>
  <c r="I75" i="22"/>
  <c r="AE75" i="22" s="1"/>
  <c r="AE72" i="22"/>
  <c r="AL69" i="22"/>
  <c r="I229" i="22"/>
  <c r="I230" i="22" s="1"/>
  <c r="AE170" i="22"/>
  <c r="T228" i="22"/>
  <c r="T230" i="22" s="1"/>
  <c r="AB72" i="22"/>
  <c r="F75" i="22"/>
  <c r="J144" i="22"/>
  <c r="AF144" i="22" s="1"/>
  <c r="AF138" i="22"/>
  <c r="E76" i="22"/>
  <c r="D228" i="22"/>
  <c r="D230" i="22" s="1"/>
  <c r="Z150" i="22"/>
  <c r="AK203" i="22"/>
  <c r="AH69" i="22"/>
  <c r="L76" i="22"/>
  <c r="H230" i="22"/>
  <c r="AD203" i="22"/>
  <c r="L144" i="22"/>
  <c r="AH138" i="22"/>
  <c r="S233" i="22"/>
  <c r="AI203" i="22"/>
  <c r="M231" i="22"/>
  <c r="M233" i="22" s="1"/>
  <c r="AM203" i="22"/>
  <c r="Q231" i="22"/>
  <c r="Q233" i="22" s="1"/>
  <c r="R144" i="22"/>
  <c r="AN138" i="22"/>
  <c r="Q144" i="22"/>
  <c r="AM138" i="22"/>
  <c r="AL138" i="22"/>
  <c r="P144" i="22"/>
  <c r="G75" i="22"/>
  <c r="AC72" i="22"/>
  <c r="Z69" i="22"/>
  <c r="D76" i="22"/>
  <c r="AF72" i="22"/>
  <c r="AJ131" i="22"/>
  <c r="U75" i="20"/>
  <c r="AO68" i="20"/>
  <c r="T185" i="20"/>
  <c r="T172" i="20"/>
  <c r="C66" i="8"/>
  <c r="F52" i="8"/>
  <c r="C52" i="8"/>
  <c r="AK69" i="22" l="1"/>
  <c r="AJ69" i="22"/>
  <c r="AR131" i="22"/>
  <c r="AM69" i="22"/>
  <c r="Z75" i="22"/>
  <c r="AB69" i="22"/>
  <c r="AF131" i="22"/>
  <c r="Z131" i="22"/>
  <c r="AN69" i="22"/>
  <c r="S76" i="22"/>
  <c r="AP76" i="22" s="1"/>
  <c r="AM144" i="22"/>
  <c r="AB75" i="22"/>
  <c r="AE131" i="22"/>
  <c r="AM131" i="22"/>
  <c r="AR144" i="22"/>
  <c r="AE69" i="22"/>
  <c r="I76" i="22"/>
  <c r="I225" i="22" s="1"/>
  <c r="V145" i="22"/>
  <c r="AR145" i="22" s="1"/>
  <c r="AP131" i="22"/>
  <c r="AL144" i="22"/>
  <c r="AO69" i="22"/>
  <c r="AS236" i="22"/>
  <c r="V239" i="22"/>
  <c r="AS239" i="22" s="1"/>
  <c r="AO131" i="22"/>
  <c r="AR76" i="22"/>
  <c r="AR69" i="22"/>
  <c r="X225" i="22"/>
  <c r="X236" i="22" s="1"/>
  <c r="AG131" i="22"/>
  <c r="AB144" i="22"/>
  <c r="P230" i="22"/>
  <c r="V242" i="22"/>
  <c r="AS242" i="22" s="1"/>
  <c r="AC144" i="22"/>
  <c r="N230" i="22"/>
  <c r="AE144" i="22"/>
  <c r="AQ69" i="22"/>
  <c r="M230" i="22"/>
  <c r="N145" i="22"/>
  <c r="N226" i="22" s="1"/>
  <c r="N237" i="22" s="1"/>
  <c r="K145" i="22"/>
  <c r="K226" i="22" s="1"/>
  <c r="K237" i="22" s="1"/>
  <c r="T145" i="22"/>
  <c r="T226" i="22" s="1"/>
  <c r="T237" i="22" s="1"/>
  <c r="AQ237" i="22" s="1"/>
  <c r="AK144" i="22"/>
  <c r="O145" i="22"/>
  <c r="O226" i="22" s="1"/>
  <c r="O237" i="22" s="1"/>
  <c r="O225" i="22"/>
  <c r="F76" i="22"/>
  <c r="H145" i="22"/>
  <c r="AE145" i="22" s="1"/>
  <c r="D225" i="22"/>
  <c r="Z76" i="22"/>
  <c r="P225" i="22"/>
  <c r="AL76" i="22"/>
  <c r="M226" i="22"/>
  <c r="M237" i="22" s="1"/>
  <c r="AC75" i="22"/>
  <c r="AK75" i="22"/>
  <c r="AN144" i="22"/>
  <c r="F145" i="22"/>
  <c r="O230" i="22"/>
  <c r="AF75" i="22"/>
  <c r="P145" i="22"/>
  <c r="D145" i="22"/>
  <c r="G76" i="22"/>
  <c r="I226" i="22"/>
  <c r="I237" i="22" s="1"/>
  <c r="R145" i="22"/>
  <c r="R225" i="22"/>
  <c r="AN76" i="22"/>
  <c r="J225" i="22"/>
  <c r="U240" i="22"/>
  <c r="AG144" i="22"/>
  <c r="C227" i="22"/>
  <c r="C234" i="22" s="1"/>
  <c r="M225" i="22"/>
  <c r="AI76" i="22"/>
  <c r="AD75" i="22"/>
  <c r="K225" i="22"/>
  <c r="AG76" i="22"/>
  <c r="Q145" i="22"/>
  <c r="N76" i="22"/>
  <c r="T225" i="22"/>
  <c r="C240" i="22"/>
  <c r="C243" i="22" s="1"/>
  <c r="AH144" i="22"/>
  <c r="AI144" i="22"/>
  <c r="L145" i="22"/>
  <c r="AO144" i="22"/>
  <c r="AP144" i="22"/>
  <c r="AA76" i="22"/>
  <c r="E225" i="22"/>
  <c r="AL75" i="22"/>
  <c r="AM75" i="22"/>
  <c r="C239" i="22"/>
  <c r="C242" i="22" s="1"/>
  <c r="U225" i="22"/>
  <c r="AQ76" i="22"/>
  <c r="S145" i="22"/>
  <c r="AQ144" i="22"/>
  <c r="J145" i="22"/>
  <c r="L225" i="22"/>
  <c r="AH76" i="22"/>
  <c r="Q225" i="22"/>
  <c r="AM76" i="22"/>
  <c r="AA144" i="22"/>
  <c r="E145" i="22"/>
  <c r="H76" i="22"/>
  <c r="X145" i="22"/>
  <c r="Y145" i="22" s="1"/>
  <c r="G145" i="22"/>
  <c r="U223" i="20"/>
  <c r="AO75" i="20"/>
  <c r="F66" i="8"/>
  <c r="Y121" i="20"/>
  <c r="X121" i="20"/>
  <c r="AF76" i="22" l="1"/>
  <c r="AJ145" i="22"/>
  <c r="AS145" i="22"/>
  <c r="AO76" i="22"/>
  <c r="V226" i="22"/>
  <c r="V237" i="22" s="1"/>
  <c r="AS237" i="22" s="1"/>
  <c r="AE76" i="22"/>
  <c r="S225" i="22"/>
  <c r="S236" i="22" s="1"/>
  <c r="V240" i="22"/>
  <c r="AS240" i="22" s="1"/>
  <c r="AR237" i="22"/>
  <c r="AP145" i="22"/>
  <c r="AK145" i="22"/>
  <c r="AQ145" i="22"/>
  <c r="AG145" i="22"/>
  <c r="C244" i="22"/>
  <c r="AN145" i="22"/>
  <c r="R226" i="22"/>
  <c r="R237" i="22" s="1"/>
  <c r="U227" i="22"/>
  <c r="U234" i="22" s="1"/>
  <c r="U236" i="22"/>
  <c r="AR236" i="22" s="1"/>
  <c r="N225" i="22"/>
  <c r="AJ76" i="22"/>
  <c r="F226" i="22"/>
  <c r="F237" i="22" s="1"/>
  <c r="AB145" i="22"/>
  <c r="AK76" i="22"/>
  <c r="AH145" i="22"/>
  <c r="L226" i="22"/>
  <c r="L237" i="22" s="1"/>
  <c r="AM145" i="22"/>
  <c r="Q226" i="22"/>
  <c r="Q237" i="22" s="1"/>
  <c r="I240" i="22"/>
  <c r="O236" i="22"/>
  <c r="O227" i="22"/>
  <c r="K236" i="22"/>
  <c r="K227" i="22"/>
  <c r="K234" i="22" s="1"/>
  <c r="AC76" i="22"/>
  <c r="G225" i="22"/>
  <c r="D226" i="22"/>
  <c r="D237" i="22" s="1"/>
  <c r="Z145" i="22"/>
  <c r="AI145" i="22"/>
  <c r="Q236" i="22"/>
  <c r="E236" i="22"/>
  <c r="P226" i="22"/>
  <c r="P237" i="22" s="1"/>
  <c r="AL145" i="22"/>
  <c r="M240" i="22"/>
  <c r="AF145" i="22"/>
  <c r="J226" i="22"/>
  <c r="J237" i="22" s="1"/>
  <c r="AG237" i="22" s="1"/>
  <c r="X239" i="22"/>
  <c r="X242" i="22" s="1"/>
  <c r="D236" i="22"/>
  <c r="E226" i="22"/>
  <c r="E237" i="22" s="1"/>
  <c r="AA145" i="22"/>
  <c r="O240" i="22"/>
  <c r="O243" i="22" s="1"/>
  <c r="AK237" i="22"/>
  <c r="X226" i="22"/>
  <c r="H226" i="22"/>
  <c r="H237" i="22" s="1"/>
  <c r="AE237" i="22" s="1"/>
  <c r="AD145" i="22"/>
  <c r="U243" i="22"/>
  <c r="K146" i="22"/>
  <c r="G226" i="22"/>
  <c r="G237" i="22" s="1"/>
  <c r="AC145" i="22"/>
  <c r="K240" i="22"/>
  <c r="AJ237" i="22"/>
  <c r="N240" i="22"/>
  <c r="J236" i="22"/>
  <c r="I236" i="22"/>
  <c r="I227" i="22"/>
  <c r="I234" i="22" s="1"/>
  <c r="S226" i="22"/>
  <c r="S237" i="22" s="1"/>
  <c r="AP237" i="22" s="1"/>
  <c r="AO145" i="22"/>
  <c r="M227" i="22"/>
  <c r="M234" i="22" s="1"/>
  <c r="M236" i="22"/>
  <c r="AD76" i="22"/>
  <c r="H225" i="22"/>
  <c r="L236" i="22"/>
  <c r="T227" i="22"/>
  <c r="T234" i="22" s="1"/>
  <c r="T236" i="22"/>
  <c r="R236" i="22"/>
  <c r="P236" i="22"/>
  <c r="AB76" i="22"/>
  <c r="F225" i="22"/>
  <c r="T240" i="22"/>
  <c r="T243" i="22" s="1"/>
  <c r="U234" i="20"/>
  <c r="U237" i="20" s="1"/>
  <c r="U240" i="20" s="1"/>
  <c r="U225" i="20"/>
  <c r="U232" i="20" s="1"/>
  <c r="T101" i="20"/>
  <c r="T94" i="20"/>
  <c r="T184" i="20"/>
  <c r="T181" i="20"/>
  <c r="G30" i="11"/>
  <c r="W4" i="20"/>
  <c r="W5" i="20"/>
  <c r="W6" i="20"/>
  <c r="W7" i="20"/>
  <c r="W8" i="20"/>
  <c r="W9" i="20"/>
  <c r="W10" i="20"/>
  <c r="W12" i="20"/>
  <c r="W13" i="20"/>
  <c r="W14" i="20"/>
  <c r="W15" i="20"/>
  <c r="W16" i="20"/>
  <c r="W17" i="20"/>
  <c r="W19" i="20"/>
  <c r="W20" i="20"/>
  <c r="W21" i="20"/>
  <c r="W22" i="20"/>
  <c r="W23" i="20"/>
  <c r="W24" i="20"/>
  <c r="W25" i="20"/>
  <c r="W26" i="20"/>
  <c r="W27" i="20"/>
  <c r="W28" i="20"/>
  <c r="W29" i="20"/>
  <c r="W30" i="20"/>
  <c r="W32" i="20"/>
  <c r="W34" i="20"/>
  <c r="W35" i="20"/>
  <c r="W36" i="20"/>
  <c r="W37" i="20"/>
  <c r="W38" i="20"/>
  <c r="W40" i="20"/>
  <c r="W41" i="20"/>
  <c r="W42" i="20"/>
  <c r="W43" i="20"/>
  <c r="W44" i="20"/>
  <c r="W45" i="20"/>
  <c r="W46" i="20"/>
  <c r="W47" i="20"/>
  <c r="W48" i="20"/>
  <c r="W49" i="20"/>
  <c r="W52" i="20"/>
  <c r="W53" i="20"/>
  <c r="W54" i="20"/>
  <c r="W55" i="20"/>
  <c r="W56" i="20"/>
  <c r="W57" i="20"/>
  <c r="W58" i="20"/>
  <c r="W59" i="20"/>
  <c r="W60" i="20"/>
  <c r="W61" i="20"/>
  <c r="W62" i="20"/>
  <c r="W63" i="20"/>
  <c r="W64" i="20"/>
  <c r="W65" i="20"/>
  <c r="W66" i="20"/>
  <c r="W67" i="20"/>
  <c r="W69" i="20"/>
  <c r="W70" i="20"/>
  <c r="W71" i="20"/>
  <c r="W72" i="20"/>
  <c r="W81" i="20"/>
  <c r="W82" i="20"/>
  <c r="W83" i="20"/>
  <c r="W84" i="20"/>
  <c r="W87" i="20"/>
  <c r="W89" i="20"/>
  <c r="W90" i="20"/>
  <c r="W92" i="20"/>
  <c r="W93" i="20"/>
  <c r="W94" i="20"/>
  <c r="W96" i="20"/>
  <c r="W97" i="20"/>
  <c r="W98" i="20"/>
  <c r="W99" i="20"/>
  <c r="W101" i="20"/>
  <c r="W102" i="20"/>
  <c r="W103" i="20"/>
  <c r="W104" i="20"/>
  <c r="W106" i="20"/>
  <c r="W107" i="20"/>
  <c r="W108" i="20"/>
  <c r="W110" i="20"/>
  <c r="W111" i="20"/>
  <c r="W112" i="20"/>
  <c r="W113" i="20"/>
  <c r="W114" i="20"/>
  <c r="W115" i="20"/>
  <c r="W116" i="20"/>
  <c r="W118" i="20"/>
  <c r="W119" i="20"/>
  <c r="W120" i="20"/>
  <c r="W121" i="20"/>
  <c r="W122" i="20"/>
  <c r="W123" i="20"/>
  <c r="W125" i="20"/>
  <c r="W126" i="20"/>
  <c r="W127" i="20"/>
  <c r="W128" i="20"/>
  <c r="W129" i="20"/>
  <c r="W131" i="20"/>
  <c r="W133" i="20"/>
  <c r="W134" i="20"/>
  <c r="W135" i="20"/>
  <c r="W136" i="20"/>
  <c r="W137" i="20"/>
  <c r="W138" i="20"/>
  <c r="W139" i="20"/>
  <c r="W140" i="20"/>
  <c r="W142" i="20"/>
  <c r="W150" i="20"/>
  <c r="W151" i="20"/>
  <c r="W152" i="20"/>
  <c r="W153" i="20"/>
  <c r="W154" i="20"/>
  <c r="W155" i="20"/>
  <c r="W156" i="20"/>
  <c r="W157" i="20"/>
  <c r="W158" i="20"/>
  <c r="W159" i="20"/>
  <c r="W160" i="20"/>
  <c r="W161" i="20"/>
  <c r="W163" i="20"/>
  <c r="W164" i="20"/>
  <c r="W165" i="20"/>
  <c r="W166" i="20"/>
  <c r="W167" i="20"/>
  <c r="W168" i="20"/>
  <c r="W170" i="20"/>
  <c r="W171" i="20"/>
  <c r="W172" i="20"/>
  <c r="W173" i="20"/>
  <c r="W174" i="20"/>
  <c r="W175" i="20"/>
  <c r="W176" i="20"/>
  <c r="W178" i="20"/>
  <c r="W179" i="20"/>
  <c r="W180" i="20"/>
  <c r="W181" i="20"/>
  <c r="W182" i="20"/>
  <c r="W183" i="20"/>
  <c r="W185" i="20"/>
  <c r="W186" i="20"/>
  <c r="W187" i="20"/>
  <c r="W189" i="20"/>
  <c r="W191" i="20"/>
  <c r="W192" i="20"/>
  <c r="W193" i="20"/>
  <c r="W194" i="20"/>
  <c r="W195" i="20"/>
  <c r="W196" i="20"/>
  <c r="W197" i="20"/>
  <c r="W202" i="20"/>
  <c r="W203" i="20"/>
  <c r="W205" i="20"/>
  <c r="W206" i="20"/>
  <c r="W207" i="20"/>
  <c r="W208" i="20"/>
  <c r="W209" i="20"/>
  <c r="W210" i="20"/>
  <c r="W211" i="20"/>
  <c r="W213" i="20"/>
  <c r="W216" i="20"/>
  <c r="W218" i="20"/>
  <c r="W3" i="20"/>
  <c r="T81" i="20"/>
  <c r="T80" i="20" s="1"/>
  <c r="T84" i="20"/>
  <c r="T87" i="20"/>
  <c r="T86" i="20" s="1"/>
  <c r="T89" i="20"/>
  <c r="T90" i="20"/>
  <c r="T88" i="20" s="1"/>
  <c r="T93" i="20"/>
  <c r="T91" i="20" s="1"/>
  <c r="W91" i="20" s="1"/>
  <c r="T96" i="20"/>
  <c r="T95" i="20" s="1"/>
  <c r="T97" i="20"/>
  <c r="T99" i="20"/>
  <c r="T100" i="20"/>
  <c r="T103" i="20"/>
  <c r="T105" i="20"/>
  <c r="T110" i="20"/>
  <c r="T109" i="20" s="1"/>
  <c r="T111" i="20"/>
  <c r="T113" i="20"/>
  <c r="T114" i="20"/>
  <c r="T116" i="20"/>
  <c r="T115" i="20" s="1"/>
  <c r="T118" i="20"/>
  <c r="T121" i="20"/>
  <c r="T123" i="20"/>
  <c r="T125" i="20"/>
  <c r="T126" i="20"/>
  <c r="T124" i="20" s="1"/>
  <c r="T127" i="20"/>
  <c r="T131" i="20"/>
  <c r="T132" i="20"/>
  <c r="T134" i="20"/>
  <c r="T137" i="20" s="1"/>
  <c r="T136" i="20"/>
  <c r="T139" i="20"/>
  <c r="T142" i="20" s="1"/>
  <c r="T140" i="20"/>
  <c r="T141" i="20"/>
  <c r="T226" i="20"/>
  <c r="T229" i="20"/>
  <c r="T231" i="20" s="1"/>
  <c r="T230" i="20"/>
  <c r="T202" i="20"/>
  <c r="T201" i="20" s="1"/>
  <c r="T204" i="20"/>
  <c r="T206" i="20"/>
  <c r="T207" i="20"/>
  <c r="T209" i="20"/>
  <c r="T210" i="20"/>
  <c r="T213" i="20"/>
  <c r="T214" i="20"/>
  <c r="T217" i="20"/>
  <c r="T215" i="20" s="1"/>
  <c r="T154" i="20"/>
  <c r="T149" i="20" s="1"/>
  <c r="T155" i="20"/>
  <c r="T157" i="20"/>
  <c r="T166" i="20"/>
  <c r="T176" i="20"/>
  <c r="T177" i="20"/>
  <c r="T178" i="20"/>
  <c r="T179" i="20"/>
  <c r="T180" i="20"/>
  <c r="T182" i="20"/>
  <c r="T183" i="20"/>
  <c r="T188" i="20"/>
  <c r="T193" i="20"/>
  <c r="T194" i="20"/>
  <c r="T196" i="20"/>
  <c r="T3" i="20"/>
  <c r="T4" i="20"/>
  <c r="T12" i="20"/>
  <c r="T11" i="20" s="1"/>
  <c r="T15" i="20"/>
  <c r="T17" i="20"/>
  <c r="T31" i="20"/>
  <c r="W31" i="20" s="1"/>
  <c r="T34" i="20"/>
  <c r="T36" i="20"/>
  <c r="T37" i="20" s="1"/>
  <c r="T33" i="20" s="1"/>
  <c r="T38" i="20"/>
  <c r="T40" i="20"/>
  <c r="T41" i="20"/>
  <c r="T42" i="20"/>
  <c r="T39" i="20" s="1"/>
  <c r="T43" i="20"/>
  <c r="T44" i="20"/>
  <c r="T45" i="20"/>
  <c r="T53" i="20"/>
  <c r="T55" i="20"/>
  <c r="T57" i="20"/>
  <c r="T58" i="20"/>
  <c r="T59" i="20"/>
  <c r="T60" i="20"/>
  <c r="T61" i="20"/>
  <c r="T67" i="20"/>
  <c r="T69" i="20"/>
  <c r="T71" i="20" s="1"/>
  <c r="T74" i="20" s="1"/>
  <c r="T73" i="20"/>
  <c r="N230" i="20"/>
  <c r="F230" i="20"/>
  <c r="N226" i="20"/>
  <c r="Y217" i="20"/>
  <c r="S217" i="20"/>
  <c r="S215" i="20" s="1"/>
  <c r="R217" i="20"/>
  <c r="Q217" i="20"/>
  <c r="Q215" i="20" s="1"/>
  <c r="Z215" i="20"/>
  <c r="Y215" i="20"/>
  <c r="V215" i="20"/>
  <c r="V230" i="20" s="1"/>
  <c r="P215" i="20"/>
  <c r="O215" i="20"/>
  <c r="N215" i="20"/>
  <c r="M215" i="20"/>
  <c r="M230" i="20" s="1"/>
  <c r="L215" i="20"/>
  <c r="K215" i="20"/>
  <c r="J215" i="20"/>
  <c r="I215" i="20"/>
  <c r="H215" i="20"/>
  <c r="G215" i="20"/>
  <c r="F215" i="20"/>
  <c r="E215" i="20"/>
  <c r="E230" i="20" s="1"/>
  <c r="D215" i="20"/>
  <c r="C215" i="20"/>
  <c r="C230" i="20" s="1"/>
  <c r="S214" i="20"/>
  <c r="R214" i="20"/>
  <c r="Q214" i="20"/>
  <c r="Y213" i="20"/>
  <c r="S213" i="20"/>
  <c r="R213" i="20"/>
  <c r="X213" i="20" s="1"/>
  <c r="Q213" i="20"/>
  <c r="P213" i="20"/>
  <c r="O213" i="20"/>
  <c r="N213" i="20"/>
  <c r="M213" i="20"/>
  <c r="L213" i="20"/>
  <c r="K213" i="20"/>
  <c r="J213" i="20"/>
  <c r="I213" i="20"/>
  <c r="H213" i="20"/>
  <c r="G213" i="20"/>
  <c r="F213" i="20"/>
  <c r="E213" i="20"/>
  <c r="D213" i="20"/>
  <c r="C213" i="20"/>
  <c r="Y211" i="20"/>
  <c r="S210" i="20"/>
  <c r="R210" i="20"/>
  <c r="Q210" i="20"/>
  <c r="P210" i="20"/>
  <c r="O210" i="20"/>
  <c r="N210" i="20"/>
  <c r="M210" i="20"/>
  <c r="L210" i="20"/>
  <c r="K210" i="20"/>
  <c r="J210" i="20"/>
  <c r="I210" i="20"/>
  <c r="H210" i="20"/>
  <c r="G210" i="20"/>
  <c r="F210" i="20"/>
  <c r="E210" i="20"/>
  <c r="D210" i="20"/>
  <c r="S209" i="20"/>
  <c r="R209" i="20"/>
  <c r="Q209" i="20"/>
  <c r="P209" i="20"/>
  <c r="O209" i="20"/>
  <c r="N209" i="20"/>
  <c r="M209" i="20"/>
  <c r="L209" i="20"/>
  <c r="K209" i="20"/>
  <c r="J209" i="20"/>
  <c r="I209" i="20"/>
  <c r="H209" i="20"/>
  <c r="G209" i="20"/>
  <c r="F209" i="20"/>
  <c r="E209" i="20"/>
  <c r="D209" i="20"/>
  <c r="C209" i="20"/>
  <c r="Y207" i="20"/>
  <c r="S207" i="20"/>
  <c r="R207" i="20"/>
  <c r="R201" i="20" s="1"/>
  <c r="Q207" i="20"/>
  <c r="P207" i="20"/>
  <c r="O207" i="20"/>
  <c r="N207" i="20"/>
  <c r="M207" i="20"/>
  <c r="L207" i="20"/>
  <c r="K207" i="20"/>
  <c r="J207" i="20"/>
  <c r="I207" i="20"/>
  <c r="H207" i="20"/>
  <c r="G207" i="20"/>
  <c r="F207" i="20"/>
  <c r="E207" i="20"/>
  <c r="D207" i="20"/>
  <c r="S206" i="20"/>
  <c r="R206" i="20"/>
  <c r="Q206" i="20"/>
  <c r="P206" i="20"/>
  <c r="O206" i="20"/>
  <c r="N206" i="20"/>
  <c r="M206" i="20"/>
  <c r="L206" i="20"/>
  <c r="K206" i="20"/>
  <c r="J206" i="20"/>
  <c r="I206" i="20"/>
  <c r="H206" i="20"/>
  <c r="G206" i="20"/>
  <c r="F206" i="20"/>
  <c r="E206" i="20"/>
  <c r="D206" i="20"/>
  <c r="S204" i="20"/>
  <c r="R204" i="20"/>
  <c r="Q204" i="20"/>
  <c r="Q201" i="20" s="1"/>
  <c r="P204" i="20"/>
  <c r="O204" i="20"/>
  <c r="N204" i="20"/>
  <c r="M204" i="20"/>
  <c r="L204" i="20"/>
  <c r="K204" i="20"/>
  <c r="J204" i="20"/>
  <c r="I204" i="20"/>
  <c r="I201" i="20" s="1"/>
  <c r="H204" i="20"/>
  <c r="G204" i="20"/>
  <c r="F204" i="20"/>
  <c r="E204" i="20"/>
  <c r="D204" i="20"/>
  <c r="S202" i="20"/>
  <c r="R202" i="20"/>
  <c r="Q202" i="20"/>
  <c r="P202" i="20"/>
  <c r="O202" i="20"/>
  <c r="O201" i="20" s="1"/>
  <c r="N202" i="20"/>
  <c r="M202" i="20"/>
  <c r="M201" i="20" s="1"/>
  <c r="L202" i="20"/>
  <c r="K202" i="20"/>
  <c r="J202" i="20"/>
  <c r="I202" i="20"/>
  <c r="H202" i="20"/>
  <c r="G202" i="20"/>
  <c r="G201" i="20" s="1"/>
  <c r="F202" i="20"/>
  <c r="E202" i="20"/>
  <c r="E201" i="20" s="1"/>
  <c r="D202" i="20"/>
  <c r="C202" i="20"/>
  <c r="C201" i="20" s="1"/>
  <c r="C229" i="20" s="1"/>
  <c r="C231" i="20" s="1"/>
  <c r="V201" i="20"/>
  <c r="W201" i="20" s="1"/>
  <c r="P201" i="20"/>
  <c r="N201" i="20"/>
  <c r="N229" i="20" s="1"/>
  <c r="J201" i="20"/>
  <c r="J229" i="20" s="1"/>
  <c r="H201" i="20"/>
  <c r="F201" i="20"/>
  <c r="F229" i="20" s="1"/>
  <c r="F231" i="20" s="1"/>
  <c r="S196" i="20"/>
  <c r="R196" i="20"/>
  <c r="Q196" i="20"/>
  <c r="X194" i="20"/>
  <c r="S194" i="20"/>
  <c r="R194" i="20"/>
  <c r="Q194" i="20"/>
  <c r="P194" i="20"/>
  <c r="O194" i="20"/>
  <c r="N194" i="20"/>
  <c r="M194" i="20"/>
  <c r="X193" i="20"/>
  <c r="S193" i="20"/>
  <c r="R193" i="20"/>
  <c r="Q193" i="20"/>
  <c r="P193" i="20"/>
  <c r="O193" i="20"/>
  <c r="N193" i="20"/>
  <c r="M193" i="20"/>
  <c r="S191" i="20"/>
  <c r="R191" i="20"/>
  <c r="Q191" i="20"/>
  <c r="P191" i="20"/>
  <c r="O191" i="20"/>
  <c r="N191" i="20"/>
  <c r="M191" i="20"/>
  <c r="L191" i="20"/>
  <c r="K191" i="20"/>
  <c r="J191" i="20"/>
  <c r="I191" i="20"/>
  <c r="H191" i="20"/>
  <c r="G191" i="20"/>
  <c r="F191" i="20"/>
  <c r="E191" i="20"/>
  <c r="S188" i="20"/>
  <c r="R188" i="20"/>
  <c r="Q188" i="20"/>
  <c r="X186" i="20"/>
  <c r="S184" i="20"/>
  <c r="R184" i="20"/>
  <c r="Q184" i="20"/>
  <c r="P184" i="20"/>
  <c r="O184" i="20"/>
  <c r="N184" i="20"/>
  <c r="M184" i="20"/>
  <c r="L184" i="20"/>
  <c r="K184" i="20"/>
  <c r="J184" i="20"/>
  <c r="I184" i="20"/>
  <c r="H184" i="20"/>
  <c r="G184" i="20"/>
  <c r="S183" i="20"/>
  <c r="R183" i="20"/>
  <c r="Q183" i="20"/>
  <c r="P183" i="20"/>
  <c r="O183" i="20"/>
  <c r="O169" i="20" s="1"/>
  <c r="N183" i="20"/>
  <c r="M183" i="20"/>
  <c r="L183" i="20"/>
  <c r="K183" i="20"/>
  <c r="J183" i="20"/>
  <c r="I183" i="20"/>
  <c r="H183" i="20"/>
  <c r="G183" i="20"/>
  <c r="F183" i="20"/>
  <c r="E183" i="20"/>
  <c r="D183" i="20"/>
  <c r="S182" i="20"/>
  <c r="R182" i="20"/>
  <c r="Q182" i="20"/>
  <c r="P182" i="20"/>
  <c r="O182" i="20"/>
  <c r="N182" i="20"/>
  <c r="M182" i="20"/>
  <c r="L182" i="20"/>
  <c r="K182" i="20"/>
  <c r="J182" i="20"/>
  <c r="I182" i="20"/>
  <c r="H182" i="20"/>
  <c r="G182" i="20"/>
  <c r="S180" i="20"/>
  <c r="R180" i="20"/>
  <c r="R169" i="20" s="1"/>
  <c r="Q180" i="20"/>
  <c r="P180" i="20"/>
  <c r="O180" i="20"/>
  <c r="N180" i="20"/>
  <c r="M180" i="20"/>
  <c r="L180" i="20"/>
  <c r="K180" i="20"/>
  <c r="J180" i="20"/>
  <c r="I180" i="20"/>
  <c r="H180" i="20"/>
  <c r="G180" i="20"/>
  <c r="S179" i="20"/>
  <c r="R179" i="20"/>
  <c r="Q179" i="20"/>
  <c r="P179" i="20"/>
  <c r="O179" i="20"/>
  <c r="N179" i="20"/>
  <c r="M179" i="20"/>
  <c r="S178" i="20"/>
  <c r="R178" i="20"/>
  <c r="Q178" i="20"/>
  <c r="P178" i="20"/>
  <c r="O178" i="20"/>
  <c r="N178" i="20"/>
  <c r="M178" i="20"/>
  <c r="L178" i="20"/>
  <c r="K178" i="20"/>
  <c r="J178" i="20"/>
  <c r="I178" i="20"/>
  <c r="H178" i="20"/>
  <c r="G178" i="20"/>
  <c r="F178" i="20"/>
  <c r="E178" i="20"/>
  <c r="S177" i="20"/>
  <c r="R177" i="20"/>
  <c r="Q177" i="20"/>
  <c r="P177" i="20"/>
  <c r="O177" i="20"/>
  <c r="N177" i="20"/>
  <c r="M177" i="20"/>
  <c r="L177" i="20"/>
  <c r="L169" i="20" s="1"/>
  <c r="K177" i="20"/>
  <c r="J177" i="20"/>
  <c r="I177" i="20"/>
  <c r="H177" i="20"/>
  <c r="G177" i="20"/>
  <c r="F177" i="20"/>
  <c r="E177" i="20"/>
  <c r="S176" i="20"/>
  <c r="R176" i="20"/>
  <c r="Q176" i="20"/>
  <c r="X174" i="20"/>
  <c r="V174" i="20"/>
  <c r="S174" i="20"/>
  <c r="S169" i="20" s="1"/>
  <c r="R174" i="20"/>
  <c r="Q174" i="20"/>
  <c r="P174" i="20"/>
  <c r="O174" i="20"/>
  <c r="N174" i="20"/>
  <c r="M174" i="20"/>
  <c r="M169" i="20" s="1"/>
  <c r="M227" i="20" s="1"/>
  <c r="L174" i="20"/>
  <c r="K174" i="20"/>
  <c r="K169" i="20" s="1"/>
  <c r="J174" i="20"/>
  <c r="I174" i="20"/>
  <c r="H174" i="20"/>
  <c r="G174" i="20"/>
  <c r="F174" i="20"/>
  <c r="E174" i="20"/>
  <c r="E169" i="20" s="1"/>
  <c r="E227" i="20" s="1"/>
  <c r="S172" i="20"/>
  <c r="R172" i="20"/>
  <c r="Q172" i="20"/>
  <c r="P172" i="20"/>
  <c r="O172" i="20"/>
  <c r="N172" i="20"/>
  <c r="N169" i="20" s="1"/>
  <c r="AH169" i="20" s="1"/>
  <c r="M172" i="20"/>
  <c r="V169" i="20"/>
  <c r="V227" i="20" s="1"/>
  <c r="Q169" i="20"/>
  <c r="Q227" i="20" s="1"/>
  <c r="J169" i="20"/>
  <c r="I169" i="20"/>
  <c r="D169" i="20"/>
  <c r="C169" i="20"/>
  <c r="C227" i="20" s="1"/>
  <c r="Y168" i="20"/>
  <c r="X168" i="20"/>
  <c r="S166" i="20"/>
  <c r="R166" i="20"/>
  <c r="Q166" i="20"/>
  <c r="P166" i="20"/>
  <c r="O166" i="20"/>
  <c r="N166" i="20"/>
  <c r="M166" i="20"/>
  <c r="L166" i="20"/>
  <c r="K166" i="20"/>
  <c r="J166" i="20"/>
  <c r="I166" i="20"/>
  <c r="H166" i="20"/>
  <c r="G166" i="20"/>
  <c r="F166" i="20"/>
  <c r="E166" i="20"/>
  <c r="D166" i="20"/>
  <c r="C166" i="20"/>
  <c r="P162" i="20"/>
  <c r="O162" i="20"/>
  <c r="N162" i="20"/>
  <c r="M162" i="20"/>
  <c r="L162" i="20"/>
  <c r="K162" i="20"/>
  <c r="J162" i="20"/>
  <c r="J149" i="20" s="1"/>
  <c r="J226" i="20" s="1"/>
  <c r="I162" i="20"/>
  <c r="I149" i="20" s="1"/>
  <c r="H162" i="20"/>
  <c r="G162" i="20"/>
  <c r="F162" i="20"/>
  <c r="E162" i="20"/>
  <c r="D162" i="20"/>
  <c r="S157" i="20"/>
  <c r="R157" i="20"/>
  <c r="Q157" i="20"/>
  <c r="P157" i="20"/>
  <c r="O157" i="20"/>
  <c r="N157" i="20"/>
  <c r="M157" i="20"/>
  <c r="M149" i="20" s="1"/>
  <c r="L157" i="20"/>
  <c r="K157" i="20"/>
  <c r="J157" i="20"/>
  <c r="I157" i="20"/>
  <c r="H157" i="20"/>
  <c r="G157" i="20"/>
  <c r="F157" i="20"/>
  <c r="E157" i="20"/>
  <c r="E149" i="20" s="1"/>
  <c r="S155" i="20"/>
  <c r="R155" i="20"/>
  <c r="Q155" i="20"/>
  <c r="P155" i="20"/>
  <c r="O155" i="20"/>
  <c r="N155" i="20"/>
  <c r="M155" i="20"/>
  <c r="L155" i="20"/>
  <c r="K155" i="20"/>
  <c r="J155" i="20"/>
  <c r="I155" i="20"/>
  <c r="H155" i="20"/>
  <c r="G155" i="20"/>
  <c r="F155" i="20"/>
  <c r="F149" i="20" s="1"/>
  <c r="E155" i="20"/>
  <c r="S154" i="20"/>
  <c r="R154" i="20"/>
  <c r="Q154" i="20"/>
  <c r="P154" i="20"/>
  <c r="O154" i="20"/>
  <c r="N154" i="20"/>
  <c r="N149" i="20" s="1"/>
  <c r="M154" i="20"/>
  <c r="AL149" i="20"/>
  <c r="V149" i="20"/>
  <c r="V226" i="20" s="1"/>
  <c r="S149" i="20"/>
  <c r="S226" i="20" s="1"/>
  <c r="R149" i="20"/>
  <c r="R226" i="20" s="1"/>
  <c r="Q149" i="20"/>
  <c r="Q226" i="20" s="1"/>
  <c r="L149" i="20"/>
  <c r="K149" i="20"/>
  <c r="K226" i="20" s="1"/>
  <c r="D149" i="20"/>
  <c r="C149" i="20"/>
  <c r="C226" i="20" s="1"/>
  <c r="M142" i="20"/>
  <c r="AG142" i="20" s="1"/>
  <c r="V141" i="20"/>
  <c r="V142" i="20" s="1"/>
  <c r="S141" i="20"/>
  <c r="S142" i="20" s="1"/>
  <c r="R141" i="20"/>
  <c r="Q141" i="20"/>
  <c r="P141" i="20"/>
  <c r="O141" i="20"/>
  <c r="O142" i="20" s="1"/>
  <c r="N141" i="20"/>
  <c r="M141" i="20"/>
  <c r="L141" i="20"/>
  <c r="L142" i="20" s="1"/>
  <c r="K141" i="20"/>
  <c r="K142" i="20" s="1"/>
  <c r="AF142" i="20" s="1"/>
  <c r="J141" i="20"/>
  <c r="J142" i="20" s="1"/>
  <c r="I141" i="20"/>
  <c r="I142" i="20" s="1"/>
  <c r="H141" i="20"/>
  <c r="H142" i="20" s="1"/>
  <c r="G141" i="20"/>
  <c r="G142" i="20" s="1"/>
  <c r="F141" i="20"/>
  <c r="F142" i="20" s="1"/>
  <c r="E141" i="20"/>
  <c r="E142" i="20" s="1"/>
  <c r="D141" i="20"/>
  <c r="D142" i="20" s="1"/>
  <c r="C141" i="20"/>
  <c r="C142" i="20" s="1"/>
  <c r="S140" i="20"/>
  <c r="S139" i="20"/>
  <c r="R139" i="20"/>
  <c r="Q139" i="20"/>
  <c r="P139" i="20"/>
  <c r="O139" i="20"/>
  <c r="N139" i="20"/>
  <c r="N142" i="20" s="1"/>
  <c r="V137" i="20"/>
  <c r="Y136" i="20"/>
  <c r="S136" i="20"/>
  <c r="X136" i="20" s="1"/>
  <c r="R136" i="20"/>
  <c r="Q136" i="20"/>
  <c r="P136" i="20"/>
  <c r="O136" i="20"/>
  <c r="N136" i="20"/>
  <c r="M136" i="20"/>
  <c r="L136" i="20"/>
  <c r="K136" i="20"/>
  <c r="J136" i="20"/>
  <c r="I136" i="20"/>
  <c r="H136" i="20"/>
  <c r="G136" i="20"/>
  <c r="F136" i="20"/>
  <c r="E136" i="20"/>
  <c r="D136" i="20"/>
  <c r="C136" i="20"/>
  <c r="Y135" i="20"/>
  <c r="S134" i="20"/>
  <c r="V132" i="20"/>
  <c r="Y132" i="20" s="1"/>
  <c r="O132" i="20"/>
  <c r="G132" i="20"/>
  <c r="V131" i="20"/>
  <c r="C131" i="20"/>
  <c r="S127" i="20"/>
  <c r="R127" i="20"/>
  <c r="Q127" i="20"/>
  <c r="Q124" i="20" s="1"/>
  <c r="P127" i="20"/>
  <c r="O127" i="20"/>
  <c r="N127" i="20"/>
  <c r="M127" i="20"/>
  <c r="L127" i="20"/>
  <c r="L124" i="20" s="1"/>
  <c r="K127" i="20"/>
  <c r="J127" i="20"/>
  <c r="I127" i="20"/>
  <c r="I124" i="20" s="1"/>
  <c r="H127" i="20"/>
  <c r="G127" i="20"/>
  <c r="F127" i="20"/>
  <c r="E127" i="20"/>
  <c r="D127" i="20"/>
  <c r="D124" i="20" s="1"/>
  <c r="S126" i="20"/>
  <c r="R126" i="20"/>
  <c r="Q126" i="20"/>
  <c r="P126" i="20"/>
  <c r="O126" i="20"/>
  <c r="N126" i="20"/>
  <c r="M126" i="20"/>
  <c r="L126" i="20"/>
  <c r="K126" i="20"/>
  <c r="J126" i="20"/>
  <c r="I126" i="20"/>
  <c r="H126" i="20"/>
  <c r="G126" i="20"/>
  <c r="F126" i="20"/>
  <c r="E126" i="20"/>
  <c r="D126" i="20"/>
  <c r="S125" i="20"/>
  <c r="R125" i="20"/>
  <c r="R124" i="20" s="1"/>
  <c r="Q125" i="20"/>
  <c r="P125" i="20"/>
  <c r="O125" i="20"/>
  <c r="O124" i="20" s="1"/>
  <c r="N125" i="20"/>
  <c r="N124" i="20" s="1"/>
  <c r="M125" i="20"/>
  <c r="L125" i="20"/>
  <c r="K125" i="20"/>
  <c r="K124" i="20" s="1"/>
  <c r="J125" i="20"/>
  <c r="J124" i="20" s="1"/>
  <c r="I125" i="20"/>
  <c r="H125" i="20"/>
  <c r="G125" i="20"/>
  <c r="G124" i="20" s="1"/>
  <c r="F125" i="20"/>
  <c r="F124" i="20" s="1"/>
  <c r="E125" i="20"/>
  <c r="D125" i="20"/>
  <c r="V124" i="20"/>
  <c r="W124" i="20" s="1"/>
  <c r="P124" i="20"/>
  <c r="M124" i="20"/>
  <c r="H124" i="20"/>
  <c r="E124" i="20"/>
  <c r="C124" i="20"/>
  <c r="S123" i="20"/>
  <c r="R123" i="20"/>
  <c r="Q123" i="20"/>
  <c r="P123" i="20"/>
  <c r="O123" i="20"/>
  <c r="N123" i="20"/>
  <c r="M123" i="20"/>
  <c r="L123" i="20"/>
  <c r="K123" i="20"/>
  <c r="J123" i="20"/>
  <c r="I123" i="20"/>
  <c r="H123" i="20"/>
  <c r="G123" i="20"/>
  <c r="F123" i="20"/>
  <c r="E123" i="20"/>
  <c r="D123" i="20"/>
  <c r="S121" i="20"/>
  <c r="R121" i="20"/>
  <c r="Q121" i="20"/>
  <c r="P121" i="20"/>
  <c r="O121" i="20"/>
  <c r="N121" i="20"/>
  <c r="M121" i="20"/>
  <c r="L121" i="20"/>
  <c r="K121" i="20"/>
  <c r="K115" i="20" s="1"/>
  <c r="J121" i="20"/>
  <c r="I121" i="20"/>
  <c r="H121" i="20"/>
  <c r="G121" i="20"/>
  <c r="F121" i="20"/>
  <c r="E121" i="20"/>
  <c r="D121" i="20"/>
  <c r="S118" i="20"/>
  <c r="R118" i="20"/>
  <c r="Q118" i="20"/>
  <c r="P118" i="20"/>
  <c r="O118" i="20"/>
  <c r="N118" i="20"/>
  <c r="M118" i="20"/>
  <c r="L118" i="20"/>
  <c r="K118" i="20"/>
  <c r="J118" i="20"/>
  <c r="I118" i="20"/>
  <c r="H118" i="20"/>
  <c r="G118" i="20"/>
  <c r="F118" i="20"/>
  <c r="E118" i="20"/>
  <c r="S116" i="20"/>
  <c r="R116" i="20"/>
  <c r="R115" i="20" s="1"/>
  <c r="Q116" i="20"/>
  <c r="Q115" i="20" s="1"/>
  <c r="P116" i="20"/>
  <c r="O116" i="20"/>
  <c r="N116" i="20"/>
  <c r="N115" i="20" s="1"/>
  <c r="M116" i="20"/>
  <c r="M115" i="20" s="1"/>
  <c r="L116" i="20"/>
  <c r="K116" i="20"/>
  <c r="J116" i="20"/>
  <c r="J115" i="20" s="1"/>
  <c r="I116" i="20"/>
  <c r="I115" i="20" s="1"/>
  <c r="H116" i="20"/>
  <c r="G116" i="20"/>
  <c r="F116" i="20"/>
  <c r="F115" i="20" s="1"/>
  <c r="E116" i="20"/>
  <c r="E115" i="20" s="1"/>
  <c r="D116" i="20"/>
  <c r="V115" i="20"/>
  <c r="P115" i="20"/>
  <c r="L115" i="20"/>
  <c r="H115" i="20"/>
  <c r="D115" i="20"/>
  <c r="C115" i="20"/>
  <c r="S114" i="20"/>
  <c r="R114" i="20"/>
  <c r="Q114" i="20"/>
  <c r="P114" i="20"/>
  <c r="O114" i="20"/>
  <c r="N114" i="20"/>
  <c r="M114" i="20"/>
  <c r="L114" i="20"/>
  <c r="K114" i="20"/>
  <c r="J114" i="20"/>
  <c r="I114" i="20"/>
  <c r="H114" i="20"/>
  <c r="G114" i="20"/>
  <c r="F114" i="20"/>
  <c r="E114" i="20"/>
  <c r="E109" i="20" s="1"/>
  <c r="S113" i="20"/>
  <c r="R113" i="20"/>
  <c r="Q113" i="20"/>
  <c r="P113" i="20"/>
  <c r="O113" i="20"/>
  <c r="N113" i="20"/>
  <c r="M113" i="20"/>
  <c r="M109" i="20" s="1"/>
  <c r="S111" i="20"/>
  <c r="R111" i="20"/>
  <c r="Q111" i="20"/>
  <c r="P111" i="20"/>
  <c r="O111" i="20"/>
  <c r="N111" i="20"/>
  <c r="M111" i="20"/>
  <c r="L111" i="20"/>
  <c r="K111" i="20"/>
  <c r="J111" i="20"/>
  <c r="I111" i="20"/>
  <c r="H111" i="20"/>
  <c r="G111" i="20"/>
  <c r="F111" i="20"/>
  <c r="E111" i="20"/>
  <c r="S110" i="20"/>
  <c r="R110" i="20"/>
  <c r="Q110" i="20"/>
  <c r="Q109" i="20" s="1"/>
  <c r="P110" i="20"/>
  <c r="O110" i="20"/>
  <c r="N110" i="20"/>
  <c r="N109" i="20" s="1"/>
  <c r="M110" i="20"/>
  <c r="L110" i="20"/>
  <c r="K110" i="20"/>
  <c r="J110" i="20"/>
  <c r="I110" i="20"/>
  <c r="I109" i="20" s="1"/>
  <c r="H110" i="20"/>
  <c r="G110" i="20"/>
  <c r="F110" i="20"/>
  <c r="F109" i="20" s="1"/>
  <c r="E110" i="20"/>
  <c r="V109" i="20"/>
  <c r="W109" i="20" s="1"/>
  <c r="P109" i="20"/>
  <c r="O109" i="20"/>
  <c r="L109" i="20"/>
  <c r="H109" i="20"/>
  <c r="G109" i="20"/>
  <c r="D109" i="20"/>
  <c r="C109" i="20"/>
  <c r="V105" i="20"/>
  <c r="W105" i="20" s="1"/>
  <c r="S105" i="20"/>
  <c r="R105" i="20"/>
  <c r="Q105" i="20"/>
  <c r="P105" i="20"/>
  <c r="O105" i="20"/>
  <c r="N105" i="20"/>
  <c r="M105" i="20"/>
  <c r="L105" i="20"/>
  <c r="K105" i="20"/>
  <c r="J105" i="20"/>
  <c r="I105" i="20"/>
  <c r="H105" i="20"/>
  <c r="G105" i="20"/>
  <c r="F105" i="20"/>
  <c r="E105" i="20"/>
  <c r="D105" i="20"/>
  <c r="C105" i="20"/>
  <c r="S103" i="20"/>
  <c r="R103" i="20"/>
  <c r="Q103" i="20"/>
  <c r="P103" i="20"/>
  <c r="O103" i="20"/>
  <c r="N103" i="20"/>
  <c r="M103" i="20"/>
  <c r="L103" i="20"/>
  <c r="K103" i="20"/>
  <c r="J103" i="20"/>
  <c r="I103" i="20"/>
  <c r="I100" i="20" s="1"/>
  <c r="H103" i="20"/>
  <c r="G103" i="20"/>
  <c r="F103" i="20"/>
  <c r="E103" i="20"/>
  <c r="E100" i="20" s="1"/>
  <c r="S101" i="20"/>
  <c r="R101" i="20"/>
  <c r="R100" i="20" s="1"/>
  <c r="Q101" i="20"/>
  <c r="Q100" i="20" s="1"/>
  <c r="P101" i="20"/>
  <c r="O101" i="20"/>
  <c r="N101" i="20"/>
  <c r="N100" i="20" s="1"/>
  <c r="M101" i="20"/>
  <c r="L101" i="20"/>
  <c r="V100" i="20"/>
  <c r="S100" i="20"/>
  <c r="P100" i="20"/>
  <c r="O100" i="20"/>
  <c r="L100" i="20"/>
  <c r="K100" i="20"/>
  <c r="J100" i="20"/>
  <c r="H100" i="20"/>
  <c r="G100" i="20"/>
  <c r="F100" i="20"/>
  <c r="D100" i="20"/>
  <c r="C100" i="20"/>
  <c r="S99" i="20"/>
  <c r="R99" i="20"/>
  <c r="R95" i="20" s="1"/>
  <c r="Q99" i="20"/>
  <c r="P99" i="20"/>
  <c r="O99" i="20"/>
  <c r="N99" i="20"/>
  <c r="M99" i="20"/>
  <c r="M95" i="20" s="1"/>
  <c r="L99" i="20"/>
  <c r="K99" i="20"/>
  <c r="J99" i="20"/>
  <c r="J95" i="20" s="1"/>
  <c r="I99" i="20"/>
  <c r="H99" i="20"/>
  <c r="G99" i="20"/>
  <c r="F99" i="20"/>
  <c r="E99" i="20"/>
  <c r="E95" i="20" s="1"/>
  <c r="S97" i="20"/>
  <c r="R97" i="20"/>
  <c r="Q97" i="20"/>
  <c r="P97" i="20"/>
  <c r="O97" i="20"/>
  <c r="N97" i="20"/>
  <c r="M97" i="20"/>
  <c r="L97" i="20"/>
  <c r="K97" i="20"/>
  <c r="J97" i="20"/>
  <c r="I97" i="20"/>
  <c r="H97" i="20"/>
  <c r="G97" i="20"/>
  <c r="F97" i="20"/>
  <c r="E97" i="20"/>
  <c r="S96" i="20"/>
  <c r="R96" i="20"/>
  <c r="Q96" i="20"/>
  <c r="P96" i="20"/>
  <c r="O96" i="20"/>
  <c r="O95" i="20" s="1"/>
  <c r="N96" i="20"/>
  <c r="M96" i="20"/>
  <c r="L96" i="20"/>
  <c r="K96" i="20"/>
  <c r="K95" i="20" s="1"/>
  <c r="V95" i="20"/>
  <c r="W95" i="20" s="1"/>
  <c r="Q95" i="20"/>
  <c r="P95" i="20"/>
  <c r="N95" i="20"/>
  <c r="L95" i="20"/>
  <c r="I95" i="20"/>
  <c r="H95" i="20"/>
  <c r="G95" i="20"/>
  <c r="F95" i="20"/>
  <c r="D95" i="20"/>
  <c r="C95" i="20"/>
  <c r="S94" i="20"/>
  <c r="R94" i="20"/>
  <c r="Q94" i="20"/>
  <c r="P94" i="20"/>
  <c r="O94" i="20"/>
  <c r="N94" i="20"/>
  <c r="M94" i="20"/>
  <c r="S93" i="20"/>
  <c r="R93" i="20"/>
  <c r="Q93" i="20"/>
  <c r="P93" i="20"/>
  <c r="P91" i="20" s="1"/>
  <c r="O93" i="20"/>
  <c r="N93" i="20"/>
  <c r="M93" i="20"/>
  <c r="L93" i="20"/>
  <c r="K93" i="20"/>
  <c r="J93" i="20"/>
  <c r="I93" i="20"/>
  <c r="H93" i="20"/>
  <c r="H91" i="20" s="1"/>
  <c r="G93" i="20"/>
  <c r="F93" i="20"/>
  <c r="E93" i="20"/>
  <c r="D93" i="20"/>
  <c r="V91" i="20"/>
  <c r="S91" i="20"/>
  <c r="R91" i="20"/>
  <c r="Q91" i="20"/>
  <c r="O91" i="20"/>
  <c r="N91" i="20"/>
  <c r="M91" i="20"/>
  <c r="L91" i="20"/>
  <c r="K91" i="20"/>
  <c r="J91" i="20"/>
  <c r="I91" i="20"/>
  <c r="G91" i="20"/>
  <c r="F91" i="20"/>
  <c r="E91" i="20"/>
  <c r="D91" i="20"/>
  <c r="C91" i="20"/>
  <c r="S90" i="20"/>
  <c r="R90" i="20"/>
  <c r="Q90" i="20"/>
  <c r="P90" i="20"/>
  <c r="P88" i="20" s="1"/>
  <c r="O90" i="20"/>
  <c r="N90" i="20"/>
  <c r="M90" i="20"/>
  <c r="M88" i="20" s="1"/>
  <c r="L90" i="20"/>
  <c r="K90" i="20"/>
  <c r="J90" i="20"/>
  <c r="I90" i="20"/>
  <c r="H90" i="20"/>
  <c r="H88" i="20" s="1"/>
  <c r="G90" i="20"/>
  <c r="F90" i="20"/>
  <c r="E90" i="20"/>
  <c r="E88" i="20" s="1"/>
  <c r="D90" i="20"/>
  <c r="S89" i="20"/>
  <c r="R89" i="20"/>
  <c r="Q89" i="20"/>
  <c r="Q88" i="20" s="1"/>
  <c r="P89" i="20"/>
  <c r="O89" i="20"/>
  <c r="N89" i="20"/>
  <c r="N88" i="20" s="1"/>
  <c r="M89" i="20"/>
  <c r="L89" i="20"/>
  <c r="K89" i="20"/>
  <c r="J89" i="20"/>
  <c r="I89" i="20"/>
  <c r="I88" i="20" s="1"/>
  <c r="H89" i="20"/>
  <c r="G89" i="20"/>
  <c r="F89" i="20"/>
  <c r="F88" i="20" s="1"/>
  <c r="E89" i="20"/>
  <c r="V88" i="20"/>
  <c r="W88" i="20" s="1"/>
  <c r="S88" i="20"/>
  <c r="R88" i="20"/>
  <c r="O88" i="20"/>
  <c r="L88" i="20"/>
  <c r="K88" i="20"/>
  <c r="J88" i="20"/>
  <c r="G88" i="20"/>
  <c r="D88" i="20"/>
  <c r="C88" i="20"/>
  <c r="S87" i="20"/>
  <c r="R87" i="20"/>
  <c r="Q87" i="20"/>
  <c r="Q86" i="20" s="1"/>
  <c r="P87" i="20"/>
  <c r="O87" i="20"/>
  <c r="N87" i="20"/>
  <c r="M87" i="20"/>
  <c r="L87" i="20"/>
  <c r="L86" i="20" s="1"/>
  <c r="K87" i="20"/>
  <c r="J87" i="20"/>
  <c r="I87" i="20"/>
  <c r="I86" i="20" s="1"/>
  <c r="H87" i="20"/>
  <c r="G87" i="20"/>
  <c r="F87" i="20"/>
  <c r="E87" i="20"/>
  <c r="D87" i="20"/>
  <c r="D86" i="20" s="1"/>
  <c r="V86" i="20"/>
  <c r="W86" i="20" s="1"/>
  <c r="S86" i="20"/>
  <c r="R86" i="20"/>
  <c r="P86" i="20"/>
  <c r="O86" i="20"/>
  <c r="N86" i="20"/>
  <c r="M86" i="20"/>
  <c r="K86" i="20"/>
  <c r="J86" i="20"/>
  <c r="H86" i="20"/>
  <c r="G86" i="20"/>
  <c r="F86" i="20"/>
  <c r="E86" i="20"/>
  <c r="C86" i="20"/>
  <c r="S84" i="20"/>
  <c r="R84" i="20"/>
  <c r="Q84" i="20"/>
  <c r="P84" i="20"/>
  <c r="O84" i="20"/>
  <c r="N84" i="20"/>
  <c r="M84" i="20"/>
  <c r="M80" i="20" s="1"/>
  <c r="L84" i="20"/>
  <c r="K84" i="20"/>
  <c r="J84" i="20"/>
  <c r="I84" i="20"/>
  <c r="H84" i="20"/>
  <c r="H80" i="20" s="1"/>
  <c r="G84" i="20"/>
  <c r="F84" i="20"/>
  <c r="E84" i="20"/>
  <c r="E80" i="20" s="1"/>
  <c r="D84" i="20"/>
  <c r="S81" i="20"/>
  <c r="R81" i="20"/>
  <c r="Q81" i="20"/>
  <c r="P81" i="20"/>
  <c r="P80" i="20" s="1"/>
  <c r="O81" i="20"/>
  <c r="N81" i="20"/>
  <c r="M81" i="20"/>
  <c r="L81" i="20"/>
  <c r="K81" i="20"/>
  <c r="V80" i="20"/>
  <c r="W80" i="20" s="1"/>
  <c r="S80" i="20"/>
  <c r="R80" i="20"/>
  <c r="Q80" i="20"/>
  <c r="O80" i="20"/>
  <c r="N80" i="20"/>
  <c r="L80" i="20"/>
  <c r="K80" i="20"/>
  <c r="J80" i="20"/>
  <c r="I80" i="20"/>
  <c r="G80" i="20"/>
  <c r="F80" i="20"/>
  <c r="D80" i="20"/>
  <c r="C80" i="20"/>
  <c r="V73" i="20"/>
  <c r="W73" i="20" s="1"/>
  <c r="S73" i="20"/>
  <c r="R73" i="20"/>
  <c r="Q73" i="20"/>
  <c r="P73" i="20"/>
  <c r="O73" i="20"/>
  <c r="AI73" i="20" s="1"/>
  <c r="N73" i="20"/>
  <c r="M73" i="20"/>
  <c r="L73" i="20"/>
  <c r="K73" i="20"/>
  <c r="J73" i="20"/>
  <c r="AD73" i="20" s="1"/>
  <c r="I73" i="20"/>
  <c r="H73" i="20"/>
  <c r="G73" i="20"/>
  <c r="AA73" i="20" s="1"/>
  <c r="F73" i="20"/>
  <c r="E73" i="20"/>
  <c r="D73" i="20"/>
  <c r="C73" i="20"/>
  <c r="V71" i="20"/>
  <c r="P71" i="20"/>
  <c r="H71" i="20"/>
  <c r="S69" i="20"/>
  <c r="R69" i="20"/>
  <c r="R132" i="20" s="1"/>
  <c r="Q69" i="20"/>
  <c r="Q132" i="20" s="1"/>
  <c r="P69" i="20"/>
  <c r="P132" i="20" s="1"/>
  <c r="O69" i="20"/>
  <c r="O71" i="20" s="1"/>
  <c r="N69" i="20"/>
  <c r="N132" i="20" s="1"/>
  <c r="M69" i="20"/>
  <c r="M132" i="20" s="1"/>
  <c r="L69" i="20"/>
  <c r="L132" i="20" s="1"/>
  <c r="K69" i="20"/>
  <c r="J69" i="20"/>
  <c r="J132" i="20" s="1"/>
  <c r="I69" i="20"/>
  <c r="I132" i="20" s="1"/>
  <c r="H69" i="20"/>
  <c r="H132" i="20" s="1"/>
  <c r="G69" i="20"/>
  <c r="G71" i="20" s="1"/>
  <c r="F69" i="20"/>
  <c r="F132" i="20" s="1"/>
  <c r="E69" i="20"/>
  <c r="E132" i="20" s="1"/>
  <c r="D69" i="20"/>
  <c r="D132" i="20" s="1"/>
  <c r="C69" i="20"/>
  <c r="Y67" i="20"/>
  <c r="S67" i="20"/>
  <c r="R67" i="20"/>
  <c r="R131" i="20" s="1"/>
  <c r="R137" i="20" s="1"/>
  <c r="Q67" i="20"/>
  <c r="Q131" i="20" s="1"/>
  <c r="P67" i="20"/>
  <c r="P131" i="20" s="1"/>
  <c r="O67" i="20"/>
  <c r="O131" i="20" s="1"/>
  <c r="O137" i="20" s="1"/>
  <c r="N67" i="20"/>
  <c r="N131" i="20" s="1"/>
  <c r="N137" i="20" s="1"/>
  <c r="M67" i="20"/>
  <c r="M131" i="20" s="1"/>
  <c r="L67" i="20"/>
  <c r="L131" i="20" s="1"/>
  <c r="K67" i="20"/>
  <c r="K131" i="20" s="1"/>
  <c r="J67" i="20"/>
  <c r="J131" i="20" s="1"/>
  <c r="J137" i="20" s="1"/>
  <c r="I67" i="20"/>
  <c r="I131" i="20" s="1"/>
  <c r="H67" i="20"/>
  <c r="H131" i="20" s="1"/>
  <c r="G67" i="20"/>
  <c r="G131" i="20" s="1"/>
  <c r="F67" i="20"/>
  <c r="F131" i="20" s="1"/>
  <c r="F137" i="20" s="1"/>
  <c r="E67" i="20"/>
  <c r="E131" i="20" s="1"/>
  <c r="D67" i="20"/>
  <c r="D131" i="20" s="1"/>
  <c r="Y65" i="20"/>
  <c r="X65" i="20"/>
  <c r="S61" i="20"/>
  <c r="R61" i="20"/>
  <c r="Q61" i="20"/>
  <c r="P61" i="20"/>
  <c r="O61" i="20"/>
  <c r="N61" i="20"/>
  <c r="S60" i="20"/>
  <c r="R60" i="20"/>
  <c r="Q60" i="20"/>
  <c r="P60" i="20"/>
  <c r="O60" i="20"/>
  <c r="N60" i="20"/>
  <c r="M60" i="20"/>
  <c r="L60" i="20"/>
  <c r="K60" i="20"/>
  <c r="J60" i="20"/>
  <c r="I60" i="20"/>
  <c r="H60" i="20"/>
  <c r="G60" i="20"/>
  <c r="F60" i="20"/>
  <c r="E60" i="20"/>
  <c r="D60" i="20"/>
  <c r="S59" i="20"/>
  <c r="R59" i="20"/>
  <c r="Q59" i="20"/>
  <c r="P59" i="20"/>
  <c r="O59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C58" i="20"/>
  <c r="S57" i="20"/>
  <c r="R57" i="20"/>
  <c r="Q57" i="20"/>
  <c r="P57" i="20"/>
  <c r="O57" i="20"/>
  <c r="N57" i="20"/>
  <c r="M57" i="20"/>
  <c r="L57" i="20"/>
  <c r="K57" i="20"/>
  <c r="S55" i="20"/>
  <c r="R55" i="20"/>
  <c r="Q55" i="20"/>
  <c r="Q39" i="20" s="1"/>
  <c r="P55" i="20"/>
  <c r="O55" i="20"/>
  <c r="N55" i="20"/>
  <c r="M55" i="20"/>
  <c r="L55" i="20"/>
  <c r="K55" i="20"/>
  <c r="J55" i="20"/>
  <c r="I55" i="20"/>
  <c r="I39" i="20" s="1"/>
  <c r="H55" i="20"/>
  <c r="G55" i="20"/>
  <c r="F55" i="20"/>
  <c r="E55" i="20"/>
  <c r="D55" i="20"/>
  <c r="C55" i="20"/>
  <c r="S53" i="20"/>
  <c r="R53" i="20"/>
  <c r="Q53" i="20"/>
  <c r="P53" i="20"/>
  <c r="O53" i="20"/>
  <c r="N53" i="20"/>
  <c r="M53" i="20"/>
  <c r="L53" i="20"/>
  <c r="K53" i="20"/>
  <c r="S45" i="20"/>
  <c r="R45" i="20"/>
  <c r="Q45" i="20"/>
  <c r="P45" i="20"/>
  <c r="O45" i="20"/>
  <c r="N45" i="20"/>
  <c r="N39" i="20" s="1"/>
  <c r="M45" i="20"/>
  <c r="L45" i="20"/>
  <c r="K45" i="20"/>
  <c r="J45" i="20"/>
  <c r="I45" i="20"/>
  <c r="H45" i="20"/>
  <c r="G45" i="20"/>
  <c r="F45" i="20"/>
  <c r="E45" i="20"/>
  <c r="D45" i="20"/>
  <c r="S44" i="20"/>
  <c r="R44" i="20"/>
  <c r="Q44" i="20"/>
  <c r="P44" i="20"/>
  <c r="O44" i="20"/>
  <c r="O39" i="20" s="1"/>
  <c r="N44" i="20"/>
  <c r="M44" i="20"/>
  <c r="L44" i="20"/>
  <c r="K44" i="20"/>
  <c r="J44" i="20"/>
  <c r="I44" i="20"/>
  <c r="S43" i="20"/>
  <c r="R43" i="20"/>
  <c r="Q43" i="20"/>
  <c r="P43" i="20"/>
  <c r="O43" i="20"/>
  <c r="N43" i="20"/>
  <c r="M43" i="20"/>
  <c r="L43" i="20"/>
  <c r="K43" i="20"/>
  <c r="K39" i="20" s="1"/>
  <c r="J43" i="20"/>
  <c r="I43" i="20"/>
  <c r="H43" i="20"/>
  <c r="H39" i="20" s="1"/>
  <c r="G43" i="20"/>
  <c r="F43" i="20"/>
  <c r="E43" i="20"/>
  <c r="D43" i="20"/>
  <c r="C43" i="20"/>
  <c r="C39" i="20" s="1"/>
  <c r="S42" i="20"/>
  <c r="R42" i="20"/>
  <c r="R39" i="20" s="1"/>
  <c r="S41" i="20"/>
  <c r="R41" i="20"/>
  <c r="Q41" i="20"/>
  <c r="P41" i="20"/>
  <c r="P39" i="20" s="1"/>
  <c r="O41" i="20"/>
  <c r="N41" i="20"/>
  <c r="M41" i="20"/>
  <c r="L41" i="20"/>
  <c r="K41" i="20"/>
  <c r="S40" i="20"/>
  <c r="V39" i="20"/>
  <c r="W39" i="20" s="1"/>
  <c r="M39" i="20"/>
  <c r="G39" i="20"/>
  <c r="F39" i="20"/>
  <c r="E39" i="20"/>
  <c r="D39" i="20"/>
  <c r="S38" i="20"/>
  <c r="R38" i="20"/>
  <c r="Q38" i="20"/>
  <c r="P38" i="20"/>
  <c r="O38" i="20"/>
  <c r="N38" i="20"/>
  <c r="M38" i="20"/>
  <c r="L38" i="20"/>
  <c r="K38" i="20"/>
  <c r="J38" i="20"/>
  <c r="I38" i="20"/>
  <c r="Y37" i="20"/>
  <c r="S37" i="20"/>
  <c r="X37" i="20" s="1"/>
  <c r="R37" i="20"/>
  <c r="O37" i="20"/>
  <c r="N37" i="20"/>
  <c r="K37" i="20"/>
  <c r="J37" i="20"/>
  <c r="G37" i="20"/>
  <c r="F37" i="20"/>
  <c r="C37" i="20"/>
  <c r="C33" i="20" s="1"/>
  <c r="S36" i="20"/>
  <c r="R36" i="20"/>
  <c r="Q36" i="20"/>
  <c r="Q37" i="20" s="1"/>
  <c r="Q33" i="20" s="1"/>
  <c r="P36" i="20"/>
  <c r="P37" i="20" s="1"/>
  <c r="P33" i="20" s="1"/>
  <c r="O36" i="20"/>
  <c r="N36" i="20"/>
  <c r="M36" i="20"/>
  <c r="M37" i="20" s="1"/>
  <c r="M33" i="20" s="1"/>
  <c r="L36" i="20"/>
  <c r="L37" i="20" s="1"/>
  <c r="L33" i="20" s="1"/>
  <c r="K36" i="20"/>
  <c r="J36" i="20"/>
  <c r="I36" i="20"/>
  <c r="I37" i="20" s="1"/>
  <c r="I33" i="20" s="1"/>
  <c r="H36" i="20"/>
  <c r="H37" i="20" s="1"/>
  <c r="H33" i="20" s="1"/>
  <c r="G36" i="20"/>
  <c r="F36" i="20"/>
  <c r="E36" i="20"/>
  <c r="E37" i="20" s="1"/>
  <c r="E33" i="20" s="1"/>
  <c r="D36" i="20"/>
  <c r="D37" i="20" s="1"/>
  <c r="D33" i="20" s="1"/>
  <c r="S34" i="20"/>
  <c r="S33" i="20" s="1"/>
  <c r="R34" i="20"/>
  <c r="R33" i="20" s="1"/>
  <c r="Q34" i="20"/>
  <c r="P34" i="20"/>
  <c r="O34" i="20"/>
  <c r="O33" i="20" s="1"/>
  <c r="N34" i="20"/>
  <c r="N33" i="20" s="1"/>
  <c r="M34" i="20"/>
  <c r="L34" i="20"/>
  <c r="K34" i="20"/>
  <c r="K33" i="20" s="1"/>
  <c r="J34" i="20"/>
  <c r="J33" i="20" s="1"/>
  <c r="I34" i="20"/>
  <c r="H34" i="20"/>
  <c r="G34" i="20"/>
  <c r="F34" i="20"/>
  <c r="F33" i="20" s="1"/>
  <c r="E34" i="20"/>
  <c r="D34" i="20"/>
  <c r="V33" i="20"/>
  <c r="W33" i="20" s="1"/>
  <c r="Y31" i="20"/>
  <c r="X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C31" i="20"/>
  <c r="Y30" i="20"/>
  <c r="Y38" i="20" s="1"/>
  <c r="X30" i="20"/>
  <c r="S17" i="20"/>
  <c r="R17" i="20"/>
  <c r="Q17" i="20"/>
  <c r="P17" i="20"/>
  <c r="Y16" i="20"/>
  <c r="X16" i="20"/>
  <c r="S15" i="20"/>
  <c r="R15" i="20"/>
  <c r="R11" i="20" s="1"/>
  <c r="Q15" i="20"/>
  <c r="P15" i="20"/>
  <c r="O15" i="20"/>
  <c r="N15" i="20"/>
  <c r="N11" i="20" s="1"/>
  <c r="M15" i="20"/>
  <c r="L15" i="20"/>
  <c r="K15" i="20"/>
  <c r="J15" i="20"/>
  <c r="J11" i="20" s="1"/>
  <c r="I15" i="20"/>
  <c r="H15" i="20"/>
  <c r="G15" i="20"/>
  <c r="F15" i="20"/>
  <c r="F11" i="20" s="1"/>
  <c r="E15" i="20"/>
  <c r="D15" i="20"/>
  <c r="S12" i="20"/>
  <c r="R12" i="20"/>
  <c r="Q12" i="20"/>
  <c r="Q11" i="20" s="1"/>
  <c r="P12" i="20"/>
  <c r="P11" i="20" s="1"/>
  <c r="O12" i="20"/>
  <c r="N12" i="20"/>
  <c r="M12" i="20"/>
  <c r="M11" i="20" s="1"/>
  <c r="L12" i="20"/>
  <c r="L11" i="20" s="1"/>
  <c r="K12" i="20"/>
  <c r="J12" i="20"/>
  <c r="I12" i="20"/>
  <c r="I11" i="20" s="1"/>
  <c r="H12" i="20"/>
  <c r="H11" i="20" s="1"/>
  <c r="G12" i="20"/>
  <c r="F12" i="20"/>
  <c r="E12" i="20"/>
  <c r="E11" i="20" s="1"/>
  <c r="D12" i="20"/>
  <c r="D11" i="20" s="1"/>
  <c r="V11" i="20"/>
  <c r="W11" i="20" s="1"/>
  <c r="S11" i="20"/>
  <c r="O11" i="20"/>
  <c r="K11" i="20"/>
  <c r="G11" i="20"/>
  <c r="C11" i="20"/>
  <c r="Y10" i="20"/>
  <c r="X10" i="20"/>
  <c r="S4" i="20"/>
  <c r="R4" i="20"/>
  <c r="Q4" i="20"/>
  <c r="Q3" i="20" s="1"/>
  <c r="P4" i="20"/>
  <c r="P3" i="20" s="1"/>
  <c r="V3" i="20"/>
  <c r="S3" i="20"/>
  <c r="R3" i="20"/>
  <c r="O3" i="20"/>
  <c r="N3" i="20"/>
  <c r="M3" i="20"/>
  <c r="L3" i="20"/>
  <c r="K3" i="20"/>
  <c r="J3" i="20"/>
  <c r="I3" i="20"/>
  <c r="H3" i="20"/>
  <c r="G3" i="20"/>
  <c r="F3" i="20"/>
  <c r="E3" i="20"/>
  <c r="D3" i="20"/>
  <c r="C3" i="20"/>
  <c r="G59" i="10"/>
  <c r="G56" i="10"/>
  <c r="G55" i="10" s="1"/>
  <c r="G24" i="10"/>
  <c r="G18" i="10"/>
  <c r="G16" i="10"/>
  <c r="G7" i="10"/>
  <c r="V243" i="22" l="1"/>
  <c r="V227" i="22"/>
  <c r="V234" i="22" s="1"/>
  <c r="V244" i="22"/>
  <c r="AS243" i="22"/>
  <c r="AR240" i="22"/>
  <c r="AJ240" i="22"/>
  <c r="AR243" i="22"/>
  <c r="R227" i="22"/>
  <c r="R234" i="22" s="1"/>
  <c r="E227" i="22"/>
  <c r="E234" i="22" s="1"/>
  <c r="S227" i="22"/>
  <c r="S234" i="22" s="1"/>
  <c r="AL236" i="22"/>
  <c r="P239" i="22"/>
  <c r="AF236" i="22"/>
  <c r="J239" i="22"/>
  <c r="J242" i="22" s="1"/>
  <c r="G240" i="22"/>
  <c r="G243" i="22" s="1"/>
  <c r="AC237" i="22"/>
  <c r="AQ240" i="22"/>
  <c r="D240" i="22"/>
  <c r="Z240" i="22" s="1"/>
  <c r="Z237" i="22"/>
  <c r="F240" i="22"/>
  <c r="F243" i="22" s="1"/>
  <c r="AB237" i="22"/>
  <c r="P240" i="22"/>
  <c r="AL240" i="22" s="1"/>
  <c r="AL237" i="22"/>
  <c r="U239" i="22"/>
  <c r="AR239" i="22" s="1"/>
  <c r="AQ236" i="22"/>
  <c r="S240" i="22"/>
  <c r="AO237" i="22"/>
  <c r="H240" i="22"/>
  <c r="AD237" i="22"/>
  <c r="Q227" i="22"/>
  <c r="Q234" i="22" s="1"/>
  <c r="AG236" i="22"/>
  <c r="K239" i="22"/>
  <c r="AH237" i="22"/>
  <c r="L240" i="22"/>
  <c r="AH240" i="22" s="1"/>
  <c r="M239" i="22"/>
  <c r="M242" i="22" s="1"/>
  <c r="AI236" i="22"/>
  <c r="Q240" i="22"/>
  <c r="AM237" i="22"/>
  <c r="AP236" i="22"/>
  <c r="T239" i="22"/>
  <c r="T242" i="22" s="1"/>
  <c r="N243" i="22"/>
  <c r="AK243" i="22" s="1"/>
  <c r="E239" i="22"/>
  <c r="E242" i="22" s="1"/>
  <c r="AA236" i="22"/>
  <c r="F236" i="22"/>
  <c r="F227" i="22"/>
  <c r="F234" i="22" s="1"/>
  <c r="AH236" i="22"/>
  <c r="L239" i="22"/>
  <c r="E240" i="22"/>
  <c r="AA237" i="22"/>
  <c r="Q239" i="22"/>
  <c r="Q242" i="22" s="1"/>
  <c r="AM236" i="22"/>
  <c r="O234" i="22"/>
  <c r="Z227" i="22"/>
  <c r="AN237" i="22"/>
  <c r="R240" i="22"/>
  <c r="R239" i="22"/>
  <c r="R242" i="22" s="1"/>
  <c r="AN236" i="22"/>
  <c r="S239" i="22"/>
  <c r="AO236" i="22"/>
  <c r="L227" i="22"/>
  <c r="L234" i="22" s="1"/>
  <c r="I239" i="22"/>
  <c r="I242" i="22" s="1"/>
  <c r="K243" i="22"/>
  <c r="X237" i="22"/>
  <c r="X227" i="22"/>
  <c r="X234" i="22" s="1"/>
  <c r="X245" i="22" s="1"/>
  <c r="D239" i="22"/>
  <c r="Z239" i="22" s="1"/>
  <c r="Z236" i="22"/>
  <c r="AI237" i="22"/>
  <c r="O239" i="22"/>
  <c r="O242" i="22" s="1"/>
  <c r="AK240" i="22"/>
  <c r="G227" i="22"/>
  <c r="G234" i="22" s="1"/>
  <c r="G236" i="22"/>
  <c r="AQ243" i="22"/>
  <c r="N227" i="22"/>
  <c r="N234" i="22" s="1"/>
  <c r="N236" i="22"/>
  <c r="AF237" i="22"/>
  <c r="J240" i="22"/>
  <c r="AF240" i="22" s="1"/>
  <c r="P227" i="22"/>
  <c r="P234" i="22" s="1"/>
  <c r="H236" i="22"/>
  <c r="H227" i="22"/>
  <c r="H234" i="22" s="1"/>
  <c r="J227" i="22"/>
  <c r="J234" i="22" s="1"/>
  <c r="D227" i="22"/>
  <c r="D234" i="22" s="1"/>
  <c r="M243" i="22"/>
  <c r="I243" i="22"/>
  <c r="U242" i="20"/>
  <c r="E137" i="20"/>
  <c r="M137" i="20"/>
  <c r="Q142" i="20"/>
  <c r="G33" i="20"/>
  <c r="AC73" i="20"/>
  <c r="I130" i="20"/>
  <c r="AC130" i="20" s="1"/>
  <c r="AE73" i="20"/>
  <c r="AF215" i="20"/>
  <c r="W215" i="20"/>
  <c r="AH142" i="20"/>
  <c r="AH215" i="20"/>
  <c r="W141" i="20"/>
  <c r="AB142" i="20"/>
  <c r="X169" i="20"/>
  <c r="AD215" i="20"/>
  <c r="W149" i="20"/>
  <c r="C228" i="20"/>
  <c r="X215" i="20"/>
  <c r="AG215" i="20"/>
  <c r="Y142" i="20"/>
  <c r="W132" i="20"/>
  <c r="AK73" i="20"/>
  <c r="AD142" i="20"/>
  <c r="AE215" i="20"/>
  <c r="AM73" i="20"/>
  <c r="N231" i="20"/>
  <c r="W100" i="20"/>
  <c r="G21" i="10"/>
  <c r="G25" i="10" s="1"/>
  <c r="T130" i="20"/>
  <c r="T169" i="20"/>
  <c r="W169" i="20" s="1"/>
  <c r="W184" i="20"/>
  <c r="T143" i="20"/>
  <c r="T68" i="20"/>
  <c r="T75" i="20" s="1"/>
  <c r="T223" i="20" s="1"/>
  <c r="T234" i="20" s="1"/>
  <c r="X142" i="20"/>
  <c r="E130" i="20"/>
  <c r="Y130" i="20" s="1"/>
  <c r="AC142" i="20"/>
  <c r="N68" i="20"/>
  <c r="V130" i="20"/>
  <c r="H130" i="20"/>
  <c r="D227" i="20"/>
  <c r="N227" i="20"/>
  <c r="Z73" i="20"/>
  <c r="AH73" i="20"/>
  <c r="AL73" i="20"/>
  <c r="Y169" i="20"/>
  <c r="Q68" i="20"/>
  <c r="AK68" i="20" s="1"/>
  <c r="AB73" i="20"/>
  <c r="AJ73" i="20"/>
  <c r="D130" i="20"/>
  <c r="Z142" i="20"/>
  <c r="V228" i="20"/>
  <c r="I137" i="20"/>
  <c r="I143" i="20" s="1"/>
  <c r="Q137" i="20"/>
  <c r="Q143" i="20" s="1"/>
  <c r="F68" i="20"/>
  <c r="J143" i="20"/>
  <c r="P68" i="20"/>
  <c r="O68" i="20"/>
  <c r="F143" i="20"/>
  <c r="Z143" i="20" s="1"/>
  <c r="Z137" i="20"/>
  <c r="H68" i="20"/>
  <c r="J39" i="20"/>
  <c r="J68" i="20" s="1"/>
  <c r="G137" i="20"/>
  <c r="O143" i="20"/>
  <c r="AI137" i="20"/>
  <c r="F130" i="20"/>
  <c r="Q130" i="20"/>
  <c r="M100" i="20"/>
  <c r="M130" i="20" s="1"/>
  <c r="E226" i="20"/>
  <c r="E228" i="20" s="1"/>
  <c r="Y149" i="20"/>
  <c r="M226" i="20"/>
  <c r="M228" i="20" s="1"/>
  <c r="AG149" i="20"/>
  <c r="I226" i="20"/>
  <c r="AD149" i="20"/>
  <c r="AB201" i="20"/>
  <c r="AA215" i="20"/>
  <c r="G230" i="20"/>
  <c r="O230" i="20"/>
  <c r="AI215" i="20"/>
  <c r="AK215" i="20"/>
  <c r="Q230" i="20"/>
  <c r="N228" i="20"/>
  <c r="I68" i="20"/>
  <c r="H137" i="20"/>
  <c r="P137" i="20"/>
  <c r="P130" i="20"/>
  <c r="G115" i="20"/>
  <c r="G130" i="20" s="1"/>
  <c r="O115" i="20"/>
  <c r="O130" i="20" s="1"/>
  <c r="K227" i="20"/>
  <c r="K228" i="20" s="1"/>
  <c r="AE169" i="20"/>
  <c r="S227" i="20"/>
  <c r="S228" i="20" s="1"/>
  <c r="AM169" i="20"/>
  <c r="R68" i="20"/>
  <c r="C132" i="20"/>
  <c r="C137" i="20" s="1"/>
  <c r="C143" i="20" s="1"/>
  <c r="C71" i="20"/>
  <c r="C74" i="20" s="1"/>
  <c r="K132" i="20"/>
  <c r="K137" i="20" s="1"/>
  <c r="K71" i="20"/>
  <c r="S132" i="20"/>
  <c r="S71" i="20"/>
  <c r="G229" i="20"/>
  <c r="AA201" i="20"/>
  <c r="O229" i="20"/>
  <c r="O231" i="20" s="1"/>
  <c r="AI201" i="20"/>
  <c r="K68" i="20"/>
  <c r="Y73" i="20"/>
  <c r="X73" i="20"/>
  <c r="AG73" i="20"/>
  <c r="AF73" i="20"/>
  <c r="V74" i="20"/>
  <c r="W74" i="20" s="1"/>
  <c r="S95" i="20"/>
  <c r="I227" i="20"/>
  <c r="P229" i="20"/>
  <c r="AJ201" i="20"/>
  <c r="C68" i="20"/>
  <c r="D68" i="20"/>
  <c r="L68" i="20"/>
  <c r="V68" i="20"/>
  <c r="W68" i="20" s="1"/>
  <c r="H74" i="20"/>
  <c r="AB71" i="20"/>
  <c r="L226" i="20"/>
  <c r="AF149" i="20"/>
  <c r="G169" i="20"/>
  <c r="R227" i="20"/>
  <c r="R228" i="20" s="1"/>
  <c r="AL169" i="20"/>
  <c r="E68" i="20"/>
  <c r="M68" i="20"/>
  <c r="D137" i="20"/>
  <c r="L137" i="20"/>
  <c r="P74" i="20"/>
  <c r="AJ71" i="20"/>
  <c r="L130" i="20"/>
  <c r="J109" i="20"/>
  <c r="J130" i="20" s="1"/>
  <c r="R109" i="20"/>
  <c r="R130" i="20" s="1"/>
  <c r="S115" i="20"/>
  <c r="AC201" i="20"/>
  <c r="I229" i="20"/>
  <c r="AK201" i="20"/>
  <c r="Q229" i="20"/>
  <c r="L39" i="20"/>
  <c r="E143" i="20"/>
  <c r="M143" i="20"/>
  <c r="AG137" i="20"/>
  <c r="G74" i="20"/>
  <c r="O74" i="20"/>
  <c r="C130" i="20"/>
  <c r="N130" i="20"/>
  <c r="K109" i="20"/>
  <c r="K130" i="20" s="1"/>
  <c r="S109" i="20"/>
  <c r="S124" i="20"/>
  <c r="G68" i="20"/>
  <c r="N143" i="20"/>
  <c r="AH137" i="20"/>
  <c r="O227" i="20"/>
  <c r="AI169" i="20"/>
  <c r="AL201" i="20"/>
  <c r="R229" i="20"/>
  <c r="S39" i="20"/>
  <c r="S68" i="20" s="1"/>
  <c r="I71" i="20"/>
  <c r="Q71" i="20"/>
  <c r="S131" i="20"/>
  <c r="AA142" i="20"/>
  <c r="V143" i="20"/>
  <c r="J227" i="20"/>
  <c r="J228" i="20" s="1"/>
  <c r="AD169" i="20"/>
  <c r="AF169" i="20"/>
  <c r="AH201" i="20"/>
  <c r="AB215" i="20"/>
  <c r="AJ215" i="20"/>
  <c r="J71" i="20"/>
  <c r="R71" i="20"/>
  <c r="Q228" i="20"/>
  <c r="AE149" i="20"/>
  <c r="X211" i="20"/>
  <c r="AC215" i="20"/>
  <c r="I230" i="20"/>
  <c r="H229" i="20"/>
  <c r="H230" i="20"/>
  <c r="X67" i="20"/>
  <c r="AE142" i="20"/>
  <c r="D71" i="20"/>
  <c r="L71" i="20"/>
  <c r="D226" i="20"/>
  <c r="D228" i="20" s="1"/>
  <c r="X149" i="20"/>
  <c r="AH149" i="20"/>
  <c r="Z149" i="20"/>
  <c r="AG169" i="20"/>
  <c r="F169" i="20"/>
  <c r="K201" i="20"/>
  <c r="X207" i="20"/>
  <c r="S201" i="20"/>
  <c r="X217" i="20"/>
  <c r="R215" i="20"/>
  <c r="E71" i="20"/>
  <c r="M71" i="20"/>
  <c r="P142" i="20"/>
  <c r="AJ142" i="20" s="1"/>
  <c r="AI142" i="20"/>
  <c r="O149" i="20"/>
  <c r="G149" i="20"/>
  <c r="P169" i="20"/>
  <c r="H169" i="20"/>
  <c r="Z201" i="20"/>
  <c r="S230" i="20"/>
  <c r="F226" i="20"/>
  <c r="P230" i="20"/>
  <c r="F71" i="20"/>
  <c r="AA71" i="20" s="1"/>
  <c r="N71" i="20"/>
  <c r="AI71" i="20" s="1"/>
  <c r="AM149" i="20"/>
  <c r="P149" i="20"/>
  <c r="H149" i="20"/>
  <c r="AD201" i="20"/>
  <c r="Y201" i="20"/>
  <c r="E229" i="20"/>
  <c r="E231" i="20" s="1"/>
  <c r="AG201" i="20"/>
  <c r="M229" i="20"/>
  <c r="M231" i="20" s="1"/>
  <c r="D201" i="20"/>
  <c r="L201" i="20"/>
  <c r="L227" i="20"/>
  <c r="R142" i="20"/>
  <c r="AL142" i="20" s="1"/>
  <c r="V229" i="20"/>
  <c r="V231" i="20" s="1"/>
  <c r="J230" i="20"/>
  <c r="J231" i="20" s="1"/>
  <c r="K230" i="20"/>
  <c r="D230" i="20"/>
  <c r="L230" i="20"/>
  <c r="G29" i="10"/>
  <c r="G61" i="10" s="1"/>
  <c r="G64" i="10" s="1"/>
  <c r="C65" i="8"/>
  <c r="F65" i="8"/>
  <c r="F62" i="8"/>
  <c r="C62" i="8"/>
  <c r="F60" i="8"/>
  <c r="G43" i="11"/>
  <c r="G35" i="11"/>
  <c r="G29" i="11"/>
  <c r="G19" i="11"/>
  <c r="G12" i="11"/>
  <c r="G7" i="11"/>
  <c r="AG239" i="22" l="1"/>
  <c r="D242" i="22"/>
  <c r="Z242" i="22" s="1"/>
  <c r="AO239" i="22"/>
  <c r="O244" i="22"/>
  <c r="AM240" i="22"/>
  <c r="AD240" i="22"/>
  <c r="AN239" i="22"/>
  <c r="AC240" i="22"/>
  <c r="AL239" i="22"/>
  <c r="AQ239" i="22"/>
  <c r="AN242" i="22"/>
  <c r="AA239" i="22"/>
  <c r="AF239" i="22"/>
  <c r="G239" i="22"/>
  <c r="G242" i="22" s="1"/>
  <c r="G244" i="22" s="1"/>
  <c r="AC236" i="22"/>
  <c r="AN240" i="22"/>
  <c r="AI240" i="22"/>
  <c r="F239" i="22"/>
  <c r="AB239" i="22" s="1"/>
  <c r="AB236" i="22"/>
  <c r="Q243" i="22"/>
  <c r="P243" i="22"/>
  <c r="D243" i="22"/>
  <c r="AF242" i="22"/>
  <c r="J243" i="22"/>
  <c r="R243" i="22"/>
  <c r="L243" i="22"/>
  <c r="AI243" i="22" s="1"/>
  <c r="AG240" i="22"/>
  <c r="P242" i="22"/>
  <c r="AL242" i="22" s="1"/>
  <c r="I244" i="22"/>
  <c r="M244" i="22"/>
  <c r="S242" i="22"/>
  <c r="AO242" i="22" s="1"/>
  <c r="AE240" i="22"/>
  <c r="AD236" i="22"/>
  <c r="H239" i="22"/>
  <c r="H242" i="22" s="1"/>
  <c r="AO240" i="22"/>
  <c r="N239" i="22"/>
  <c r="AJ239" i="22" s="1"/>
  <c r="AJ236" i="22"/>
  <c r="AK236" i="22"/>
  <c r="K244" i="22"/>
  <c r="AP240" i="22"/>
  <c r="AH239" i="22"/>
  <c r="AJ243" i="22"/>
  <c r="K242" i="22"/>
  <c r="AG242" i="22" s="1"/>
  <c r="S243" i="22"/>
  <c r="AC243" i="22"/>
  <c r="AE236" i="22"/>
  <c r="L242" i="22"/>
  <c r="AI242" i="22" s="1"/>
  <c r="AP239" i="22"/>
  <c r="AB240" i="22"/>
  <c r="AA240" i="22"/>
  <c r="X240" i="22"/>
  <c r="X243" i="22" s="1"/>
  <c r="X244" i="22" s="1"/>
  <c r="E243" i="22"/>
  <c r="AB243" i="22" s="1"/>
  <c r="AM239" i="22"/>
  <c r="AI239" i="22"/>
  <c r="H243" i="22"/>
  <c r="U242" i="22"/>
  <c r="AR242" i="22" s="1"/>
  <c r="T244" i="22"/>
  <c r="AH68" i="20"/>
  <c r="W130" i="20"/>
  <c r="AL137" i="20"/>
  <c r="Q231" i="20"/>
  <c r="AD137" i="20"/>
  <c r="I144" i="20"/>
  <c r="V144" i="20"/>
  <c r="W143" i="20"/>
  <c r="C75" i="20"/>
  <c r="C223" i="20" s="1"/>
  <c r="C234" i="20" s="1"/>
  <c r="I231" i="20"/>
  <c r="L228" i="20"/>
  <c r="AK137" i="20"/>
  <c r="G65" i="10"/>
  <c r="T144" i="20"/>
  <c r="T227" i="20"/>
  <c r="T228" i="20" s="1"/>
  <c r="T237" i="20"/>
  <c r="T240" i="20" s="1"/>
  <c r="AD143" i="20"/>
  <c r="E144" i="20"/>
  <c r="E224" i="20" s="1"/>
  <c r="E235" i="20" s="1"/>
  <c r="AB74" i="20"/>
  <c r="J144" i="20"/>
  <c r="AD130" i="20"/>
  <c r="V224" i="20"/>
  <c r="V235" i="20" s="1"/>
  <c r="K143" i="20"/>
  <c r="AE143" i="20" s="1"/>
  <c r="AE137" i="20"/>
  <c r="AE130" i="20"/>
  <c r="AL130" i="20"/>
  <c r="O144" i="20"/>
  <c r="AI130" i="20"/>
  <c r="H227" i="20"/>
  <c r="AB169" i="20"/>
  <c r="AL215" i="20"/>
  <c r="R230" i="20"/>
  <c r="R231" i="20" s="1"/>
  <c r="AC169" i="20"/>
  <c r="AK130" i="20"/>
  <c r="Q144" i="20"/>
  <c r="P227" i="20"/>
  <c r="AJ169" i="20"/>
  <c r="AL71" i="20"/>
  <c r="R74" i="20"/>
  <c r="R75" i="20" s="1"/>
  <c r="N144" i="20"/>
  <c r="AH130" i="20"/>
  <c r="AF68" i="20"/>
  <c r="AM71" i="20"/>
  <c r="S74" i="20"/>
  <c r="I228" i="20"/>
  <c r="R143" i="20"/>
  <c r="AL143" i="20" s="1"/>
  <c r="AK169" i="20"/>
  <c r="F74" i="20"/>
  <c r="Z71" i="20"/>
  <c r="AA149" i="20"/>
  <c r="G226" i="20"/>
  <c r="AM201" i="20"/>
  <c r="S229" i="20"/>
  <c r="S231" i="20" s="1"/>
  <c r="H231" i="20"/>
  <c r="AD71" i="20"/>
  <c r="J74" i="20"/>
  <c r="AA68" i="20"/>
  <c r="G75" i="20"/>
  <c r="C144" i="20"/>
  <c r="C224" i="20" s="1"/>
  <c r="C235" i="20" s="1"/>
  <c r="AG68" i="20"/>
  <c r="X68" i="20"/>
  <c r="G231" i="20"/>
  <c r="AJ130" i="20"/>
  <c r="AI68" i="20"/>
  <c r="O75" i="20"/>
  <c r="AI149" i="20"/>
  <c r="O226" i="20"/>
  <c r="O228" i="20" s="1"/>
  <c r="X132" i="20"/>
  <c r="S137" i="20"/>
  <c r="Y68" i="20"/>
  <c r="AE71" i="20"/>
  <c r="K74" i="20"/>
  <c r="AE74" i="20" s="1"/>
  <c r="AI143" i="20"/>
  <c r="AJ68" i="20"/>
  <c r="P75" i="20"/>
  <c r="AF71" i="20"/>
  <c r="L74" i="20"/>
  <c r="L75" i="20" s="1"/>
  <c r="AF130" i="20"/>
  <c r="X71" i="20"/>
  <c r="D74" i="20"/>
  <c r="X74" i="20" s="1"/>
  <c r="S130" i="20"/>
  <c r="P143" i="20"/>
  <c r="AJ143" i="20" s="1"/>
  <c r="AJ137" i="20"/>
  <c r="AK71" i="20"/>
  <c r="Q74" i="20"/>
  <c r="AM68" i="20"/>
  <c r="AA130" i="20"/>
  <c r="G143" i="20"/>
  <c r="AA143" i="20" s="1"/>
  <c r="AA137" i="20"/>
  <c r="AB149" i="20"/>
  <c r="H226" i="20"/>
  <c r="AC149" i="20"/>
  <c r="AE201" i="20"/>
  <c r="K229" i="20"/>
  <c r="K231" i="20" s="1"/>
  <c r="AC71" i="20"/>
  <c r="I74" i="20"/>
  <c r="AC74" i="20" s="1"/>
  <c r="L229" i="20"/>
  <c r="L231" i="20" s="1"/>
  <c r="AF201" i="20"/>
  <c r="AJ149" i="20"/>
  <c r="AK149" i="20"/>
  <c r="P226" i="20"/>
  <c r="AM215" i="20"/>
  <c r="AG71" i="20"/>
  <c r="M74" i="20"/>
  <c r="Z169" i="20"/>
  <c r="F227" i="20"/>
  <c r="F228" i="20" s="1"/>
  <c r="X130" i="20"/>
  <c r="AJ74" i="20"/>
  <c r="G227" i="20"/>
  <c r="AA169" i="20"/>
  <c r="AB130" i="20"/>
  <c r="AE68" i="20"/>
  <c r="I224" i="20"/>
  <c r="I235" i="20" s="1"/>
  <c r="H143" i="20"/>
  <c r="AC143" i="20" s="1"/>
  <c r="AB137" i="20"/>
  <c r="AM142" i="20"/>
  <c r="AC137" i="20"/>
  <c r="D229" i="20"/>
  <c r="D231" i="20" s="1"/>
  <c r="X201" i="20"/>
  <c r="Y71" i="20"/>
  <c r="E74" i="20"/>
  <c r="Y74" i="20" s="1"/>
  <c r="L143" i="20"/>
  <c r="AF143" i="20" s="1"/>
  <c r="AF137" i="20"/>
  <c r="P231" i="20"/>
  <c r="AL68" i="20"/>
  <c r="AK142" i="20"/>
  <c r="AC68" i="20"/>
  <c r="M144" i="20"/>
  <c r="AG130" i="20"/>
  <c r="AB68" i="20"/>
  <c r="H75" i="20"/>
  <c r="X137" i="20"/>
  <c r="D143" i="20"/>
  <c r="V75" i="20"/>
  <c r="W75" i="20" s="1"/>
  <c r="AD68" i="20"/>
  <c r="Z68" i="20"/>
  <c r="F75" i="20"/>
  <c r="N74" i="20"/>
  <c r="AH71" i="20"/>
  <c r="AH143" i="20"/>
  <c r="Y137" i="20"/>
  <c r="F144" i="20"/>
  <c r="Z130" i="20"/>
  <c r="Y143" i="20"/>
  <c r="G22" i="11"/>
  <c r="G25" i="11" s="1"/>
  <c r="G46" i="11"/>
  <c r="G49" i="11" s="1"/>
  <c r="K36" i="10"/>
  <c r="K46" i="10"/>
  <c r="K40" i="10"/>
  <c r="K42" i="10"/>
  <c r="K41" i="10"/>
  <c r="K45" i="10"/>
  <c r="K44" i="10"/>
  <c r="K38" i="10"/>
  <c r="K39" i="10"/>
  <c r="K37" i="10"/>
  <c r="K34" i="10"/>
  <c r="K33" i="10"/>
  <c r="K43" i="10"/>
  <c r="K32" i="10"/>
  <c r="K35" i="10"/>
  <c r="K31" i="10"/>
  <c r="L13" i="10"/>
  <c r="K54" i="10"/>
  <c r="K51" i="10"/>
  <c r="K50" i="10" s="1"/>
  <c r="K25" i="10"/>
  <c r="K19" i="10"/>
  <c r="K17" i="10"/>
  <c r="K7" i="10"/>
  <c r="D85" i="8"/>
  <c r="J85" i="8" s="1"/>
  <c r="D84" i="8"/>
  <c r="D86" i="8" s="1"/>
  <c r="G83" i="8"/>
  <c r="G82" i="8"/>
  <c r="F82" i="8"/>
  <c r="I80" i="8"/>
  <c r="H80" i="8"/>
  <c r="G80" i="8"/>
  <c r="F80" i="8"/>
  <c r="E80" i="8"/>
  <c r="D80" i="8"/>
  <c r="C80" i="8"/>
  <c r="J79" i="8"/>
  <c r="J80" i="8" s="1"/>
  <c r="H78" i="8"/>
  <c r="H81" i="8" s="1"/>
  <c r="J77" i="8"/>
  <c r="C77" i="8"/>
  <c r="K77" i="8" s="1"/>
  <c r="L76" i="8"/>
  <c r="D76" i="8"/>
  <c r="J76" i="8" s="1"/>
  <c r="C76" i="8"/>
  <c r="J75" i="8"/>
  <c r="C75" i="8"/>
  <c r="K75" i="8" s="1"/>
  <c r="J74" i="8"/>
  <c r="K74" i="8" s="1"/>
  <c r="L73" i="8"/>
  <c r="J73" i="8"/>
  <c r="K73" i="8" s="1"/>
  <c r="G72" i="8"/>
  <c r="G78" i="8" s="1"/>
  <c r="G81" i="8" s="1"/>
  <c r="F72" i="8"/>
  <c r="C72" i="8"/>
  <c r="M70" i="8"/>
  <c r="E71" i="8"/>
  <c r="E78" i="8" s="1"/>
  <c r="D71" i="8"/>
  <c r="J71" i="8" s="1"/>
  <c r="K71" i="8" s="1"/>
  <c r="J70" i="8"/>
  <c r="C70" i="8"/>
  <c r="F69" i="8"/>
  <c r="J69" i="8" s="1"/>
  <c r="C69" i="8"/>
  <c r="F68" i="8"/>
  <c r="J68" i="8" s="1"/>
  <c r="K68" i="8" s="1"/>
  <c r="J67" i="8"/>
  <c r="K67" i="8" s="1"/>
  <c r="J66" i="8"/>
  <c r="K66" i="8" s="1"/>
  <c r="J65" i="8"/>
  <c r="K65" i="8"/>
  <c r="F64" i="8"/>
  <c r="D64" i="8"/>
  <c r="C64" i="8"/>
  <c r="O62" i="8"/>
  <c r="F63" i="8"/>
  <c r="J63" i="8" s="1"/>
  <c r="C63" i="8"/>
  <c r="K63" i="8" s="1"/>
  <c r="D62" i="8"/>
  <c r="J62" i="8" s="1"/>
  <c r="L62" i="8"/>
  <c r="F61" i="8"/>
  <c r="D61" i="8"/>
  <c r="C61" i="8"/>
  <c r="J60" i="8"/>
  <c r="C60" i="8"/>
  <c r="F59" i="8"/>
  <c r="J59" i="8" s="1"/>
  <c r="C59" i="8"/>
  <c r="F58" i="8"/>
  <c r="J58" i="8" s="1"/>
  <c r="C58" i="8"/>
  <c r="J57" i="8"/>
  <c r="F57" i="8"/>
  <c r="C57" i="8"/>
  <c r="L56" i="8"/>
  <c r="D56" i="8"/>
  <c r="J56" i="8" s="1"/>
  <c r="K56" i="8" s="1"/>
  <c r="J55" i="8"/>
  <c r="K55" i="8" s="1"/>
  <c r="I54" i="8"/>
  <c r="I53" i="8"/>
  <c r="J53" i="8" s="1"/>
  <c r="C53" i="8"/>
  <c r="P50" i="8"/>
  <c r="P61" i="8" s="1"/>
  <c r="O50" i="8"/>
  <c r="L51" i="8"/>
  <c r="J51" i="8"/>
  <c r="K51" i="8" s="1"/>
  <c r="O49" i="8"/>
  <c r="J50" i="8"/>
  <c r="J49" i="8"/>
  <c r="K49" i="8" s="1"/>
  <c r="AM242" i="22" l="1"/>
  <c r="AA242" i="22"/>
  <c r="F242" i="22"/>
  <c r="AB242" i="22" s="1"/>
  <c r="J64" i="8"/>
  <c r="K64" i="8" s="1"/>
  <c r="K58" i="8"/>
  <c r="I78" i="8"/>
  <c r="I81" i="8" s="1"/>
  <c r="K57" i="8"/>
  <c r="F78" i="8"/>
  <c r="F81" i="8" s="1"/>
  <c r="F83" i="8" s="1"/>
  <c r="L59" i="8"/>
  <c r="J61" i="8"/>
  <c r="K61" i="8" s="1"/>
  <c r="K76" i="8"/>
  <c r="E81" i="8"/>
  <c r="K59" i="8"/>
  <c r="C78" i="8"/>
  <c r="C81" i="8" s="1"/>
  <c r="K53" i="8"/>
  <c r="K70" i="8"/>
  <c r="O61" i="8"/>
  <c r="L71" i="8"/>
  <c r="J72" i="8"/>
  <c r="K72" i="8" s="1"/>
  <c r="AD242" i="22"/>
  <c r="AH242" i="22"/>
  <c r="AP242" i="22"/>
  <c r="AD239" i="22"/>
  <c r="AQ242" i="22"/>
  <c r="U244" i="22"/>
  <c r="AD243" i="22"/>
  <c r="H244" i="22"/>
  <c r="AN243" i="22"/>
  <c r="R244" i="22"/>
  <c r="AF243" i="22"/>
  <c r="J244" i="22"/>
  <c r="AE243" i="22"/>
  <c r="AE239" i="22"/>
  <c r="S244" i="22"/>
  <c r="AO243" i="22"/>
  <c r="AP243" i="22"/>
  <c r="D244" i="22"/>
  <c r="Z243" i="22"/>
  <c r="F244" i="22"/>
  <c r="AG243" i="22"/>
  <c r="E244" i="22"/>
  <c r="AA243" i="22"/>
  <c r="N242" i="22"/>
  <c r="AL243" i="22"/>
  <c r="P244" i="22"/>
  <c r="AE242" i="22"/>
  <c r="AK239" i="22"/>
  <c r="AH243" i="22"/>
  <c r="L244" i="22"/>
  <c r="AM243" i="22"/>
  <c r="Q244" i="22"/>
  <c r="AC239" i="22"/>
  <c r="AM74" i="20"/>
  <c r="S75" i="20"/>
  <c r="K144" i="20"/>
  <c r="T224" i="20"/>
  <c r="W144" i="20"/>
  <c r="AD74" i="20"/>
  <c r="Z74" i="20"/>
  <c r="I75" i="20"/>
  <c r="AC75" i="20" s="1"/>
  <c r="AG143" i="20"/>
  <c r="R144" i="20"/>
  <c r="R224" i="20" s="1"/>
  <c r="R235" i="20" s="1"/>
  <c r="AG74" i="20"/>
  <c r="C225" i="20"/>
  <c r="C232" i="20" s="1"/>
  <c r="AK74" i="20"/>
  <c r="Q75" i="20"/>
  <c r="AL75" i="20" s="1"/>
  <c r="N224" i="20"/>
  <c r="N235" i="20" s="1"/>
  <c r="AH144" i="20"/>
  <c r="V223" i="20"/>
  <c r="M224" i="20"/>
  <c r="M235" i="20" s="1"/>
  <c r="C237" i="20"/>
  <c r="C240" i="20" s="1"/>
  <c r="O223" i="20"/>
  <c r="M75" i="20"/>
  <c r="AL74" i="20"/>
  <c r="E238" i="20"/>
  <c r="E241" i="20" s="1"/>
  <c r="AB143" i="20"/>
  <c r="H144" i="20"/>
  <c r="L144" i="20"/>
  <c r="AG144" i="20" s="1"/>
  <c r="C238" i="20"/>
  <c r="C241" i="20" s="1"/>
  <c r="G228" i="20"/>
  <c r="J224" i="20"/>
  <c r="J235" i="20" s="1"/>
  <c r="AD144" i="20"/>
  <c r="X143" i="20"/>
  <c r="D144" i="20"/>
  <c r="AA74" i="20"/>
  <c r="P228" i="20"/>
  <c r="G144" i="20"/>
  <c r="AK143" i="20"/>
  <c r="AF74" i="20"/>
  <c r="E75" i="20"/>
  <c r="Z75" i="20" s="1"/>
  <c r="P144" i="20"/>
  <c r="AA75" i="20"/>
  <c r="G223" i="20"/>
  <c r="K145" i="20"/>
  <c r="AE144" i="20"/>
  <c r="K224" i="20"/>
  <c r="K235" i="20" s="1"/>
  <c r="AH74" i="20"/>
  <c r="N75" i="20"/>
  <c r="AI75" i="20" s="1"/>
  <c r="I238" i="20"/>
  <c r="I241" i="20" s="1"/>
  <c r="AM137" i="20"/>
  <c r="S143" i="20"/>
  <c r="S144" i="20" s="1"/>
  <c r="F223" i="20"/>
  <c r="R223" i="20"/>
  <c r="K75" i="20"/>
  <c r="AF75" i="20" s="1"/>
  <c r="S223" i="20"/>
  <c r="AM75" i="20"/>
  <c r="P223" i="20"/>
  <c r="AJ75" i="20"/>
  <c r="Q224" i="20"/>
  <c r="Q235" i="20" s="1"/>
  <c r="AK144" i="20"/>
  <c r="H223" i="20"/>
  <c r="AB75" i="20"/>
  <c r="AM130" i="20"/>
  <c r="L223" i="20"/>
  <c r="O224" i="20"/>
  <c r="O235" i="20" s="1"/>
  <c r="AI144" i="20"/>
  <c r="F224" i="20"/>
  <c r="F235" i="20" s="1"/>
  <c r="Z144" i="20"/>
  <c r="J75" i="20"/>
  <c r="H228" i="20"/>
  <c r="AI74" i="20"/>
  <c r="D75" i="20"/>
  <c r="V238" i="20"/>
  <c r="V241" i="20" s="1"/>
  <c r="K22" i="10"/>
  <c r="K26" i="10" s="1"/>
  <c r="G50" i="11"/>
  <c r="K60" i="8"/>
  <c r="K30" i="10"/>
  <c r="K56" i="10" s="1"/>
  <c r="K59" i="10" s="1"/>
  <c r="K80" i="8"/>
  <c r="K50" i="8"/>
  <c r="J54" i="8"/>
  <c r="K54" i="8" s="1"/>
  <c r="L66" i="8"/>
  <c r="J52" i="8"/>
  <c r="K52" i="8" s="1"/>
  <c r="K69" i="8"/>
  <c r="K62" i="8"/>
  <c r="D78" i="8"/>
  <c r="D81" i="8" s="1"/>
  <c r="D87" i="8" s="1"/>
  <c r="K79" i="8"/>
  <c r="J84" i="8"/>
  <c r="AJ233" i="18"/>
  <c r="AJ232" i="18"/>
  <c r="AH229" i="18"/>
  <c r="AI229" i="18"/>
  <c r="AH230" i="18"/>
  <c r="AI230" i="18"/>
  <c r="AH232" i="18"/>
  <c r="AI232" i="18"/>
  <c r="AH233" i="18"/>
  <c r="AI233" i="18"/>
  <c r="AH235" i="18"/>
  <c r="AI235" i="18"/>
  <c r="AH236" i="18"/>
  <c r="AI236" i="18"/>
  <c r="AC242" i="22" l="1"/>
  <c r="K60" i="10"/>
  <c r="AJ242" i="22"/>
  <c r="N244" i="22"/>
  <c r="AK242" i="22"/>
  <c r="I223" i="20"/>
  <c r="T235" i="20"/>
  <c r="T238" i="20" s="1"/>
  <c r="T241" i="20" s="1"/>
  <c r="T225" i="20"/>
  <c r="T232" i="20" s="1"/>
  <c r="AL144" i="20"/>
  <c r="C242" i="20"/>
  <c r="F238" i="20"/>
  <c r="Z238" i="20" s="1"/>
  <c r="Z235" i="20"/>
  <c r="F241" i="20"/>
  <c r="K223" i="20"/>
  <c r="AE75" i="20"/>
  <c r="G234" i="20"/>
  <c r="AF144" i="20"/>
  <c r="L224" i="20"/>
  <c r="L235" i="20" s="1"/>
  <c r="AG235" i="20" s="1"/>
  <c r="S224" i="20"/>
  <c r="S235" i="20" s="1"/>
  <c r="AM144" i="20"/>
  <c r="S234" i="20"/>
  <c r="AN234" i="20" s="1"/>
  <c r="H234" i="20"/>
  <c r="X144" i="20"/>
  <c r="D224" i="20"/>
  <c r="D235" i="20" s="1"/>
  <c r="Y144" i="20"/>
  <c r="H224" i="20"/>
  <c r="H235" i="20" s="1"/>
  <c r="AB144" i="20"/>
  <c r="AC144" i="20"/>
  <c r="M223" i="20"/>
  <c r="AG75" i="20"/>
  <c r="V234" i="20"/>
  <c r="V225" i="20"/>
  <c r="V232" i="20" s="1"/>
  <c r="V243" i="20" s="1"/>
  <c r="O238" i="20"/>
  <c r="AI235" i="20"/>
  <c r="R225" i="20"/>
  <c r="R232" i="20" s="1"/>
  <c r="R234" i="20"/>
  <c r="P224" i="20"/>
  <c r="P235" i="20" s="1"/>
  <c r="AK235" i="20" s="1"/>
  <c r="AJ144" i="20"/>
  <c r="D223" i="20"/>
  <c r="X75" i="20"/>
  <c r="F234" i="20"/>
  <c r="F225" i="20"/>
  <c r="F232" i="20" s="1"/>
  <c r="O234" i="20"/>
  <c r="O225" i="20"/>
  <c r="L234" i="20"/>
  <c r="AD235" i="20"/>
  <c r="J238" i="20"/>
  <c r="AD238" i="20" s="1"/>
  <c r="I225" i="20"/>
  <c r="I232" i="20" s="1"/>
  <c r="I234" i="20"/>
  <c r="Q238" i="20"/>
  <c r="Q241" i="20" s="1"/>
  <c r="N223" i="20"/>
  <c r="AH75" i="20"/>
  <c r="Y75" i="20"/>
  <c r="E223" i="20"/>
  <c r="AL235" i="20"/>
  <c r="R238" i="20"/>
  <c r="P234" i="20"/>
  <c r="AE235" i="20"/>
  <c r="K238" i="20"/>
  <c r="N238" i="20"/>
  <c r="N241" i="20" s="1"/>
  <c r="AH235" i="20"/>
  <c r="J223" i="20"/>
  <c r="AD75" i="20"/>
  <c r="AM143" i="20"/>
  <c r="G224" i="20"/>
  <c r="G235" i="20" s="1"/>
  <c r="AA144" i="20"/>
  <c r="M238" i="20"/>
  <c r="Q223" i="20"/>
  <c r="AK75" i="20"/>
  <c r="J78" i="8"/>
  <c r="C82" i="8"/>
  <c r="S136" i="18"/>
  <c r="P225" i="20" l="1"/>
  <c r="P232" i="20" s="1"/>
  <c r="AL238" i="20"/>
  <c r="AE238" i="20"/>
  <c r="L225" i="20"/>
  <c r="L232" i="20" s="1"/>
  <c r="T242" i="20"/>
  <c r="H225" i="20"/>
  <c r="H232" i="20" s="1"/>
  <c r="AI238" i="20"/>
  <c r="J234" i="20"/>
  <c r="J225" i="20"/>
  <c r="J232" i="20" s="1"/>
  <c r="X235" i="20"/>
  <c r="D238" i="20"/>
  <c r="Y235" i="20"/>
  <c r="M241" i="20"/>
  <c r="L237" i="20"/>
  <c r="P238" i="20"/>
  <c r="AJ238" i="20" s="1"/>
  <c r="AJ235" i="20"/>
  <c r="V237" i="20"/>
  <c r="V240" i="20" s="1"/>
  <c r="V242" i="20" s="1"/>
  <c r="R241" i="20"/>
  <c r="O232" i="20"/>
  <c r="X225" i="20"/>
  <c r="H237" i="20"/>
  <c r="AB234" i="20"/>
  <c r="AM235" i="20"/>
  <c r="S238" i="20"/>
  <c r="AM238" i="20" s="1"/>
  <c r="K234" i="20"/>
  <c r="AF234" i="20" s="1"/>
  <c r="K225" i="20"/>
  <c r="K232" i="20" s="1"/>
  <c r="N234" i="20"/>
  <c r="N225" i="20"/>
  <c r="N232" i="20" s="1"/>
  <c r="S237" i="20"/>
  <c r="AN237" i="20" s="1"/>
  <c r="AM234" i="20"/>
  <c r="S240" i="20"/>
  <c r="AN240" i="20" s="1"/>
  <c r="E234" i="20"/>
  <c r="E225" i="20"/>
  <c r="E232" i="20" s="1"/>
  <c r="P237" i="20"/>
  <c r="AJ234" i="20"/>
  <c r="D234" i="20"/>
  <c r="D225" i="20"/>
  <c r="D232" i="20" s="1"/>
  <c r="AH238" i="20"/>
  <c r="I237" i="20"/>
  <c r="I240" i="20" s="1"/>
  <c r="AC234" i="20"/>
  <c r="O237" i="20"/>
  <c r="O240" i="20" s="1"/>
  <c r="R237" i="20"/>
  <c r="R240" i="20" s="1"/>
  <c r="M234" i="20"/>
  <c r="M225" i="20"/>
  <c r="M232" i="20" s="1"/>
  <c r="AF235" i="20"/>
  <c r="L238" i="20"/>
  <c r="AF238" i="20" s="1"/>
  <c r="Z241" i="20"/>
  <c r="G238" i="20"/>
  <c r="AA238" i="20" s="1"/>
  <c r="AA235" i="20"/>
  <c r="K241" i="20"/>
  <c r="F237" i="20"/>
  <c r="F240" i="20" s="1"/>
  <c r="F242" i="20" s="1"/>
  <c r="O241" i="20"/>
  <c r="G225" i="20"/>
  <c r="G232" i="20" s="1"/>
  <c r="Q225" i="20"/>
  <c r="Q232" i="20" s="1"/>
  <c r="Q234" i="20"/>
  <c r="AL234" i="20" s="1"/>
  <c r="J241" i="20"/>
  <c r="H238" i="20"/>
  <c r="H241" i="20" s="1"/>
  <c r="AB235" i="20"/>
  <c r="AC235" i="20"/>
  <c r="S225" i="20"/>
  <c r="S232" i="20" s="1"/>
  <c r="G237" i="20"/>
  <c r="G240" i="20" s="1"/>
  <c r="AA234" i="20"/>
  <c r="J81" i="8"/>
  <c r="K81" i="8" s="1"/>
  <c r="K78" i="8"/>
  <c r="V64" i="18"/>
  <c r="U64" i="18"/>
  <c r="V37" i="18"/>
  <c r="U37" i="18"/>
  <c r="V30" i="18"/>
  <c r="U30" i="18"/>
  <c r="V16" i="18"/>
  <c r="U16" i="18"/>
  <c r="V10" i="18"/>
  <c r="U10" i="18"/>
  <c r="U189" i="18"/>
  <c r="U188" i="18"/>
  <c r="U181" i="18"/>
  <c r="U169" i="18"/>
  <c r="V163" i="18"/>
  <c r="V212" i="18"/>
  <c r="V208" i="18"/>
  <c r="V206" i="18"/>
  <c r="V202" i="18"/>
  <c r="T160" i="18"/>
  <c r="T5" i="18"/>
  <c r="T6" i="18"/>
  <c r="T7" i="18"/>
  <c r="T8" i="18"/>
  <c r="T9" i="18"/>
  <c r="T10" i="18"/>
  <c r="T13" i="18"/>
  <c r="T14" i="18"/>
  <c r="T16" i="18"/>
  <c r="T19" i="18"/>
  <c r="T20" i="18"/>
  <c r="T21" i="18"/>
  <c r="T22" i="18"/>
  <c r="T23" i="18"/>
  <c r="T24" i="18"/>
  <c r="T25" i="18"/>
  <c r="T26" i="18"/>
  <c r="T27" i="18"/>
  <c r="T28" i="18"/>
  <c r="T29" i="18"/>
  <c r="T30" i="18"/>
  <c r="T32" i="18"/>
  <c r="T35" i="18"/>
  <c r="T40" i="18"/>
  <c r="T46" i="18"/>
  <c r="T47" i="18"/>
  <c r="T48" i="18"/>
  <c r="T49" i="18"/>
  <c r="T51" i="18"/>
  <c r="T53" i="18"/>
  <c r="T55" i="18"/>
  <c r="T61" i="18"/>
  <c r="T62" i="18"/>
  <c r="T63" i="18"/>
  <c r="T67" i="18"/>
  <c r="T69" i="18"/>
  <c r="T79" i="18"/>
  <c r="T80" i="18"/>
  <c r="T89" i="18"/>
  <c r="T95" i="18"/>
  <c r="T99" i="18"/>
  <c r="T101" i="18"/>
  <c r="T103" i="18"/>
  <c r="T104" i="18"/>
  <c r="T105" i="18"/>
  <c r="T109" i="18"/>
  <c r="T116" i="18"/>
  <c r="T117" i="18"/>
  <c r="T119" i="18"/>
  <c r="T125" i="18"/>
  <c r="T126" i="18"/>
  <c r="T130" i="18"/>
  <c r="T131" i="18"/>
  <c r="T134" i="18"/>
  <c r="T145" i="18"/>
  <c r="T146" i="18"/>
  <c r="T147" i="18"/>
  <c r="T148" i="18"/>
  <c r="T158" i="18"/>
  <c r="T151" i="18"/>
  <c r="T162" i="18"/>
  <c r="T153" i="18"/>
  <c r="T163" i="18"/>
  <c r="T154" i="18"/>
  <c r="T155" i="18"/>
  <c r="T159" i="18"/>
  <c r="T156" i="18"/>
  <c r="T165" i="18"/>
  <c r="T166" i="18"/>
  <c r="T182" i="18"/>
  <c r="T168" i="18"/>
  <c r="T170" i="18"/>
  <c r="T176" i="18"/>
  <c r="T180" i="18"/>
  <c r="T184" i="18"/>
  <c r="T181" i="18"/>
  <c r="T187" i="18"/>
  <c r="T190" i="18"/>
  <c r="T192" i="18"/>
  <c r="T198" i="18"/>
  <c r="T200" i="18"/>
  <c r="T203" i="18"/>
  <c r="T206" i="18"/>
  <c r="T211" i="18"/>
  <c r="T213" i="18"/>
  <c r="AJ237" i="20" l="1"/>
  <c r="S241" i="20"/>
  <c r="AM241" i="20" s="1"/>
  <c r="G241" i="20"/>
  <c r="AM237" i="20"/>
  <c r="AA237" i="20"/>
  <c r="AB237" i="20"/>
  <c r="AA240" i="20"/>
  <c r="AE241" i="20"/>
  <c r="AH234" i="20"/>
  <c r="N237" i="20"/>
  <c r="AG238" i="20"/>
  <c r="Q237" i="20"/>
  <c r="AK237" i="20" s="1"/>
  <c r="AK234" i="20"/>
  <c r="Q240" i="20"/>
  <c r="G242" i="20"/>
  <c r="AA241" i="20"/>
  <c r="I242" i="20"/>
  <c r="AD241" i="20"/>
  <c r="AG234" i="20"/>
  <c r="M237" i="20"/>
  <c r="AG237" i="20" s="1"/>
  <c r="K237" i="20"/>
  <c r="AF237" i="20" s="1"/>
  <c r="AE234" i="20"/>
  <c r="K240" i="20"/>
  <c r="X238" i="20"/>
  <c r="Y238" i="20"/>
  <c r="AC237" i="20"/>
  <c r="Y234" i="20"/>
  <c r="E237" i="20"/>
  <c r="E240" i="20" s="1"/>
  <c r="Z240" i="20" s="1"/>
  <c r="AK238" i="20"/>
  <c r="L240" i="20"/>
  <c r="D241" i="20"/>
  <c r="O242" i="20"/>
  <c r="AI241" i="20"/>
  <c r="AM240" i="20"/>
  <c r="R242" i="20"/>
  <c r="AL241" i="20"/>
  <c r="AB241" i="20"/>
  <c r="AC241" i="20"/>
  <c r="AI234" i="20"/>
  <c r="X234" i="20"/>
  <c r="D237" i="20"/>
  <c r="X237" i="20" s="1"/>
  <c r="H240" i="20"/>
  <c r="AB240" i="20" s="1"/>
  <c r="J237" i="20"/>
  <c r="AD237" i="20" s="1"/>
  <c r="AD234" i="20"/>
  <c r="J240" i="20"/>
  <c r="AD240" i="20" s="1"/>
  <c r="AB238" i="20"/>
  <c r="AC238" i="20"/>
  <c r="Z234" i="20"/>
  <c r="L241" i="20"/>
  <c r="AG241" i="20" s="1"/>
  <c r="P240" i="20"/>
  <c r="AJ240" i="20" s="1"/>
  <c r="P241" i="20"/>
  <c r="AH241" i="20"/>
  <c r="R87" i="18"/>
  <c r="T87" i="18" s="1"/>
  <c r="R78" i="18"/>
  <c r="T78" i="18" s="1"/>
  <c r="R42" i="18"/>
  <c r="T42" i="18" s="1"/>
  <c r="R41" i="18"/>
  <c r="T41" i="18" s="1"/>
  <c r="R178" i="18"/>
  <c r="T178" i="18" s="1"/>
  <c r="Q178" i="18"/>
  <c r="R175" i="18"/>
  <c r="T175" i="18" s="1"/>
  <c r="Q175" i="18"/>
  <c r="O40" i="10"/>
  <c r="O42" i="10"/>
  <c r="O35" i="10"/>
  <c r="O31" i="10"/>
  <c r="O39" i="10"/>
  <c r="O32" i="10"/>
  <c r="O38" i="10"/>
  <c r="O41" i="10"/>
  <c r="O30" i="10"/>
  <c r="O34" i="10"/>
  <c r="O29" i="10"/>
  <c r="O28" i="10"/>
  <c r="O8" i="10"/>
  <c r="C121" i="8"/>
  <c r="C110" i="8"/>
  <c r="C103" i="8"/>
  <c r="O94" i="8"/>
  <c r="K45" i="11"/>
  <c r="K37" i="11"/>
  <c r="K38" i="11"/>
  <c r="K36" i="11"/>
  <c r="K30" i="11"/>
  <c r="AF240" i="20" l="1"/>
  <c r="M240" i="20"/>
  <c r="M242" i="20" s="1"/>
  <c r="AH237" i="20"/>
  <c r="AL237" i="20"/>
  <c r="Y237" i="20"/>
  <c r="S242" i="20"/>
  <c r="AC240" i="20"/>
  <c r="N240" i="20"/>
  <c r="J242" i="20"/>
  <c r="P242" i="20"/>
  <c r="AJ241" i="20"/>
  <c r="AK241" i="20"/>
  <c r="AI237" i="20"/>
  <c r="E242" i="20"/>
  <c r="AE237" i="20"/>
  <c r="AF241" i="20"/>
  <c r="L242" i="20"/>
  <c r="Z237" i="20"/>
  <c r="D240" i="20"/>
  <c r="X240" i="20" s="1"/>
  <c r="AG240" i="20"/>
  <c r="AK240" i="20"/>
  <c r="Q242" i="20"/>
  <c r="AE240" i="20"/>
  <c r="K242" i="20"/>
  <c r="H242" i="20"/>
  <c r="X241" i="20"/>
  <c r="Y241" i="20"/>
  <c r="AL240" i="20"/>
  <c r="F106" i="8"/>
  <c r="F105" i="8"/>
  <c r="D106" i="8"/>
  <c r="D105" i="8"/>
  <c r="C105" i="8"/>
  <c r="C106" i="8"/>
  <c r="H122" i="8"/>
  <c r="F112" i="8"/>
  <c r="L106" i="8" l="1"/>
  <c r="D242" i="20"/>
  <c r="Y240" i="20"/>
  <c r="AH240" i="20"/>
  <c r="N242" i="20"/>
  <c r="AI240" i="20"/>
  <c r="J105" i="8"/>
  <c r="K105" i="8" s="1"/>
  <c r="C108" i="8"/>
  <c r="F108" i="8"/>
  <c r="I98" i="8"/>
  <c r="J98" i="8" s="1"/>
  <c r="K98" i="8" s="1"/>
  <c r="I97" i="8"/>
  <c r="C97" i="8"/>
  <c r="I122" i="8" l="1"/>
  <c r="O106" i="8"/>
  <c r="O10" i="10" l="1"/>
  <c r="O7" i="10" s="1"/>
  <c r="O93" i="8" l="1"/>
  <c r="P94" i="8" l="1"/>
  <c r="G116" i="8" l="1"/>
  <c r="F116" i="8"/>
  <c r="S164" i="18"/>
  <c r="C164" i="18"/>
  <c r="R66" i="18" l="1"/>
  <c r="T66" i="18" s="1"/>
  <c r="Q66" i="18"/>
  <c r="R191" i="18"/>
  <c r="T191" i="18" s="1"/>
  <c r="Q191" i="18"/>
  <c r="R188" i="18"/>
  <c r="T188" i="18" s="1"/>
  <c r="Q188" i="18"/>
  <c r="R186" i="18"/>
  <c r="T186" i="18" s="1"/>
  <c r="Q186" i="18"/>
  <c r="R183" i="18"/>
  <c r="Q183" i="18"/>
  <c r="R177" i="18"/>
  <c r="T177" i="18" s="1"/>
  <c r="R173" i="18"/>
  <c r="T173" i="18" s="1"/>
  <c r="Q177" i="18"/>
  <c r="Q173" i="18"/>
  <c r="F215" i="8" l="1"/>
  <c r="C225" i="8" l="1"/>
  <c r="R172" i="18"/>
  <c r="Q172" i="18"/>
  <c r="R171" i="18"/>
  <c r="T171" i="18" s="1"/>
  <c r="Q171" i="18"/>
  <c r="C113" i="8" l="1"/>
  <c r="F113" i="8"/>
  <c r="K12" i="11"/>
  <c r="R122" i="18" l="1"/>
  <c r="T122" i="18" s="1"/>
  <c r="Q122" i="18"/>
  <c r="R64" i="18"/>
  <c r="R59" i="18"/>
  <c r="T59" i="18" s="1"/>
  <c r="R113" i="18"/>
  <c r="T113" i="18" s="1"/>
  <c r="R212" i="18"/>
  <c r="Q212" i="18"/>
  <c r="Q210" i="18" s="1"/>
  <c r="R209" i="18"/>
  <c r="Q209" i="18"/>
  <c r="Q78" i="18"/>
  <c r="Q81" i="18"/>
  <c r="R81" i="18"/>
  <c r="T81" i="18" s="1"/>
  <c r="Q84" i="18"/>
  <c r="Q83" i="18" s="1"/>
  <c r="R84" i="18"/>
  <c r="Q86" i="18"/>
  <c r="R86" i="18"/>
  <c r="T86" i="18" s="1"/>
  <c r="Q87" i="18"/>
  <c r="Q90" i="18"/>
  <c r="R90" i="18"/>
  <c r="T90" i="18" s="1"/>
  <c r="Q91" i="18"/>
  <c r="R91" i="18"/>
  <c r="T91" i="18" s="1"/>
  <c r="Q93" i="18"/>
  <c r="R93" i="18"/>
  <c r="T93" i="18" s="1"/>
  <c r="Q94" i="18"/>
  <c r="R94" i="18"/>
  <c r="T94" i="18" s="1"/>
  <c r="Q96" i="18"/>
  <c r="R96" i="18"/>
  <c r="T96" i="18" s="1"/>
  <c r="Q98" i="18"/>
  <c r="R98" i="18"/>
  <c r="T98" i="18" s="1"/>
  <c r="Q100" i="18"/>
  <c r="R100" i="18"/>
  <c r="T100" i="18" s="1"/>
  <c r="Q102" i="18"/>
  <c r="R102" i="18"/>
  <c r="Q107" i="18"/>
  <c r="R107" i="18"/>
  <c r="T107" i="18" s="1"/>
  <c r="Q108" i="18"/>
  <c r="R108" i="18"/>
  <c r="T108" i="18" s="1"/>
  <c r="Q110" i="18"/>
  <c r="R110" i="18"/>
  <c r="T110" i="18" s="1"/>
  <c r="Q111" i="18"/>
  <c r="R111" i="18"/>
  <c r="T111" i="18" s="1"/>
  <c r="Q113" i="18"/>
  <c r="Q115" i="18"/>
  <c r="R115" i="18"/>
  <c r="T115" i="18" s="1"/>
  <c r="Q118" i="18"/>
  <c r="R118" i="18"/>
  <c r="T118" i="18" s="1"/>
  <c r="Q120" i="18"/>
  <c r="R120" i="18"/>
  <c r="T120" i="18" s="1"/>
  <c r="Q123" i="18"/>
  <c r="R123" i="18"/>
  <c r="T123" i="18" s="1"/>
  <c r="Q124" i="18"/>
  <c r="R124" i="18"/>
  <c r="T124" i="18" s="1"/>
  <c r="Q132" i="18"/>
  <c r="R132" i="18"/>
  <c r="T132" i="18" s="1"/>
  <c r="Q135" i="18"/>
  <c r="R135" i="18"/>
  <c r="T135" i="18" s="1"/>
  <c r="Q136" i="18"/>
  <c r="R136" i="18"/>
  <c r="T136" i="18" s="1"/>
  <c r="Q197" i="18"/>
  <c r="R197" i="18"/>
  <c r="Q199" i="18"/>
  <c r="R199" i="18"/>
  <c r="Q201" i="18"/>
  <c r="R201" i="18"/>
  <c r="T201" i="18" s="1"/>
  <c r="Q202" i="18"/>
  <c r="R202" i="18"/>
  <c r="T202" i="18" s="1"/>
  <c r="Q204" i="18"/>
  <c r="R204" i="18"/>
  <c r="Q205" i="18"/>
  <c r="R205" i="18"/>
  <c r="T205" i="18" s="1"/>
  <c r="Q208" i="18"/>
  <c r="R208" i="18"/>
  <c r="Q149" i="18"/>
  <c r="R149" i="18"/>
  <c r="Q150" i="18"/>
  <c r="R150" i="18"/>
  <c r="T150" i="18" s="1"/>
  <c r="Q152" i="18"/>
  <c r="R152" i="18"/>
  <c r="T152" i="18" s="1"/>
  <c r="Q161" i="18"/>
  <c r="R161" i="18"/>
  <c r="T161" i="18" s="1"/>
  <c r="Q167" i="18"/>
  <c r="R167" i="18"/>
  <c r="Q169" i="18"/>
  <c r="R169" i="18"/>
  <c r="T169" i="18" s="1"/>
  <c r="Q174" i="18"/>
  <c r="R174" i="18"/>
  <c r="T174" i="18" s="1"/>
  <c r="Q179" i="18"/>
  <c r="R179" i="18"/>
  <c r="T179" i="18" s="1"/>
  <c r="Q189" i="18"/>
  <c r="R189" i="18"/>
  <c r="T189" i="18" s="1"/>
  <c r="Q4" i="18"/>
  <c r="Q3" i="18" s="1"/>
  <c r="R4" i="18"/>
  <c r="Q12" i="18"/>
  <c r="R12" i="18"/>
  <c r="T12" i="18" s="1"/>
  <c r="Q15" i="18"/>
  <c r="R15" i="18"/>
  <c r="T15" i="18" s="1"/>
  <c r="Q17" i="18"/>
  <c r="R17" i="18"/>
  <c r="T17" i="18" s="1"/>
  <c r="Q31" i="18"/>
  <c r="R31" i="18"/>
  <c r="T31" i="18" s="1"/>
  <c r="Q34" i="18"/>
  <c r="R34" i="18"/>
  <c r="T34" i="18" s="1"/>
  <c r="Q36" i="18"/>
  <c r="Q37" i="18" s="1"/>
  <c r="R36" i="18"/>
  <c r="T36" i="18" s="1"/>
  <c r="Q38" i="18"/>
  <c r="R38" i="18"/>
  <c r="T38" i="18" s="1"/>
  <c r="Q41" i="18"/>
  <c r="Q43" i="18"/>
  <c r="R43" i="18"/>
  <c r="T43" i="18" s="1"/>
  <c r="Q44" i="18"/>
  <c r="R44" i="18"/>
  <c r="T44" i="18" s="1"/>
  <c r="Q45" i="18"/>
  <c r="R45" i="18"/>
  <c r="T45" i="18" s="1"/>
  <c r="Q52" i="18"/>
  <c r="R52" i="18"/>
  <c r="T52" i="18" s="1"/>
  <c r="Q54" i="18"/>
  <c r="R54" i="18"/>
  <c r="T54" i="18" s="1"/>
  <c r="Q56" i="18"/>
  <c r="R56" i="18"/>
  <c r="T56" i="18" s="1"/>
  <c r="Q57" i="18"/>
  <c r="R57" i="18"/>
  <c r="T57" i="18" s="1"/>
  <c r="Q58" i="18"/>
  <c r="R58" i="18"/>
  <c r="T58" i="18" s="1"/>
  <c r="Q59" i="18"/>
  <c r="Q60" i="18"/>
  <c r="R60" i="18"/>
  <c r="T60" i="18" s="1"/>
  <c r="Q64" i="18"/>
  <c r="Q128" i="18" s="1"/>
  <c r="Q68" i="18"/>
  <c r="R129" i="18"/>
  <c r="R68" i="18"/>
  <c r="Q70" i="18"/>
  <c r="R70" i="18"/>
  <c r="R210" i="18" l="1"/>
  <c r="U212" i="18"/>
  <c r="T197" i="18"/>
  <c r="U202" i="18"/>
  <c r="T208" i="18"/>
  <c r="U208" i="18"/>
  <c r="U206" i="18"/>
  <c r="U163" i="18"/>
  <c r="R37" i="18"/>
  <c r="T37" i="18" s="1"/>
  <c r="R3" i="18"/>
  <c r="T4" i="18"/>
  <c r="R77" i="18"/>
  <c r="R128" i="18"/>
  <c r="R133" i="18" s="1"/>
  <c r="T64" i="18"/>
  <c r="R83" i="18"/>
  <c r="T84" i="18"/>
  <c r="T204" i="18"/>
  <c r="T167" i="18"/>
  <c r="R164" i="18"/>
  <c r="T164" i="18" s="1"/>
  <c r="T149" i="18"/>
  <c r="Q164" i="18"/>
  <c r="R121" i="18"/>
  <c r="Q129" i="18"/>
  <c r="Q133" i="18" s="1"/>
  <c r="Q92" i="18"/>
  <c r="R97" i="18"/>
  <c r="AI68" i="18"/>
  <c r="Q97" i="18"/>
  <c r="Q77" i="18"/>
  <c r="R225" i="18"/>
  <c r="AI210" i="18"/>
  <c r="Q112" i="18"/>
  <c r="R106" i="18"/>
  <c r="R92" i="18"/>
  <c r="Q71" i="18"/>
  <c r="R85" i="18"/>
  <c r="Q85" i="18"/>
  <c r="Q225" i="18"/>
  <c r="AI70" i="18"/>
  <c r="R112" i="18"/>
  <c r="Q39" i="18"/>
  <c r="Q196" i="18"/>
  <c r="R88" i="18"/>
  <c r="R71" i="18"/>
  <c r="R144" i="18"/>
  <c r="R137" i="18"/>
  <c r="Q88" i="18"/>
  <c r="R11" i="18"/>
  <c r="Q144" i="18"/>
  <c r="Q137" i="18"/>
  <c r="Q11" i="18"/>
  <c r="Q121" i="18"/>
  <c r="Q106" i="18"/>
  <c r="Q33" i="18"/>
  <c r="R39" i="18"/>
  <c r="R196" i="18"/>
  <c r="D128" i="8"/>
  <c r="F103" i="8"/>
  <c r="J99" i="8"/>
  <c r="K99" i="8" s="1"/>
  <c r="F107" i="8"/>
  <c r="C107" i="8"/>
  <c r="C102" i="8"/>
  <c r="L103" i="8" s="1"/>
  <c r="F102" i="8"/>
  <c r="C101" i="8"/>
  <c r="F101" i="8"/>
  <c r="R33" i="18" l="1"/>
  <c r="R65" i="18" s="1"/>
  <c r="R72" i="18" s="1"/>
  <c r="R222" i="18"/>
  <c r="Q127" i="18"/>
  <c r="AI137" i="18"/>
  <c r="R127" i="18"/>
  <c r="Q138" i="18"/>
  <c r="R221" i="18"/>
  <c r="R223" i="18" s="1"/>
  <c r="AI144" i="18"/>
  <c r="AI71" i="18"/>
  <c r="R224" i="18"/>
  <c r="R226" i="18" s="1"/>
  <c r="AI196" i="18"/>
  <c r="Q221" i="18"/>
  <c r="Q65" i="18"/>
  <c r="Q224" i="18"/>
  <c r="Q226" i="18" s="1"/>
  <c r="R138" i="18"/>
  <c r="AI133" i="18"/>
  <c r="Q222" i="18"/>
  <c r="AI164" i="18"/>
  <c r="C115" i="8"/>
  <c r="F115" i="8"/>
  <c r="J110" i="8"/>
  <c r="K110" i="8" s="1"/>
  <c r="J117" i="8"/>
  <c r="K117" i="8" s="1"/>
  <c r="AI127" i="18" l="1"/>
  <c r="Q223" i="18"/>
  <c r="Q72" i="18"/>
  <c r="AI72" i="18" s="1"/>
  <c r="R218" i="18"/>
  <c r="AI138" i="18"/>
  <c r="AI65" i="18"/>
  <c r="R139" i="18"/>
  <c r="Q139" i="18"/>
  <c r="C119" i="8"/>
  <c r="C116" i="8"/>
  <c r="L117" i="8" s="1"/>
  <c r="J112" i="8"/>
  <c r="K112" i="8" s="1"/>
  <c r="J94" i="8"/>
  <c r="K94" i="8" s="1"/>
  <c r="R219" i="18" l="1"/>
  <c r="R230" i="18" s="1"/>
  <c r="AI139" i="18"/>
  <c r="R229" i="18"/>
  <c r="Q219" i="18"/>
  <c r="Q230" i="18" s="1"/>
  <c r="Q233" i="18" s="1"/>
  <c r="Q218" i="18"/>
  <c r="K54" i="11"/>
  <c r="K35" i="11"/>
  <c r="K29" i="11"/>
  <c r="K19" i="11"/>
  <c r="K7" i="11"/>
  <c r="R220" i="18" l="1"/>
  <c r="R227" i="18" s="1"/>
  <c r="Q220" i="18"/>
  <c r="Q227" i="18" s="1"/>
  <c r="Q229" i="18"/>
  <c r="R232" i="18"/>
  <c r="R235" i="18" s="1"/>
  <c r="Q236" i="18"/>
  <c r="R233" i="18"/>
  <c r="K57" i="11"/>
  <c r="K60" i="11" s="1"/>
  <c r="K22" i="11"/>
  <c r="K25" i="11" s="1"/>
  <c r="O43" i="10"/>
  <c r="O27" i="10" s="1"/>
  <c r="O50" i="10"/>
  <c r="O47" i="10"/>
  <c r="O46" i="10" s="1"/>
  <c r="O22" i="10"/>
  <c r="O16" i="10"/>
  <c r="O14" i="10"/>
  <c r="O52" i="10" l="1"/>
  <c r="O55" i="10" s="1"/>
  <c r="O19" i="10"/>
  <c r="O23" i="10" s="1"/>
  <c r="Q232" i="18"/>
  <c r="Q235" i="18" s="1"/>
  <c r="R236" i="18"/>
  <c r="K61" i="11"/>
  <c r="O56" i="10" l="1"/>
  <c r="Q237" i="18"/>
  <c r="R237" i="18"/>
  <c r="D129" i="8"/>
  <c r="J129" i="8" s="1"/>
  <c r="J128" i="8"/>
  <c r="G126" i="8"/>
  <c r="F126" i="8"/>
  <c r="G127" i="8" s="1"/>
  <c r="I124" i="8"/>
  <c r="H124" i="8"/>
  <c r="G124" i="8"/>
  <c r="F124" i="8"/>
  <c r="E124" i="8"/>
  <c r="D124" i="8"/>
  <c r="C124" i="8"/>
  <c r="J123" i="8"/>
  <c r="J124" i="8" s="1"/>
  <c r="D120" i="8"/>
  <c r="J120" i="8" s="1"/>
  <c r="C120" i="8"/>
  <c r="L120" i="8" s="1"/>
  <c r="J119" i="8"/>
  <c r="K119" i="8" s="1"/>
  <c r="J118" i="8"/>
  <c r="K118" i="8" s="1"/>
  <c r="M114" i="8"/>
  <c r="E115" i="8"/>
  <c r="E122" i="8" s="1"/>
  <c r="D115" i="8"/>
  <c r="J114" i="8"/>
  <c r="C114" i="8"/>
  <c r="L115" i="8" s="1"/>
  <c r="P105" i="8"/>
  <c r="J113" i="8"/>
  <c r="K113" i="8" s="1"/>
  <c r="J111" i="8"/>
  <c r="K111" i="8" s="1"/>
  <c r="F109" i="8"/>
  <c r="J109" i="8" s="1"/>
  <c r="C109" i="8"/>
  <c r="L110" i="8" s="1"/>
  <c r="D108" i="8"/>
  <c r="J107" i="8"/>
  <c r="J106" i="8"/>
  <c r="F104" i="8"/>
  <c r="J104" i="8" s="1"/>
  <c r="C104" i="8"/>
  <c r="J102" i="8"/>
  <c r="J101" i="8"/>
  <c r="D100" i="8"/>
  <c r="C100" i="8"/>
  <c r="L100" i="8" s="1"/>
  <c r="J97" i="8"/>
  <c r="K97" i="8" s="1"/>
  <c r="F96" i="8"/>
  <c r="C96" i="8"/>
  <c r="L95" i="8"/>
  <c r="J95" i="8"/>
  <c r="K95" i="8" s="1"/>
  <c r="J93" i="8"/>
  <c r="J100" i="8" l="1"/>
  <c r="D122" i="8"/>
  <c r="D125" i="8" s="1"/>
  <c r="F122" i="8"/>
  <c r="F125" i="8" s="1"/>
  <c r="F127" i="8" s="1"/>
  <c r="J121" i="8"/>
  <c r="K121" i="8" s="1"/>
  <c r="G122" i="8"/>
  <c r="G125" i="8" s="1"/>
  <c r="J115" i="8"/>
  <c r="K115" i="8" s="1"/>
  <c r="K109" i="8"/>
  <c r="K120" i="8"/>
  <c r="J103" i="8"/>
  <c r="K103" i="8" s="1"/>
  <c r="K100" i="8"/>
  <c r="K114" i="8"/>
  <c r="E125" i="8"/>
  <c r="K101" i="8"/>
  <c r="K106" i="8"/>
  <c r="K102" i="8"/>
  <c r="K107" i="8"/>
  <c r="I125" i="8"/>
  <c r="H125" i="8"/>
  <c r="C122" i="8"/>
  <c r="C125" i="8" s="1"/>
  <c r="O105" i="8"/>
  <c r="K104" i="8"/>
  <c r="J108" i="8"/>
  <c r="K108" i="8" s="1"/>
  <c r="J116" i="8"/>
  <c r="K116" i="8" s="1"/>
  <c r="K124" i="8"/>
  <c r="K123" i="8"/>
  <c r="J96" i="8"/>
  <c r="K93" i="8"/>
  <c r="D130" i="8"/>
  <c r="J122" i="8" l="1"/>
  <c r="K122" i="8" s="1"/>
  <c r="D131" i="8"/>
  <c r="K96" i="8"/>
  <c r="J125" i="8" l="1"/>
  <c r="K125" i="8" s="1"/>
  <c r="S92" i="18" l="1"/>
  <c r="T92" i="18" s="1"/>
  <c r="P123" i="18"/>
  <c r="P122" i="18"/>
  <c r="P108" i="18"/>
  <c r="P93" i="18"/>
  <c r="P56" i="18"/>
  <c r="P44" i="18"/>
  <c r="P17" i="18"/>
  <c r="P4" i="18"/>
  <c r="P3" i="18" s="1"/>
  <c r="P78" i="18"/>
  <c r="P81" i="18"/>
  <c r="P84" i="18"/>
  <c r="P83" i="18" s="1"/>
  <c r="P86" i="18"/>
  <c r="P87" i="18"/>
  <c r="P90" i="18"/>
  <c r="P91" i="18"/>
  <c r="P94" i="18"/>
  <c r="P96" i="18"/>
  <c r="P98" i="18"/>
  <c r="P100" i="18"/>
  <c r="P102" i="18"/>
  <c r="P107" i="18"/>
  <c r="P110" i="18"/>
  <c r="P111" i="18"/>
  <c r="P113" i="18"/>
  <c r="P115" i="18"/>
  <c r="P118" i="18"/>
  <c r="P120" i="18"/>
  <c r="P124" i="18"/>
  <c r="P132" i="18"/>
  <c r="P135" i="18"/>
  <c r="P136" i="18"/>
  <c r="P197" i="18"/>
  <c r="P199" i="18"/>
  <c r="P201" i="18"/>
  <c r="P202" i="18"/>
  <c r="P204" i="18"/>
  <c r="P205" i="18"/>
  <c r="P208" i="18"/>
  <c r="P210" i="18"/>
  <c r="P149" i="18"/>
  <c r="P150" i="18"/>
  <c r="P152" i="18"/>
  <c r="P157" i="18"/>
  <c r="P161" i="18"/>
  <c r="P167" i="18"/>
  <c r="P169" i="18"/>
  <c r="P172" i="18"/>
  <c r="P173" i="18"/>
  <c r="P174" i="18"/>
  <c r="P175" i="18"/>
  <c r="P177" i="18"/>
  <c r="P178" i="18"/>
  <c r="P179" i="18"/>
  <c r="P186" i="18"/>
  <c r="P188" i="18"/>
  <c r="P189" i="18"/>
  <c r="P12" i="18"/>
  <c r="P15" i="18"/>
  <c r="P31" i="18"/>
  <c r="P34" i="18"/>
  <c r="P36" i="18"/>
  <c r="P37" i="18" s="1"/>
  <c r="P38" i="18"/>
  <c r="P41" i="18"/>
  <c r="P43" i="18"/>
  <c r="P45" i="18"/>
  <c r="P52" i="18"/>
  <c r="P54" i="18"/>
  <c r="P57" i="18"/>
  <c r="P58" i="18"/>
  <c r="P59" i="18"/>
  <c r="P60" i="18"/>
  <c r="P64" i="18"/>
  <c r="P128" i="18" s="1"/>
  <c r="P66" i="18"/>
  <c r="P68" i="18" s="1"/>
  <c r="AH68" i="18" s="1"/>
  <c r="P70" i="18"/>
  <c r="AH70" i="18" s="1"/>
  <c r="S38" i="10"/>
  <c r="S32" i="10"/>
  <c r="S34" i="10"/>
  <c r="S33" i="10"/>
  <c r="S36" i="10"/>
  <c r="S42" i="10"/>
  <c r="S35" i="10"/>
  <c r="S28" i="10"/>
  <c r="P164" i="18" l="1"/>
  <c r="P92" i="18"/>
  <c r="P97" i="18"/>
  <c r="P196" i="18"/>
  <c r="P106" i="18"/>
  <c r="P77" i="18"/>
  <c r="P225" i="18"/>
  <c r="AH210" i="18"/>
  <c r="P88" i="18"/>
  <c r="P11" i="18"/>
  <c r="P39" i="18"/>
  <c r="P121" i="18"/>
  <c r="P85" i="18"/>
  <c r="P112" i="18"/>
  <c r="P129" i="18"/>
  <c r="P133" i="18" s="1"/>
  <c r="P144" i="18"/>
  <c r="P137" i="18"/>
  <c r="AH137" i="18" s="1"/>
  <c r="P71" i="18"/>
  <c r="AH71" i="18" s="1"/>
  <c r="P33" i="18"/>
  <c r="S31" i="10"/>
  <c r="S27" i="10"/>
  <c r="S26" i="10" s="1"/>
  <c r="S45" i="10"/>
  <c r="S41" i="10"/>
  <c r="S21" i="10"/>
  <c r="S15" i="10"/>
  <c r="S13" i="10"/>
  <c r="S7" i="10"/>
  <c r="P138" i="18" l="1"/>
  <c r="AH138" i="18" s="1"/>
  <c r="AH133" i="18"/>
  <c r="P224" i="18"/>
  <c r="P226" i="18" s="1"/>
  <c r="AH196" i="18"/>
  <c r="P65" i="18"/>
  <c r="AH65" i="18" s="1"/>
  <c r="P127" i="18"/>
  <c r="AH127" i="18" s="1"/>
  <c r="P221" i="18"/>
  <c r="AH144" i="18"/>
  <c r="P222" i="18"/>
  <c r="AH164" i="18"/>
  <c r="S47" i="10"/>
  <c r="S50" i="10" s="1"/>
  <c r="S18" i="10"/>
  <c r="S22" i="10" s="1"/>
  <c r="P223" i="18" l="1"/>
  <c r="P139" i="18"/>
  <c r="AH139" i="18" s="1"/>
  <c r="P72" i="18"/>
  <c r="AH72" i="18" s="1"/>
  <c r="P218" i="18"/>
  <c r="S51" i="10"/>
  <c r="V63" i="18"/>
  <c r="U63" i="18"/>
  <c r="V31" i="18"/>
  <c r="U31" i="18"/>
  <c r="D164" i="8"/>
  <c r="J164" i="8" s="1"/>
  <c r="J156" i="8"/>
  <c r="K156" i="8" s="1"/>
  <c r="D165" i="8"/>
  <c r="J165" i="8" s="1"/>
  <c r="G162" i="8"/>
  <c r="F162" i="8"/>
  <c r="G163" i="8" s="1"/>
  <c r="I160" i="8"/>
  <c r="H160" i="8"/>
  <c r="G160" i="8"/>
  <c r="F160" i="8"/>
  <c r="E160" i="8"/>
  <c r="D160" i="8"/>
  <c r="C160" i="8"/>
  <c r="J159" i="8"/>
  <c r="J160" i="8" s="1"/>
  <c r="I158" i="8"/>
  <c r="H158" i="8"/>
  <c r="H161" i="8" s="1"/>
  <c r="D157" i="8"/>
  <c r="J157" i="8" s="1"/>
  <c r="C157" i="8"/>
  <c r="J155" i="8"/>
  <c r="K155" i="8" s="1"/>
  <c r="G154" i="8"/>
  <c r="F154" i="8"/>
  <c r="C154" i="8"/>
  <c r="F153" i="8"/>
  <c r="M152" i="8" s="1"/>
  <c r="E153" i="8"/>
  <c r="E158" i="8" s="1"/>
  <c r="D153" i="8"/>
  <c r="C153" i="8"/>
  <c r="J152" i="8"/>
  <c r="C152" i="8"/>
  <c r="P150" i="8"/>
  <c r="F151" i="8"/>
  <c r="J151" i="8" s="1"/>
  <c r="K151" i="8" s="1"/>
  <c r="J150" i="8"/>
  <c r="K150" i="8" s="1"/>
  <c r="F149" i="8"/>
  <c r="J149" i="8" s="1"/>
  <c r="C149" i="8"/>
  <c r="F148" i="8"/>
  <c r="D148" i="8"/>
  <c r="C148" i="8"/>
  <c r="F147" i="8"/>
  <c r="J147" i="8" s="1"/>
  <c r="C147" i="8"/>
  <c r="F146" i="8"/>
  <c r="J146" i="8" s="1"/>
  <c r="C146" i="8"/>
  <c r="F145" i="8"/>
  <c r="J145" i="8" s="1"/>
  <c r="C145" i="8"/>
  <c r="G144" i="8"/>
  <c r="F144" i="8"/>
  <c r="C144" i="8"/>
  <c r="F143" i="8"/>
  <c r="J143" i="8" s="1"/>
  <c r="C143" i="8"/>
  <c r="J142" i="8"/>
  <c r="C142" i="8"/>
  <c r="D141" i="8"/>
  <c r="C141" i="8"/>
  <c r="J140" i="8"/>
  <c r="K140" i="8" s="1"/>
  <c r="O138" i="8"/>
  <c r="F139" i="8"/>
  <c r="J139" i="8" s="1"/>
  <c r="C139" i="8"/>
  <c r="O137" i="8"/>
  <c r="L138" i="8"/>
  <c r="J138" i="8"/>
  <c r="K138" i="8" s="1"/>
  <c r="J137" i="8"/>
  <c r="O113" i="18"/>
  <c r="O64" i="18"/>
  <c r="O128" i="18" s="1"/>
  <c r="O59" i="18"/>
  <c r="O78" i="18"/>
  <c r="O81" i="18"/>
  <c r="O84" i="18"/>
  <c r="O83" i="18" s="1"/>
  <c r="O86" i="18"/>
  <c r="O87" i="18"/>
  <c r="O90" i="18"/>
  <c r="O91" i="18"/>
  <c r="O93" i="18"/>
  <c r="O94" i="18"/>
  <c r="O96" i="18"/>
  <c r="O98" i="18"/>
  <c r="O100" i="18"/>
  <c r="O102" i="18"/>
  <c r="O107" i="18"/>
  <c r="O108" i="18"/>
  <c r="O110" i="18"/>
  <c r="O111" i="18"/>
  <c r="O115" i="18"/>
  <c r="O118" i="18"/>
  <c r="O120" i="18"/>
  <c r="O122" i="18"/>
  <c r="O123" i="18"/>
  <c r="O124" i="18"/>
  <c r="O132" i="18"/>
  <c r="O135" i="18"/>
  <c r="O136" i="18"/>
  <c r="O197" i="18"/>
  <c r="O199" i="18"/>
  <c r="O201" i="18"/>
  <c r="O202" i="18"/>
  <c r="O204" i="18"/>
  <c r="O205" i="18"/>
  <c r="O208" i="18"/>
  <c r="O210" i="18"/>
  <c r="AG210" i="18" s="1"/>
  <c r="O149" i="18"/>
  <c r="O150" i="18"/>
  <c r="O152" i="18"/>
  <c r="O157" i="18"/>
  <c r="O161" i="18"/>
  <c r="O167" i="18"/>
  <c r="O169" i="18"/>
  <c r="O172" i="18"/>
  <c r="O173" i="18"/>
  <c r="O174" i="18"/>
  <c r="O175" i="18"/>
  <c r="O177" i="18"/>
  <c r="O178" i="18"/>
  <c r="O179" i="18"/>
  <c r="O186" i="18"/>
  <c r="O188" i="18"/>
  <c r="O189" i="18"/>
  <c r="O3" i="18"/>
  <c r="O12" i="18"/>
  <c r="O15" i="18"/>
  <c r="O31" i="18"/>
  <c r="O34" i="18"/>
  <c r="O36" i="18"/>
  <c r="O37" i="18" s="1"/>
  <c r="O38" i="18"/>
  <c r="O41" i="18"/>
  <c r="O43" i="18"/>
  <c r="O44" i="18"/>
  <c r="O45" i="18"/>
  <c r="O52" i="18"/>
  <c r="O54" i="18"/>
  <c r="O56" i="18"/>
  <c r="O57" i="18"/>
  <c r="O58" i="18"/>
  <c r="O60" i="18"/>
  <c r="O66" i="18"/>
  <c r="O129" i="18" s="1"/>
  <c r="O68" i="18"/>
  <c r="O70" i="18"/>
  <c r="AG70" i="18" s="1"/>
  <c r="P219" i="18" l="1"/>
  <c r="P230" i="18" s="1"/>
  <c r="O85" i="18"/>
  <c r="O164" i="18"/>
  <c r="O121" i="18"/>
  <c r="O97" i="18"/>
  <c r="O11" i="18"/>
  <c r="O112" i="18"/>
  <c r="AG164" i="18"/>
  <c r="O39" i="18"/>
  <c r="O106" i="18"/>
  <c r="O88" i="18"/>
  <c r="O77" i="18"/>
  <c r="O33" i="18"/>
  <c r="O144" i="18"/>
  <c r="O221" i="18" s="1"/>
  <c r="O196" i="18"/>
  <c r="AG196" i="18" s="1"/>
  <c r="O92" i="18"/>
  <c r="O137" i="18"/>
  <c r="AG137" i="18" s="1"/>
  <c r="J148" i="8"/>
  <c r="K148" i="8" s="1"/>
  <c r="G158" i="8"/>
  <c r="O71" i="18"/>
  <c r="AG71" i="18" s="1"/>
  <c r="AG68" i="18"/>
  <c r="O225" i="18"/>
  <c r="P229" i="18"/>
  <c r="P220" i="18"/>
  <c r="P227" i="18" s="1"/>
  <c r="J144" i="8"/>
  <c r="K144" i="8" s="1"/>
  <c r="E161" i="8"/>
  <c r="K139" i="8"/>
  <c r="L157" i="8"/>
  <c r="G161" i="8"/>
  <c r="D158" i="8"/>
  <c r="D161" i="8" s="1"/>
  <c r="K145" i="8"/>
  <c r="O150" i="8"/>
  <c r="L141" i="8"/>
  <c r="J154" i="8"/>
  <c r="K154" i="8" s="1"/>
  <c r="L146" i="8"/>
  <c r="K143" i="8"/>
  <c r="K157" i="8"/>
  <c r="J153" i="8"/>
  <c r="K153" i="8" s="1"/>
  <c r="K159" i="8"/>
  <c r="K142" i="8"/>
  <c r="K160" i="8"/>
  <c r="J141" i="8"/>
  <c r="K141" i="8" s="1"/>
  <c r="F158" i="8"/>
  <c r="F161" i="8" s="1"/>
  <c r="F163" i="8" s="1"/>
  <c r="K146" i="8"/>
  <c r="L153" i="8"/>
  <c r="K152" i="8"/>
  <c r="I161" i="8"/>
  <c r="D166" i="8"/>
  <c r="K147" i="8"/>
  <c r="K137" i="8"/>
  <c r="C158" i="8"/>
  <c r="K149" i="8"/>
  <c r="O133" i="18"/>
  <c r="W39" i="10"/>
  <c r="W44" i="10"/>
  <c r="W43" i="10" s="1"/>
  <c r="W31" i="10"/>
  <c r="W35" i="10"/>
  <c r="W34" i="10"/>
  <c r="X10" i="10"/>
  <c r="W33" i="10"/>
  <c r="W32" i="10"/>
  <c r="W37" i="10"/>
  <c r="W36" i="10"/>
  <c r="W38" i="10"/>
  <c r="W30" i="10"/>
  <c r="X14" i="10"/>
  <c r="W8" i="10"/>
  <c r="P233" i="18" l="1"/>
  <c r="O65" i="18"/>
  <c r="AG65" i="18" s="1"/>
  <c r="O127" i="18"/>
  <c r="AG127" i="18" s="1"/>
  <c r="P236" i="18"/>
  <c r="O222" i="18"/>
  <c r="O223" i="18" s="1"/>
  <c r="AG144" i="18"/>
  <c r="O224" i="18"/>
  <c r="O226" i="18" s="1"/>
  <c r="P232" i="18"/>
  <c r="O138" i="18"/>
  <c r="AG138" i="18" s="1"/>
  <c r="AG133" i="18"/>
  <c r="L161" i="8"/>
  <c r="D167" i="8"/>
  <c r="J158" i="8"/>
  <c r="J161" i="8" s="1"/>
  <c r="C161" i="8"/>
  <c r="C126" i="8" s="1"/>
  <c r="W47" i="10"/>
  <c r="W24" i="10"/>
  <c r="W18" i="10"/>
  <c r="W16" i="10"/>
  <c r="W7" i="10"/>
  <c r="S210" i="18"/>
  <c r="T210" i="18" s="1"/>
  <c r="N210" i="18"/>
  <c r="M210" i="18"/>
  <c r="L210" i="18"/>
  <c r="K210" i="18"/>
  <c r="J210" i="18"/>
  <c r="J225" i="18" s="1"/>
  <c r="I210" i="18"/>
  <c r="H210" i="18"/>
  <c r="H225" i="18" s="1"/>
  <c r="G210" i="18"/>
  <c r="F210" i="18"/>
  <c r="E210" i="18"/>
  <c r="D210" i="18"/>
  <c r="D225" i="18" s="1"/>
  <c r="C210" i="18"/>
  <c r="C225" i="18" s="1"/>
  <c r="N208" i="18"/>
  <c r="M208" i="18"/>
  <c r="L208" i="18"/>
  <c r="K208" i="18"/>
  <c r="J208" i="18"/>
  <c r="I208" i="18"/>
  <c r="H208" i="18"/>
  <c r="G208" i="18"/>
  <c r="F208" i="18"/>
  <c r="E208" i="18"/>
  <c r="D208" i="18"/>
  <c r="C208" i="18"/>
  <c r="N205" i="18"/>
  <c r="M205" i="18"/>
  <c r="L205" i="18"/>
  <c r="K205" i="18"/>
  <c r="J205" i="18"/>
  <c r="I205" i="18"/>
  <c r="H205" i="18"/>
  <c r="G205" i="18"/>
  <c r="F205" i="18"/>
  <c r="E205" i="18"/>
  <c r="D205" i="18"/>
  <c r="N204" i="18"/>
  <c r="M204" i="18"/>
  <c r="L204" i="18"/>
  <c r="K204" i="18"/>
  <c r="J204" i="18"/>
  <c r="I204" i="18"/>
  <c r="H204" i="18"/>
  <c r="G204" i="18"/>
  <c r="F204" i="18"/>
  <c r="E204" i="18"/>
  <c r="D204" i="18"/>
  <c r="C204" i="18"/>
  <c r="N202" i="18"/>
  <c r="M202" i="18"/>
  <c r="L202" i="18"/>
  <c r="K202" i="18"/>
  <c r="J202" i="18"/>
  <c r="I202" i="18"/>
  <c r="H202" i="18"/>
  <c r="G202" i="18"/>
  <c r="F202" i="18"/>
  <c r="E202" i="18"/>
  <c r="D202" i="18"/>
  <c r="N201" i="18"/>
  <c r="M201" i="18"/>
  <c r="L201" i="18"/>
  <c r="K201" i="18"/>
  <c r="J201" i="18"/>
  <c r="I201" i="18"/>
  <c r="H201" i="18"/>
  <c r="G201" i="18"/>
  <c r="F201" i="18"/>
  <c r="E201" i="18"/>
  <c r="D201" i="18"/>
  <c r="N199" i="18"/>
  <c r="M199" i="18"/>
  <c r="L199" i="18"/>
  <c r="K199" i="18"/>
  <c r="J199" i="18"/>
  <c r="I199" i="18"/>
  <c r="H199" i="18"/>
  <c r="G199" i="18"/>
  <c r="F199" i="18"/>
  <c r="E199" i="18"/>
  <c r="D199" i="18"/>
  <c r="N197" i="18"/>
  <c r="M197" i="18"/>
  <c r="L197" i="18"/>
  <c r="K197" i="18"/>
  <c r="J197" i="18"/>
  <c r="I197" i="18"/>
  <c r="H197" i="18"/>
  <c r="G197" i="18"/>
  <c r="F197" i="18"/>
  <c r="E197" i="18"/>
  <c r="D197" i="18"/>
  <c r="C197" i="18"/>
  <c r="S196" i="18"/>
  <c r="T196" i="18" s="1"/>
  <c r="N189" i="18"/>
  <c r="M189" i="18"/>
  <c r="N188" i="18"/>
  <c r="M188" i="18"/>
  <c r="N186" i="18"/>
  <c r="M186" i="18"/>
  <c r="L186" i="18"/>
  <c r="K186" i="18"/>
  <c r="J186" i="18"/>
  <c r="I186" i="18"/>
  <c r="H186" i="18"/>
  <c r="G186" i="18"/>
  <c r="F186" i="18"/>
  <c r="E186" i="18"/>
  <c r="N179" i="18"/>
  <c r="M179" i="18"/>
  <c r="L179" i="18"/>
  <c r="K179" i="18"/>
  <c r="J179" i="18"/>
  <c r="I179" i="18"/>
  <c r="H179" i="18"/>
  <c r="G179" i="18"/>
  <c r="N178" i="18"/>
  <c r="M178" i="18"/>
  <c r="L178" i="18"/>
  <c r="K178" i="18"/>
  <c r="J178" i="18"/>
  <c r="I178" i="18"/>
  <c r="H178" i="18"/>
  <c r="G178" i="18"/>
  <c r="F178" i="18"/>
  <c r="E178" i="18"/>
  <c r="D178" i="18"/>
  <c r="N177" i="18"/>
  <c r="M177" i="18"/>
  <c r="L177" i="18"/>
  <c r="K177" i="18"/>
  <c r="J177" i="18"/>
  <c r="I177" i="18"/>
  <c r="H177" i="18"/>
  <c r="G177" i="18"/>
  <c r="N175" i="18"/>
  <c r="M175" i="18"/>
  <c r="L175" i="18"/>
  <c r="K175" i="18"/>
  <c r="J175" i="18"/>
  <c r="I175" i="18"/>
  <c r="H175" i="18"/>
  <c r="G175" i="18"/>
  <c r="N174" i="18"/>
  <c r="M174" i="18"/>
  <c r="N173" i="18"/>
  <c r="M173" i="18"/>
  <c r="L173" i="18"/>
  <c r="K173" i="18"/>
  <c r="J173" i="18"/>
  <c r="I173" i="18"/>
  <c r="H173" i="18"/>
  <c r="G173" i="18"/>
  <c r="F173" i="18"/>
  <c r="E173" i="18"/>
  <c r="N172" i="18"/>
  <c r="M172" i="18"/>
  <c r="L172" i="18"/>
  <c r="K172" i="18"/>
  <c r="J172" i="18"/>
  <c r="I172" i="18"/>
  <c r="H172" i="18"/>
  <c r="G172" i="18"/>
  <c r="F172" i="18"/>
  <c r="E172" i="18"/>
  <c r="N169" i="18"/>
  <c r="M169" i="18"/>
  <c r="L169" i="18"/>
  <c r="K169" i="18"/>
  <c r="J169" i="18"/>
  <c r="I169" i="18"/>
  <c r="H169" i="18"/>
  <c r="G169" i="18"/>
  <c r="F169" i="18"/>
  <c r="E169" i="18"/>
  <c r="N167" i="18"/>
  <c r="M167" i="18"/>
  <c r="C222" i="18"/>
  <c r="N161" i="18"/>
  <c r="M161" i="18"/>
  <c r="L161" i="18"/>
  <c r="K161" i="18"/>
  <c r="J161" i="18"/>
  <c r="I161" i="18"/>
  <c r="H161" i="18"/>
  <c r="G161" i="18"/>
  <c r="F161" i="18"/>
  <c r="E161" i="18"/>
  <c r="D161" i="18"/>
  <c r="C161" i="18"/>
  <c r="C144" i="18" s="1"/>
  <c r="C221" i="18" s="1"/>
  <c r="N157" i="18"/>
  <c r="M157" i="18"/>
  <c r="L157" i="18"/>
  <c r="K157" i="18"/>
  <c r="J157" i="18"/>
  <c r="I157" i="18"/>
  <c r="H157" i="18"/>
  <c r="G157" i="18"/>
  <c r="F157" i="18"/>
  <c r="E157" i="18"/>
  <c r="D157" i="18"/>
  <c r="N152" i="18"/>
  <c r="M152" i="18"/>
  <c r="L152" i="18"/>
  <c r="K152" i="18"/>
  <c r="J152" i="18"/>
  <c r="I152" i="18"/>
  <c r="H152" i="18"/>
  <c r="G152" i="18"/>
  <c r="F152" i="18"/>
  <c r="E152" i="18"/>
  <c r="N150" i="18"/>
  <c r="M150" i="18"/>
  <c r="L150" i="18"/>
  <c r="K150" i="18"/>
  <c r="J150" i="18"/>
  <c r="I150" i="18"/>
  <c r="H150" i="18"/>
  <c r="G150" i="18"/>
  <c r="F150" i="18"/>
  <c r="E150" i="18"/>
  <c r="N149" i="18"/>
  <c r="M149" i="18"/>
  <c r="S144" i="18"/>
  <c r="T144" i="18" s="1"/>
  <c r="S137" i="18"/>
  <c r="T137" i="18" s="1"/>
  <c r="N136" i="18"/>
  <c r="N137" i="18" s="1"/>
  <c r="M136" i="18"/>
  <c r="M137" i="18" s="1"/>
  <c r="L136" i="18"/>
  <c r="L137" i="18" s="1"/>
  <c r="K136" i="18"/>
  <c r="K137" i="18" s="1"/>
  <c r="J136" i="18"/>
  <c r="J137" i="18" s="1"/>
  <c r="I136" i="18"/>
  <c r="I137" i="18" s="1"/>
  <c r="H136" i="18"/>
  <c r="H137" i="18" s="1"/>
  <c r="G136" i="18"/>
  <c r="G137" i="18" s="1"/>
  <c r="F136" i="18"/>
  <c r="F137" i="18" s="1"/>
  <c r="E136" i="18"/>
  <c r="E137" i="18" s="1"/>
  <c r="D136" i="18"/>
  <c r="D137" i="18" s="1"/>
  <c r="C136" i="18"/>
  <c r="C137" i="18" s="1"/>
  <c r="N135" i="18"/>
  <c r="V132" i="18"/>
  <c r="N132" i="18"/>
  <c r="M132" i="18"/>
  <c r="L132" i="18"/>
  <c r="K132" i="18"/>
  <c r="J132" i="18"/>
  <c r="I132" i="18"/>
  <c r="H132" i="18"/>
  <c r="G132" i="18"/>
  <c r="F132" i="18"/>
  <c r="E132" i="18"/>
  <c r="D132" i="18"/>
  <c r="C132" i="18"/>
  <c r="S129" i="18"/>
  <c r="T129" i="18" s="1"/>
  <c r="S128" i="18"/>
  <c r="T128" i="18" s="1"/>
  <c r="C128" i="18"/>
  <c r="N124" i="18"/>
  <c r="M124" i="18"/>
  <c r="L124" i="18"/>
  <c r="K124" i="18"/>
  <c r="J124" i="18"/>
  <c r="I124" i="18"/>
  <c r="H124" i="18"/>
  <c r="G124" i="18"/>
  <c r="F124" i="18"/>
  <c r="E124" i="18"/>
  <c r="D124" i="18"/>
  <c r="N123" i="18"/>
  <c r="M123" i="18"/>
  <c r="L123" i="18"/>
  <c r="K123" i="18"/>
  <c r="J123" i="18"/>
  <c r="I123" i="18"/>
  <c r="H123" i="18"/>
  <c r="G123" i="18"/>
  <c r="F123" i="18"/>
  <c r="E123" i="18"/>
  <c r="D123" i="18"/>
  <c r="N122" i="18"/>
  <c r="M122" i="18"/>
  <c r="L122" i="18"/>
  <c r="K122" i="18"/>
  <c r="J122" i="18"/>
  <c r="I122" i="18"/>
  <c r="H122" i="18"/>
  <c r="G122" i="18"/>
  <c r="F122" i="18"/>
  <c r="E122" i="18"/>
  <c r="D122" i="18"/>
  <c r="S121" i="18"/>
  <c r="T121" i="18" s="1"/>
  <c r="C121" i="18"/>
  <c r="N120" i="18"/>
  <c r="M120" i="18"/>
  <c r="L120" i="18"/>
  <c r="K120" i="18"/>
  <c r="J120" i="18"/>
  <c r="I120" i="18"/>
  <c r="H120" i="18"/>
  <c r="G120" i="18"/>
  <c r="F120" i="18"/>
  <c r="E120" i="18"/>
  <c r="D120" i="18"/>
  <c r="V118" i="18"/>
  <c r="N118" i="18"/>
  <c r="U118" i="18" s="1"/>
  <c r="M118" i="18"/>
  <c r="L118" i="18"/>
  <c r="K118" i="18"/>
  <c r="J118" i="18"/>
  <c r="I118" i="18"/>
  <c r="H118" i="18"/>
  <c r="G118" i="18"/>
  <c r="F118" i="18"/>
  <c r="E118" i="18"/>
  <c r="D118" i="18"/>
  <c r="N115" i="18"/>
  <c r="M115" i="18"/>
  <c r="L115" i="18"/>
  <c r="K115" i="18"/>
  <c r="J115" i="18"/>
  <c r="I115" i="18"/>
  <c r="H115" i="18"/>
  <c r="G115" i="18"/>
  <c r="F115" i="18"/>
  <c r="E115" i="18"/>
  <c r="N113" i="18"/>
  <c r="M113" i="18"/>
  <c r="L113" i="18"/>
  <c r="K113" i="18"/>
  <c r="J113" i="18"/>
  <c r="I113" i="18"/>
  <c r="H113" i="18"/>
  <c r="G113" i="18"/>
  <c r="F113" i="18"/>
  <c r="E113" i="18"/>
  <c r="D113" i="18"/>
  <c r="S112" i="18"/>
  <c r="T112" i="18" s="1"/>
  <c r="C112" i="18"/>
  <c r="N111" i="18"/>
  <c r="M111" i="18"/>
  <c r="L111" i="18"/>
  <c r="K111" i="18"/>
  <c r="J111" i="18"/>
  <c r="I111" i="18"/>
  <c r="H111" i="18"/>
  <c r="G111" i="18"/>
  <c r="F111" i="18"/>
  <c r="E111" i="18"/>
  <c r="N110" i="18"/>
  <c r="M110" i="18"/>
  <c r="N108" i="18"/>
  <c r="M108" i="18"/>
  <c r="L108" i="18"/>
  <c r="K108" i="18"/>
  <c r="J108" i="18"/>
  <c r="I108" i="18"/>
  <c r="H108" i="18"/>
  <c r="G108" i="18"/>
  <c r="F108" i="18"/>
  <c r="E108" i="18"/>
  <c r="N107" i="18"/>
  <c r="M107" i="18"/>
  <c r="L107" i="18"/>
  <c r="K107" i="18"/>
  <c r="J107" i="18"/>
  <c r="I107" i="18"/>
  <c r="H107" i="18"/>
  <c r="G107" i="18"/>
  <c r="F107" i="18"/>
  <c r="E107" i="18"/>
  <c r="S106" i="18"/>
  <c r="T106" i="18" s="1"/>
  <c r="D106" i="18"/>
  <c r="C106" i="18"/>
  <c r="S102" i="18"/>
  <c r="T102" i="18" s="1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N100" i="18"/>
  <c r="M100" i="18"/>
  <c r="L100" i="18"/>
  <c r="K100" i="18"/>
  <c r="K97" i="18" s="1"/>
  <c r="J100" i="18"/>
  <c r="J97" i="18" s="1"/>
  <c r="I100" i="18"/>
  <c r="I97" i="18" s="1"/>
  <c r="H100" i="18"/>
  <c r="G100" i="18"/>
  <c r="G97" i="18" s="1"/>
  <c r="F100" i="18"/>
  <c r="F97" i="18" s="1"/>
  <c r="E100" i="18"/>
  <c r="E97" i="18" s="1"/>
  <c r="N98" i="18"/>
  <c r="M98" i="18"/>
  <c r="L98" i="18"/>
  <c r="S97" i="18"/>
  <c r="T97" i="18" s="1"/>
  <c r="H97" i="18"/>
  <c r="D97" i="18"/>
  <c r="C97" i="18"/>
  <c r="N96" i="18"/>
  <c r="M96" i="18"/>
  <c r="L96" i="18"/>
  <c r="K96" i="18"/>
  <c r="J96" i="18"/>
  <c r="I96" i="18"/>
  <c r="H96" i="18"/>
  <c r="G96" i="18"/>
  <c r="F96" i="18"/>
  <c r="E96" i="18"/>
  <c r="N94" i="18"/>
  <c r="M94" i="18"/>
  <c r="L94" i="18"/>
  <c r="K94" i="18"/>
  <c r="J94" i="18"/>
  <c r="I94" i="18"/>
  <c r="H94" i="18"/>
  <c r="G94" i="18"/>
  <c r="F94" i="18"/>
  <c r="E94" i="18"/>
  <c r="N93" i="18"/>
  <c r="M93" i="18"/>
  <c r="L93" i="18"/>
  <c r="K93" i="18"/>
  <c r="D92" i="18"/>
  <c r="C92" i="18"/>
  <c r="N91" i="18"/>
  <c r="M91" i="18"/>
  <c r="N90" i="18"/>
  <c r="M90" i="18"/>
  <c r="L90" i="18"/>
  <c r="L88" i="18" s="1"/>
  <c r="K90" i="18"/>
  <c r="K88" i="18" s="1"/>
  <c r="J90" i="18"/>
  <c r="J88" i="18" s="1"/>
  <c r="I90" i="18"/>
  <c r="I88" i="18" s="1"/>
  <c r="H90" i="18"/>
  <c r="H88" i="18" s="1"/>
  <c r="G90" i="18"/>
  <c r="G88" i="18" s="1"/>
  <c r="F90" i="18"/>
  <c r="F88" i="18" s="1"/>
  <c r="E90" i="18"/>
  <c r="E88" i="18" s="1"/>
  <c r="D90" i="18"/>
  <c r="D88" i="18" s="1"/>
  <c r="S88" i="18"/>
  <c r="T88" i="18" s="1"/>
  <c r="C88" i="18"/>
  <c r="N87" i="18"/>
  <c r="M87" i="18"/>
  <c r="L87" i="18"/>
  <c r="K87" i="18"/>
  <c r="J87" i="18"/>
  <c r="I87" i="18"/>
  <c r="H87" i="18"/>
  <c r="G87" i="18"/>
  <c r="F87" i="18"/>
  <c r="E87" i="18"/>
  <c r="D87" i="18"/>
  <c r="D85" i="18" s="1"/>
  <c r="N86" i="18"/>
  <c r="M86" i="18"/>
  <c r="L86" i="18"/>
  <c r="K86" i="18"/>
  <c r="J86" i="18"/>
  <c r="I86" i="18"/>
  <c r="H86" i="18"/>
  <c r="G86" i="18"/>
  <c r="F86" i="18"/>
  <c r="E86" i="18"/>
  <c r="S85" i="18"/>
  <c r="T85" i="18" s="1"/>
  <c r="C85" i="18"/>
  <c r="N84" i="18"/>
  <c r="N83" i="18" s="1"/>
  <c r="M84" i="18"/>
  <c r="M83" i="18" s="1"/>
  <c r="L84" i="18"/>
  <c r="L83" i="18" s="1"/>
  <c r="K84" i="18"/>
  <c r="K83" i="18" s="1"/>
  <c r="J84" i="18"/>
  <c r="J83" i="18" s="1"/>
  <c r="I84" i="18"/>
  <c r="I83" i="18" s="1"/>
  <c r="H84" i="18"/>
  <c r="H83" i="18" s="1"/>
  <c r="G84" i="18"/>
  <c r="G83" i="18" s="1"/>
  <c r="F84" i="18"/>
  <c r="F83" i="18" s="1"/>
  <c r="E84" i="18"/>
  <c r="E83" i="18" s="1"/>
  <c r="D84" i="18"/>
  <c r="D83" i="18" s="1"/>
  <c r="S83" i="18"/>
  <c r="T83" i="18" s="1"/>
  <c r="C83" i="18"/>
  <c r="N81" i="18"/>
  <c r="M81" i="18"/>
  <c r="L81" i="18"/>
  <c r="K81" i="18"/>
  <c r="J81" i="18"/>
  <c r="J77" i="18" s="1"/>
  <c r="I81" i="18"/>
  <c r="I77" i="18" s="1"/>
  <c r="H81" i="18"/>
  <c r="H77" i="18" s="1"/>
  <c r="G81" i="18"/>
  <c r="G77" i="18" s="1"/>
  <c r="F81" i="18"/>
  <c r="F77" i="18" s="1"/>
  <c r="E81" i="18"/>
  <c r="E77" i="18" s="1"/>
  <c r="D81" i="18"/>
  <c r="D77" i="18" s="1"/>
  <c r="N78" i="18"/>
  <c r="M78" i="18"/>
  <c r="L78" i="18"/>
  <c r="K78" i="18"/>
  <c r="S77" i="18"/>
  <c r="T77" i="18" s="1"/>
  <c r="C77" i="18"/>
  <c r="S70" i="18"/>
  <c r="T70" i="18" s="1"/>
  <c r="N70" i="18"/>
  <c r="AF70" i="18" s="1"/>
  <c r="M70" i="18"/>
  <c r="L70" i="18"/>
  <c r="K70" i="18"/>
  <c r="J70" i="18"/>
  <c r="I70" i="18"/>
  <c r="H70" i="18"/>
  <c r="G70" i="18"/>
  <c r="F70" i="18"/>
  <c r="E70" i="18"/>
  <c r="D70" i="18"/>
  <c r="C70" i="18"/>
  <c r="S68" i="18"/>
  <c r="T68" i="18" s="1"/>
  <c r="N66" i="18"/>
  <c r="N129" i="18" s="1"/>
  <c r="M66" i="18"/>
  <c r="M129" i="18" s="1"/>
  <c r="L66" i="18"/>
  <c r="L129" i="18" s="1"/>
  <c r="K66" i="18"/>
  <c r="K129" i="18" s="1"/>
  <c r="J66" i="18"/>
  <c r="J68" i="18" s="1"/>
  <c r="I66" i="18"/>
  <c r="I129" i="18" s="1"/>
  <c r="H66" i="18"/>
  <c r="H129" i="18" s="1"/>
  <c r="G66" i="18"/>
  <c r="G129" i="18" s="1"/>
  <c r="F66" i="18"/>
  <c r="F129" i="18" s="1"/>
  <c r="E66" i="18"/>
  <c r="E129" i="18" s="1"/>
  <c r="D66" i="18"/>
  <c r="D129" i="18" s="1"/>
  <c r="C66" i="18"/>
  <c r="C129" i="18" s="1"/>
  <c r="N64" i="18"/>
  <c r="N128" i="18" s="1"/>
  <c r="M64" i="18"/>
  <c r="M128" i="18" s="1"/>
  <c r="L64" i="18"/>
  <c r="L128" i="18" s="1"/>
  <c r="K64" i="18"/>
  <c r="K128" i="18" s="1"/>
  <c r="J64" i="18"/>
  <c r="J128" i="18" s="1"/>
  <c r="I64" i="18"/>
  <c r="I128" i="18" s="1"/>
  <c r="H64" i="18"/>
  <c r="G64" i="18"/>
  <c r="G128" i="18" s="1"/>
  <c r="F64" i="18"/>
  <c r="F128" i="18" s="1"/>
  <c r="E64" i="18"/>
  <c r="E128" i="18" s="1"/>
  <c r="D64" i="18"/>
  <c r="D128" i="18" s="1"/>
  <c r="N60" i="18"/>
  <c r="N59" i="18"/>
  <c r="M59" i="18"/>
  <c r="L59" i="18"/>
  <c r="K59" i="18"/>
  <c r="J59" i="18"/>
  <c r="I59" i="18"/>
  <c r="H59" i="18"/>
  <c r="G59" i="18"/>
  <c r="F59" i="18"/>
  <c r="E59" i="18"/>
  <c r="D59" i="18"/>
  <c r="N58" i="18"/>
  <c r="M58" i="18"/>
  <c r="L58" i="18"/>
  <c r="K58" i="18"/>
  <c r="J58" i="18"/>
  <c r="I58" i="18"/>
  <c r="H58" i="18"/>
  <c r="G58" i="18"/>
  <c r="F58" i="18"/>
  <c r="E58" i="18"/>
  <c r="D58" i="18"/>
  <c r="C58" i="18"/>
  <c r="N57" i="18"/>
  <c r="M57" i="18"/>
  <c r="L57" i="18"/>
  <c r="K57" i="18"/>
  <c r="J57" i="18"/>
  <c r="I57" i="18"/>
  <c r="H57" i="18"/>
  <c r="G57" i="18"/>
  <c r="F57" i="18"/>
  <c r="E57" i="18"/>
  <c r="D57" i="18"/>
  <c r="C57" i="18"/>
  <c r="N56" i="18"/>
  <c r="M56" i="18"/>
  <c r="L56" i="18"/>
  <c r="K56" i="18"/>
  <c r="N54" i="18"/>
  <c r="M54" i="18"/>
  <c r="L54" i="18"/>
  <c r="K54" i="18"/>
  <c r="J54" i="18"/>
  <c r="I54" i="18"/>
  <c r="H54" i="18"/>
  <c r="G54" i="18"/>
  <c r="F54" i="18"/>
  <c r="E54" i="18"/>
  <c r="D54" i="18"/>
  <c r="C54" i="18"/>
  <c r="N52" i="18"/>
  <c r="M52" i="18"/>
  <c r="L52" i="18"/>
  <c r="K52" i="18"/>
  <c r="N45" i="18"/>
  <c r="M45" i="18"/>
  <c r="L45" i="18"/>
  <c r="K45" i="18"/>
  <c r="J45" i="18"/>
  <c r="I45" i="18"/>
  <c r="H45" i="18"/>
  <c r="G45" i="18"/>
  <c r="F45" i="18"/>
  <c r="E45" i="18"/>
  <c r="D45" i="18"/>
  <c r="N44" i="18"/>
  <c r="M44" i="18"/>
  <c r="L44" i="18"/>
  <c r="K44" i="18"/>
  <c r="J44" i="18"/>
  <c r="I44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N41" i="18"/>
  <c r="M41" i="18"/>
  <c r="L41" i="18"/>
  <c r="K41" i="18"/>
  <c r="S39" i="18"/>
  <c r="T39" i="18" s="1"/>
  <c r="N38" i="18"/>
  <c r="M38" i="18"/>
  <c r="L38" i="18"/>
  <c r="K38" i="18"/>
  <c r="J38" i="18"/>
  <c r="I38" i="18"/>
  <c r="C37" i="18"/>
  <c r="C33" i="18" s="1"/>
  <c r="N36" i="18"/>
  <c r="N37" i="18" s="1"/>
  <c r="M36" i="18"/>
  <c r="M37" i="18" s="1"/>
  <c r="L36" i="18"/>
  <c r="L37" i="18" s="1"/>
  <c r="K36" i="18"/>
  <c r="K37" i="18" s="1"/>
  <c r="J36" i="18"/>
  <c r="J37" i="18" s="1"/>
  <c r="I36" i="18"/>
  <c r="I37" i="18" s="1"/>
  <c r="H36" i="18"/>
  <c r="H37" i="18" s="1"/>
  <c r="G36" i="18"/>
  <c r="G37" i="18" s="1"/>
  <c r="F36" i="18"/>
  <c r="F37" i="18" s="1"/>
  <c r="E36" i="18"/>
  <c r="E37" i="18" s="1"/>
  <c r="D36" i="18"/>
  <c r="D37" i="18" s="1"/>
  <c r="N34" i="18"/>
  <c r="M34" i="18"/>
  <c r="L34" i="18"/>
  <c r="K34" i="18"/>
  <c r="J34" i="18"/>
  <c r="I34" i="18"/>
  <c r="H34" i="18"/>
  <c r="G34" i="18"/>
  <c r="F34" i="18"/>
  <c r="E34" i="18"/>
  <c r="D34" i="18"/>
  <c r="S33" i="18"/>
  <c r="N31" i="18"/>
  <c r="M31" i="18"/>
  <c r="L31" i="18"/>
  <c r="K31" i="18"/>
  <c r="J31" i="18"/>
  <c r="I31" i="18"/>
  <c r="H31" i="18"/>
  <c r="G31" i="18"/>
  <c r="F31" i="18"/>
  <c r="E31" i="18"/>
  <c r="D31" i="18"/>
  <c r="C31" i="18"/>
  <c r="N15" i="18"/>
  <c r="M15" i="18"/>
  <c r="L15" i="18"/>
  <c r="K15" i="18"/>
  <c r="J15" i="18"/>
  <c r="I15" i="18"/>
  <c r="H15" i="18"/>
  <c r="G15" i="18"/>
  <c r="F15" i="18"/>
  <c r="E15" i="18"/>
  <c r="D15" i="18"/>
  <c r="N12" i="18"/>
  <c r="M12" i="18"/>
  <c r="L12" i="18"/>
  <c r="K12" i="18"/>
  <c r="J12" i="18"/>
  <c r="I12" i="18"/>
  <c r="H12" i="18"/>
  <c r="G12" i="18"/>
  <c r="F12" i="18"/>
  <c r="E12" i="18"/>
  <c r="D12" i="18"/>
  <c r="S11" i="18"/>
  <c r="T11" i="18" s="1"/>
  <c r="C11" i="18"/>
  <c r="S3" i="18"/>
  <c r="T3" i="18" s="1"/>
  <c r="N3" i="18"/>
  <c r="M3" i="18"/>
  <c r="L3" i="18"/>
  <c r="K3" i="18"/>
  <c r="J3" i="18"/>
  <c r="I3" i="18"/>
  <c r="H3" i="18"/>
  <c r="G3" i="18"/>
  <c r="F3" i="18"/>
  <c r="E3" i="18"/>
  <c r="D3" i="18"/>
  <c r="C3" i="18"/>
  <c r="T33" i="18" l="1"/>
  <c r="V38" i="18"/>
  <c r="O72" i="18"/>
  <c r="AG72" i="18" s="1"/>
  <c r="H11" i="18"/>
  <c r="G164" i="18"/>
  <c r="F92" i="18"/>
  <c r="N85" i="18"/>
  <c r="F164" i="18"/>
  <c r="F222" i="18" s="1"/>
  <c r="I11" i="18"/>
  <c r="L85" i="18"/>
  <c r="K11" i="18"/>
  <c r="J11" i="18"/>
  <c r="H164" i="18"/>
  <c r="H222" i="18" s="1"/>
  <c r="D196" i="18"/>
  <c r="D224" i="18" s="1"/>
  <c r="D226" i="18" s="1"/>
  <c r="L196" i="18"/>
  <c r="L224" i="18" s="1"/>
  <c r="M112" i="18"/>
  <c r="I164" i="18"/>
  <c r="H92" i="18"/>
  <c r="H112" i="18"/>
  <c r="K112" i="18"/>
  <c r="J164" i="18"/>
  <c r="J222" i="18" s="1"/>
  <c r="M164" i="18"/>
  <c r="K164" i="18"/>
  <c r="K222" i="18" s="1"/>
  <c r="K77" i="18"/>
  <c r="N92" i="18"/>
  <c r="N164" i="18"/>
  <c r="AF164" i="18" s="1"/>
  <c r="L164" i="18"/>
  <c r="G85" i="18"/>
  <c r="E164" i="18"/>
  <c r="E222" i="18" s="1"/>
  <c r="D164" i="18"/>
  <c r="D222" i="18" s="1"/>
  <c r="L11" i="18"/>
  <c r="J85" i="18"/>
  <c r="G92" i="18"/>
  <c r="D11" i="18"/>
  <c r="I85" i="18"/>
  <c r="K85" i="18"/>
  <c r="F112" i="18"/>
  <c r="F144" i="18"/>
  <c r="F221" i="18" s="1"/>
  <c r="K196" i="18"/>
  <c r="AC196" i="18" s="1"/>
  <c r="H68" i="18"/>
  <c r="H71" i="18" s="1"/>
  <c r="J92" i="18"/>
  <c r="G112" i="18"/>
  <c r="C39" i="18"/>
  <c r="C65" i="18" s="1"/>
  <c r="M106" i="18"/>
  <c r="I121" i="18"/>
  <c r="F33" i="18"/>
  <c r="G106" i="18"/>
  <c r="L77" i="18"/>
  <c r="F85" i="18"/>
  <c r="H106" i="18"/>
  <c r="M121" i="18"/>
  <c r="V70" i="18"/>
  <c r="K121" i="18"/>
  <c r="G68" i="18"/>
  <c r="G71" i="18" s="1"/>
  <c r="I68" i="18"/>
  <c r="I71" i="18" s="1"/>
  <c r="L92" i="18"/>
  <c r="N112" i="18"/>
  <c r="E106" i="18"/>
  <c r="E112" i="18"/>
  <c r="D39" i="18"/>
  <c r="H39" i="18"/>
  <c r="E121" i="18"/>
  <c r="W70" i="18"/>
  <c r="N77" i="18"/>
  <c r="H85" i="18"/>
  <c r="M85" i="18"/>
  <c r="N97" i="18"/>
  <c r="L97" i="18"/>
  <c r="J106" i="18"/>
  <c r="L106" i="18"/>
  <c r="G121" i="18"/>
  <c r="D144" i="18"/>
  <c r="D221" i="18" s="1"/>
  <c r="G196" i="18"/>
  <c r="L144" i="18"/>
  <c r="L221" i="18" s="1"/>
  <c r="J196" i="18"/>
  <c r="J224" i="18" s="1"/>
  <c r="J226" i="18" s="1"/>
  <c r="J144" i="18"/>
  <c r="J221" i="18" s="1"/>
  <c r="L39" i="18"/>
  <c r="I112" i="18"/>
  <c r="D121" i="18"/>
  <c r="I106" i="18"/>
  <c r="D112" i="18"/>
  <c r="L112" i="18"/>
  <c r="H121" i="18"/>
  <c r="F196" i="18"/>
  <c r="F224" i="18" s="1"/>
  <c r="E33" i="18"/>
  <c r="H128" i="18"/>
  <c r="H133" i="18" s="1"/>
  <c r="E11" i="18"/>
  <c r="M11" i="18"/>
  <c r="J33" i="18"/>
  <c r="G39" i="18"/>
  <c r="D68" i="18"/>
  <c r="D71" i="18" s="1"/>
  <c r="E85" i="18"/>
  <c r="M88" i="18"/>
  <c r="H144" i="18"/>
  <c r="G144" i="18"/>
  <c r="G221" i="18" s="1"/>
  <c r="I196" i="18"/>
  <c r="J39" i="18"/>
  <c r="L68" i="18"/>
  <c r="L71" i="18" s="1"/>
  <c r="M33" i="18"/>
  <c r="L121" i="18"/>
  <c r="I33" i="18"/>
  <c r="F11" i="18"/>
  <c r="E68" i="18"/>
  <c r="E71" i="18" s="1"/>
  <c r="M77" i="18"/>
  <c r="K92" i="18"/>
  <c r="I92" i="18"/>
  <c r="H196" i="18"/>
  <c r="H224" i="18" s="1"/>
  <c r="H226" i="18" s="1"/>
  <c r="E196" i="18"/>
  <c r="M196" i="18"/>
  <c r="C196" i="18"/>
  <c r="M68" i="18"/>
  <c r="M71" i="18" s="1"/>
  <c r="G11" i="18"/>
  <c r="M39" i="18"/>
  <c r="AE70" i="18"/>
  <c r="M97" i="18"/>
  <c r="F106" i="18"/>
  <c r="E144" i="18"/>
  <c r="E221" i="18" s="1"/>
  <c r="I133" i="18"/>
  <c r="I138" i="18" s="1"/>
  <c r="Y70" i="18"/>
  <c r="Z70" i="18"/>
  <c r="AC210" i="18"/>
  <c r="Z137" i="18"/>
  <c r="O139" i="18"/>
  <c r="AG139" i="18" s="1"/>
  <c r="P235" i="18"/>
  <c r="K158" i="8"/>
  <c r="K161" i="8"/>
  <c r="AD137" i="18"/>
  <c r="AE137" i="18"/>
  <c r="AF137" i="18"/>
  <c r="AB70" i="18"/>
  <c r="E133" i="18"/>
  <c r="E138" i="18" s="1"/>
  <c r="M133" i="18"/>
  <c r="M138" i="18" s="1"/>
  <c r="F133" i="18"/>
  <c r="F138" i="18" s="1"/>
  <c r="AB210" i="18"/>
  <c r="G133" i="18"/>
  <c r="S71" i="18"/>
  <c r="T71" i="18" s="1"/>
  <c r="W137" i="18"/>
  <c r="C133" i="18"/>
  <c r="C138" i="18" s="1"/>
  <c r="W210" i="18"/>
  <c r="AE210" i="18"/>
  <c r="AF210" i="18"/>
  <c r="O218" i="18"/>
  <c r="O229" i="18" s="1"/>
  <c r="AG229" i="18" s="1"/>
  <c r="S224" i="18"/>
  <c r="S221" i="18"/>
  <c r="S133" i="18"/>
  <c r="T133" i="18" s="1"/>
  <c r="V129" i="18"/>
  <c r="S222" i="18"/>
  <c r="AA137" i="18"/>
  <c r="AB137" i="18"/>
  <c r="H33" i="18"/>
  <c r="AA70" i="18"/>
  <c r="X137" i="18"/>
  <c r="L225" i="18"/>
  <c r="N225" i="18"/>
  <c r="AC70" i="18"/>
  <c r="C127" i="18"/>
  <c r="U210" i="18"/>
  <c r="U70" i="18"/>
  <c r="AD70" i="18"/>
  <c r="G33" i="18"/>
  <c r="K133" i="18"/>
  <c r="K138" i="18" s="1"/>
  <c r="X70" i="18"/>
  <c r="F225" i="18"/>
  <c r="W29" i="10"/>
  <c r="W49" i="10" s="1"/>
  <c r="W52" i="10" s="1"/>
  <c r="W21" i="10"/>
  <c r="W25" i="10" s="1"/>
  <c r="U129" i="18"/>
  <c r="N133" i="18"/>
  <c r="AF133" i="18" s="1"/>
  <c r="N39" i="18"/>
  <c r="K33" i="18"/>
  <c r="D33" i="18"/>
  <c r="L33" i="18"/>
  <c r="S65" i="18"/>
  <c r="T65" i="18" s="1"/>
  <c r="I39" i="18"/>
  <c r="E39" i="18"/>
  <c r="J71" i="18"/>
  <c r="N33" i="18"/>
  <c r="K39" i="18"/>
  <c r="F39" i="18"/>
  <c r="N106" i="18"/>
  <c r="J112" i="18"/>
  <c r="D133" i="18"/>
  <c r="L133" i="18"/>
  <c r="F68" i="18"/>
  <c r="N68" i="18"/>
  <c r="AF68" i="18" s="1"/>
  <c r="Y137" i="18"/>
  <c r="E225" i="18"/>
  <c r="V210" i="18"/>
  <c r="M225" i="18"/>
  <c r="AD210" i="18"/>
  <c r="J121" i="18"/>
  <c r="J129" i="18"/>
  <c r="J133" i="18" s="1"/>
  <c r="S127" i="18"/>
  <c r="T127" i="18" s="1"/>
  <c r="X210" i="18"/>
  <c r="G225" i="18"/>
  <c r="S225" i="18"/>
  <c r="N144" i="18"/>
  <c r="AF144" i="18" s="1"/>
  <c r="M92" i="18"/>
  <c r="U137" i="18"/>
  <c r="AC137" i="18"/>
  <c r="M144" i="18"/>
  <c r="I144" i="18"/>
  <c r="C223" i="18"/>
  <c r="N11" i="18"/>
  <c r="K106" i="18"/>
  <c r="U132" i="18"/>
  <c r="K144" i="18"/>
  <c r="N196" i="18"/>
  <c r="AF196" i="18" s="1"/>
  <c r="Z210" i="18"/>
  <c r="I225" i="18"/>
  <c r="Y210" i="18"/>
  <c r="C68" i="18"/>
  <c r="C71" i="18" s="1"/>
  <c r="K68" i="18"/>
  <c r="N88" i="18"/>
  <c r="E92" i="18"/>
  <c r="F121" i="18"/>
  <c r="N121" i="18"/>
  <c r="V137" i="18"/>
  <c r="AA210" i="18"/>
  <c r="K225" i="18"/>
  <c r="R37" i="17"/>
  <c r="Q37" i="17"/>
  <c r="Z68" i="18" l="1"/>
  <c r="L226" i="18"/>
  <c r="L65" i="18"/>
  <c r="L72" i="18" s="1"/>
  <c r="F226" i="18"/>
  <c r="AD196" i="18"/>
  <c r="D223" i="18"/>
  <c r="V196" i="18"/>
  <c r="U164" i="18"/>
  <c r="K224" i="18"/>
  <c r="K226" i="18" s="1"/>
  <c r="H65" i="18"/>
  <c r="H72" i="18" s="1"/>
  <c r="U196" i="18"/>
  <c r="H127" i="18"/>
  <c r="U144" i="18"/>
  <c r="AA68" i="18"/>
  <c r="D127" i="18"/>
  <c r="U127" i="18" s="1"/>
  <c r="AA196" i="18"/>
  <c r="V164" i="18"/>
  <c r="E223" i="18"/>
  <c r="Y196" i="18"/>
  <c r="G224" i="18"/>
  <c r="G226" i="18" s="1"/>
  <c r="W164" i="18"/>
  <c r="I65" i="18"/>
  <c r="X196" i="18"/>
  <c r="F65" i="18"/>
  <c r="D65" i="18"/>
  <c r="D72" i="18" s="1"/>
  <c r="L127" i="18"/>
  <c r="G127" i="18"/>
  <c r="G65" i="18"/>
  <c r="G72" i="18" s="1"/>
  <c r="AB196" i="18"/>
  <c r="J65" i="18"/>
  <c r="Z196" i="18"/>
  <c r="M65" i="18"/>
  <c r="E127" i="18"/>
  <c r="V68" i="18"/>
  <c r="E65" i="18"/>
  <c r="Y68" i="18"/>
  <c r="I127" i="18"/>
  <c r="AC68" i="18"/>
  <c r="C139" i="18"/>
  <c r="C219" i="18" s="1"/>
  <c r="C230" i="18" s="1"/>
  <c r="C233" i="18" s="1"/>
  <c r="C236" i="18" s="1"/>
  <c r="X133" i="18"/>
  <c r="C72" i="18"/>
  <c r="C218" i="18" s="1"/>
  <c r="AA164" i="18"/>
  <c r="AC164" i="18"/>
  <c r="AB164" i="18"/>
  <c r="L222" i="18"/>
  <c r="L223" i="18" s="1"/>
  <c r="AA144" i="18"/>
  <c r="Y144" i="18"/>
  <c r="H221" i="18"/>
  <c r="H223" i="18" s="1"/>
  <c r="K127" i="18"/>
  <c r="M224" i="18"/>
  <c r="M226" i="18" s="1"/>
  <c r="F127" i="18"/>
  <c r="V144" i="18"/>
  <c r="C224" i="18"/>
  <c r="C226" i="18" s="1"/>
  <c r="AD68" i="18"/>
  <c r="W196" i="18"/>
  <c r="W144" i="18"/>
  <c r="E224" i="18"/>
  <c r="E226" i="18" s="1"/>
  <c r="I224" i="18"/>
  <c r="I226" i="18" s="1"/>
  <c r="X144" i="18"/>
  <c r="M127" i="18"/>
  <c r="M139" i="18" s="1"/>
  <c r="G138" i="18"/>
  <c r="X138" i="18" s="1"/>
  <c r="U71" i="18"/>
  <c r="J127" i="18"/>
  <c r="AD71" i="18"/>
  <c r="K65" i="18"/>
  <c r="Y71" i="18"/>
  <c r="O219" i="18"/>
  <c r="O230" i="18" s="1"/>
  <c r="AG230" i="18" s="1"/>
  <c r="P237" i="18"/>
  <c r="O232" i="18"/>
  <c r="AG232" i="18" s="1"/>
  <c r="AA71" i="18"/>
  <c r="W138" i="18"/>
  <c r="V133" i="18"/>
  <c r="S138" i="18"/>
  <c r="T138" i="18" s="1"/>
  <c r="W133" i="18"/>
  <c r="S226" i="18"/>
  <c r="S223" i="18"/>
  <c r="J223" i="18"/>
  <c r="F223" i="18"/>
  <c r="Z71" i="18"/>
  <c r="W53" i="10"/>
  <c r="U65" i="18"/>
  <c r="J138" i="18"/>
  <c r="AA138" i="18" s="1"/>
  <c r="AA133" i="18"/>
  <c r="AB133" i="18"/>
  <c r="V71" i="18"/>
  <c r="AE68" i="18"/>
  <c r="N71" i="18"/>
  <c r="AF71" i="18" s="1"/>
  <c r="M72" i="18"/>
  <c r="U68" i="18"/>
  <c r="N138" i="18"/>
  <c r="AE133" i="18"/>
  <c r="M221" i="18"/>
  <c r="AD144" i="18"/>
  <c r="AB144" i="18"/>
  <c r="K221" i="18"/>
  <c r="K223" i="18" s="1"/>
  <c r="S72" i="18"/>
  <c r="T72" i="18" s="1"/>
  <c r="N222" i="18"/>
  <c r="AE164" i="18"/>
  <c r="H138" i="18"/>
  <c r="Y133" i="18"/>
  <c r="AE144" i="18"/>
  <c r="N221" i="18"/>
  <c r="L138" i="18"/>
  <c r="AC138" i="18" s="1"/>
  <c r="AC133" i="18"/>
  <c r="D138" i="18"/>
  <c r="U133" i="18"/>
  <c r="N127" i="18"/>
  <c r="AF127" i="18" s="1"/>
  <c r="I222" i="18"/>
  <c r="Z164" i="18"/>
  <c r="N65" i="18"/>
  <c r="AF65" i="18" s="1"/>
  <c r="M222" i="18"/>
  <c r="AD164" i="18"/>
  <c r="G222" i="18"/>
  <c r="G223" i="18" s="1"/>
  <c r="X164" i="18"/>
  <c r="AC144" i="18"/>
  <c r="Y164" i="18"/>
  <c r="AB68" i="18"/>
  <c r="K71" i="18"/>
  <c r="W68" i="18"/>
  <c r="F71" i="18"/>
  <c r="X68" i="18"/>
  <c r="N224" i="18"/>
  <c r="N226" i="18" s="1"/>
  <c r="AE196" i="18"/>
  <c r="AD133" i="18"/>
  <c r="I221" i="18"/>
  <c r="Z144" i="18"/>
  <c r="Z133" i="18"/>
  <c r="N37" i="17"/>
  <c r="N38" i="17"/>
  <c r="N15" i="17"/>
  <c r="M15" i="17"/>
  <c r="L15" i="17"/>
  <c r="K15" i="17"/>
  <c r="J15" i="17"/>
  <c r="J12" i="17"/>
  <c r="L38" i="16"/>
  <c r="K38" i="16"/>
  <c r="L37" i="16"/>
  <c r="K37" i="16"/>
  <c r="L15" i="16"/>
  <c r="K15" i="16"/>
  <c r="J15" i="16"/>
  <c r="J12" i="16"/>
  <c r="J38" i="16"/>
  <c r="J12" i="15"/>
  <c r="J15" i="15"/>
  <c r="V127" i="18" l="1"/>
  <c r="E139" i="18"/>
  <c r="Z127" i="18"/>
  <c r="H139" i="18"/>
  <c r="H219" i="18" s="1"/>
  <c r="H230" i="18" s="1"/>
  <c r="W65" i="18"/>
  <c r="AD65" i="18"/>
  <c r="Y138" i="18"/>
  <c r="Z65" i="18"/>
  <c r="Y65" i="18"/>
  <c r="AA65" i="18"/>
  <c r="G139" i="18"/>
  <c r="G219" i="18" s="1"/>
  <c r="G230" i="18" s="1"/>
  <c r="AA127" i="18"/>
  <c r="Y127" i="18"/>
  <c r="AD127" i="18"/>
  <c r="X65" i="18"/>
  <c r="I139" i="18"/>
  <c r="I219" i="18" s="1"/>
  <c r="I230" i="18" s="1"/>
  <c r="W127" i="18"/>
  <c r="I72" i="18"/>
  <c r="I218" i="18" s="1"/>
  <c r="J72" i="18"/>
  <c r="J218" i="18" s="1"/>
  <c r="AB65" i="18"/>
  <c r="AC127" i="18"/>
  <c r="C220" i="18"/>
  <c r="C227" i="18" s="1"/>
  <c r="F139" i="18"/>
  <c r="F219" i="18" s="1"/>
  <c r="F230" i="18" s="1"/>
  <c r="E72" i="18"/>
  <c r="E218" i="18" s="1"/>
  <c r="V65" i="18"/>
  <c r="C229" i="18"/>
  <c r="C232" i="18" s="1"/>
  <c r="C235" i="18" s="1"/>
  <c r="K139" i="18"/>
  <c r="K219" i="18" s="1"/>
  <c r="K230" i="18" s="1"/>
  <c r="X127" i="18"/>
  <c r="J139" i="18"/>
  <c r="AB127" i="18"/>
  <c r="K72" i="18"/>
  <c r="K218" i="18" s="1"/>
  <c r="AC65" i="18"/>
  <c r="AB138" i="18"/>
  <c r="O220" i="18"/>
  <c r="O227" i="18" s="1"/>
  <c r="O233" i="18"/>
  <c r="AG233" i="18" s="1"/>
  <c r="S139" i="18"/>
  <c r="T139" i="18" s="1"/>
  <c r="Z138" i="18"/>
  <c r="I223" i="18"/>
  <c r="AE138" i="18"/>
  <c r="AF138" i="18"/>
  <c r="AD138" i="18"/>
  <c r="O235" i="18"/>
  <c r="AG235" i="18" s="1"/>
  <c r="L218" i="18"/>
  <c r="L139" i="18"/>
  <c r="M219" i="18"/>
  <c r="M230" i="18" s="1"/>
  <c r="U138" i="18"/>
  <c r="V138" i="18"/>
  <c r="G218" i="18"/>
  <c r="N223" i="18"/>
  <c r="N72" i="18"/>
  <c r="AF72" i="18" s="1"/>
  <c r="AE65" i="18"/>
  <c r="M218" i="18"/>
  <c r="AD72" i="18"/>
  <c r="AB71" i="18"/>
  <c r="AC71" i="18"/>
  <c r="N139" i="18"/>
  <c r="AF139" i="18" s="1"/>
  <c r="AE127" i="18"/>
  <c r="D218" i="18"/>
  <c r="U72" i="18"/>
  <c r="H218" i="18"/>
  <c r="Y72" i="18"/>
  <c r="E219" i="18"/>
  <c r="E230" i="18" s="1"/>
  <c r="S218" i="18"/>
  <c r="W71" i="18"/>
  <c r="X71" i="18"/>
  <c r="M223" i="18"/>
  <c r="AE71" i="18"/>
  <c r="D139" i="18"/>
  <c r="F72" i="18"/>
  <c r="J38" i="15"/>
  <c r="J37" i="16"/>
  <c r="J37" i="15"/>
  <c r="M37" i="17"/>
  <c r="K37" i="17"/>
  <c r="L37" i="17"/>
  <c r="K38" i="17"/>
  <c r="L38" i="17"/>
  <c r="M38" i="17"/>
  <c r="J38" i="17"/>
  <c r="J37" i="17"/>
  <c r="E34" i="17"/>
  <c r="L12" i="17"/>
  <c r="M12" i="17"/>
  <c r="N12" i="17"/>
  <c r="K12" i="17"/>
  <c r="L12" i="16"/>
  <c r="K12" i="16"/>
  <c r="D12" i="17"/>
  <c r="R132" i="17"/>
  <c r="Q132" i="17"/>
  <c r="R129" i="17"/>
  <c r="Q129" i="17"/>
  <c r="R118" i="17"/>
  <c r="Q118" i="17"/>
  <c r="R64" i="17"/>
  <c r="Q64" i="17"/>
  <c r="R63" i="17"/>
  <c r="Q63" i="17"/>
  <c r="R31" i="17"/>
  <c r="Q31" i="17"/>
  <c r="R30" i="17"/>
  <c r="Q30" i="17"/>
  <c r="R16" i="17"/>
  <c r="R10" i="17"/>
  <c r="Q10" i="17"/>
  <c r="O158" i="17"/>
  <c r="C158" i="17"/>
  <c r="O144" i="17"/>
  <c r="O183" i="17"/>
  <c r="D197" i="17"/>
  <c r="E197" i="17"/>
  <c r="F197" i="17"/>
  <c r="G197" i="17"/>
  <c r="H197" i="17"/>
  <c r="I197" i="17"/>
  <c r="J197" i="17"/>
  <c r="K197" i="17"/>
  <c r="L197" i="17"/>
  <c r="M197" i="17"/>
  <c r="N197" i="17"/>
  <c r="O197" i="17"/>
  <c r="R157" i="17"/>
  <c r="R189" i="17"/>
  <c r="R193" i="17"/>
  <c r="R195" i="17"/>
  <c r="R199" i="17"/>
  <c r="Q199" i="17"/>
  <c r="V139" i="18" l="1"/>
  <c r="Y139" i="18"/>
  <c r="V72" i="18"/>
  <c r="U220" i="18"/>
  <c r="W139" i="18"/>
  <c r="Z139" i="18"/>
  <c r="Z72" i="18"/>
  <c r="AC72" i="18"/>
  <c r="AA139" i="18"/>
  <c r="AB72" i="18"/>
  <c r="X139" i="18"/>
  <c r="AA72" i="18"/>
  <c r="K140" i="18"/>
  <c r="J219" i="18"/>
  <c r="J230" i="18" s="1"/>
  <c r="AA230" i="18" s="1"/>
  <c r="AB139" i="18"/>
  <c r="O236" i="18"/>
  <c r="AG236" i="18" s="1"/>
  <c r="S219" i="18"/>
  <c r="S230" i="18" s="1"/>
  <c r="S233" i="18" s="1"/>
  <c r="S236" i="18" s="1"/>
  <c r="F233" i="18"/>
  <c r="W230" i="18"/>
  <c r="H220" i="18"/>
  <c r="H227" i="18" s="1"/>
  <c r="H229" i="18"/>
  <c r="I229" i="18"/>
  <c r="I220" i="18"/>
  <c r="I227" i="18" s="1"/>
  <c r="AC139" i="18"/>
  <c r="L219" i="18"/>
  <c r="L230" i="18" s="1"/>
  <c r="AD230" i="18" s="1"/>
  <c r="I233" i="18"/>
  <c r="Z230" i="18"/>
  <c r="C237" i="18"/>
  <c r="J229" i="18"/>
  <c r="F218" i="18"/>
  <c r="W72" i="18"/>
  <c r="L229" i="18"/>
  <c r="S229" i="18"/>
  <c r="AE139" i="18"/>
  <c r="N219" i="18"/>
  <c r="N230" i="18" s="1"/>
  <c r="AF230" i="18" s="1"/>
  <c r="G229" i="18"/>
  <c r="G220" i="18"/>
  <c r="G227" i="18" s="1"/>
  <c r="AD139" i="18"/>
  <c r="E220" i="18"/>
  <c r="E227" i="18" s="1"/>
  <c r="E229" i="18"/>
  <c r="M229" i="18"/>
  <c r="M220" i="18"/>
  <c r="M227" i="18" s="1"/>
  <c r="K233" i="18"/>
  <c r="E233" i="18"/>
  <c r="E236" i="18" s="1"/>
  <c r="X72" i="18"/>
  <c r="M233" i="18"/>
  <c r="M236" i="18" s="1"/>
  <c r="K220" i="18"/>
  <c r="K227" i="18" s="1"/>
  <c r="K229" i="18"/>
  <c r="X230" i="18"/>
  <c r="G233" i="18"/>
  <c r="U139" i="18"/>
  <c r="D219" i="18"/>
  <c r="D230" i="18" s="1"/>
  <c r="V230" i="18" s="1"/>
  <c r="D229" i="18"/>
  <c r="Y230" i="18"/>
  <c r="H233" i="18"/>
  <c r="H236" i="18" s="1"/>
  <c r="N218" i="18"/>
  <c r="AE72" i="18"/>
  <c r="N166" i="17"/>
  <c r="N135" i="17"/>
  <c r="N108" i="17"/>
  <c r="N90" i="17"/>
  <c r="N78" i="17"/>
  <c r="N58" i="17"/>
  <c r="N54" i="17"/>
  <c r="N41" i="17"/>
  <c r="J220" i="18" l="1"/>
  <c r="J227" i="18" s="1"/>
  <c r="AB230" i="18"/>
  <c r="J233" i="18"/>
  <c r="AB233" i="18" s="1"/>
  <c r="O237" i="18"/>
  <c r="S220" i="18"/>
  <c r="S227" i="18" s="1"/>
  <c r="S238" i="18" s="1"/>
  <c r="X233" i="18"/>
  <c r="Y233" i="18"/>
  <c r="L220" i="18"/>
  <c r="L227" i="18" s="1"/>
  <c r="D220" i="18"/>
  <c r="D227" i="18" s="1"/>
  <c r="G236" i="18"/>
  <c r="Y236" i="18" s="1"/>
  <c r="F229" i="18"/>
  <c r="F220" i="18"/>
  <c r="F227" i="18" s="1"/>
  <c r="AB229" i="18"/>
  <c r="K232" i="18"/>
  <c r="I232" i="18"/>
  <c r="Z229" i="18"/>
  <c r="AD229" i="18"/>
  <c r="M232" i="18"/>
  <c r="M235" i="18" s="1"/>
  <c r="S232" i="18"/>
  <c r="S235" i="18" s="1"/>
  <c r="D233" i="18"/>
  <c r="U233" i="18" s="1"/>
  <c r="U230" i="18"/>
  <c r="K236" i="18"/>
  <c r="Z233" i="18"/>
  <c r="V229" i="18"/>
  <c r="E232" i="18"/>
  <c r="E235" i="18" s="1"/>
  <c r="D232" i="18"/>
  <c r="U232" i="18" s="1"/>
  <c r="U229" i="18"/>
  <c r="N229" i="18"/>
  <c r="AF229" i="18" s="1"/>
  <c r="N220" i="18"/>
  <c r="N227" i="18" s="1"/>
  <c r="G232" i="18"/>
  <c r="G235" i="18" s="1"/>
  <c r="I236" i="18"/>
  <c r="W233" i="18"/>
  <c r="AA229" i="18"/>
  <c r="J232" i="18"/>
  <c r="Y229" i="18"/>
  <c r="H232" i="18"/>
  <c r="L232" i="18"/>
  <c r="AC229" i="18"/>
  <c r="N233" i="18"/>
  <c r="AE230" i="18"/>
  <c r="L233" i="18"/>
  <c r="AC233" i="18" s="1"/>
  <c r="AC230" i="18"/>
  <c r="F236" i="18"/>
  <c r="AA33" i="10"/>
  <c r="AA45" i="10"/>
  <c r="AA42" i="10"/>
  <c r="AA41" i="10"/>
  <c r="AA36" i="10"/>
  <c r="AA32" i="10"/>
  <c r="AA31" i="10"/>
  <c r="AA15" i="10"/>
  <c r="AA14" i="10"/>
  <c r="O29" i="11"/>
  <c r="AB15" i="10" l="1"/>
  <c r="AA233" i="18"/>
  <c r="J236" i="18"/>
  <c r="AA236" i="18" s="1"/>
  <c r="S237" i="18"/>
  <c r="AE233" i="18"/>
  <c r="AF233" i="18"/>
  <c r="AA232" i="18"/>
  <c r="AC232" i="18"/>
  <c r="Y232" i="18"/>
  <c r="Z232" i="18"/>
  <c r="V233" i="18"/>
  <c r="M237" i="18"/>
  <c r="F232" i="18"/>
  <c r="W232" i="18" s="1"/>
  <c r="W229" i="18"/>
  <c r="J235" i="18"/>
  <c r="I235" i="18"/>
  <c r="I237" i="18" s="1"/>
  <c r="N232" i="18"/>
  <c r="AE229" i="18"/>
  <c r="E237" i="18"/>
  <c r="Z236" i="18"/>
  <c r="AB232" i="18"/>
  <c r="G237" i="18"/>
  <c r="W236" i="18"/>
  <c r="AD232" i="18"/>
  <c r="X236" i="18"/>
  <c r="L235" i="18"/>
  <c r="L236" i="18"/>
  <c r="D235" i="18"/>
  <c r="U235" i="18" s="1"/>
  <c r="K235" i="18"/>
  <c r="N236" i="18"/>
  <c r="AF236" i="18" s="1"/>
  <c r="H235" i="18"/>
  <c r="X229" i="18"/>
  <c r="V232" i="18"/>
  <c r="D236" i="18"/>
  <c r="AD233" i="18"/>
  <c r="AA44" i="10"/>
  <c r="AA37" i="10"/>
  <c r="AA40" i="10"/>
  <c r="AA43" i="10"/>
  <c r="AA35" i="10"/>
  <c r="AA34" i="10"/>
  <c r="AA38" i="10"/>
  <c r="AA12" i="10"/>
  <c r="AA7" i="10" s="1"/>
  <c r="AB236" i="18" l="1"/>
  <c r="J237" i="18"/>
  <c r="AE232" i="18"/>
  <c r="AF232" i="18"/>
  <c r="AB235" i="18"/>
  <c r="AC235" i="18"/>
  <c r="K237" i="18"/>
  <c r="AE236" i="18"/>
  <c r="N235" i="18"/>
  <c r="V235" i="18"/>
  <c r="Y235" i="18"/>
  <c r="H237" i="18"/>
  <c r="F235" i="18"/>
  <c r="D237" i="18"/>
  <c r="U236" i="18"/>
  <c r="V236" i="18"/>
  <c r="X232" i="18"/>
  <c r="Z235" i="18"/>
  <c r="L237" i="18"/>
  <c r="AC236" i="18"/>
  <c r="AD236" i="18"/>
  <c r="AA235" i="18"/>
  <c r="AD235" i="18"/>
  <c r="O30" i="11"/>
  <c r="AE235" i="18" l="1"/>
  <c r="AF235" i="18"/>
  <c r="W235" i="18"/>
  <c r="X235" i="18"/>
  <c r="F237" i="18"/>
  <c r="N237" i="18"/>
  <c r="O31" i="11"/>
  <c r="O42" i="11"/>
  <c r="O32" i="11"/>
  <c r="O13" i="11"/>
  <c r="W219" i="16" l="1"/>
  <c r="W216" i="16"/>
  <c r="AE42" i="10"/>
  <c r="AE40" i="10"/>
  <c r="AE34" i="10"/>
  <c r="AE32" i="10"/>
  <c r="AE35" i="10"/>
  <c r="N195" i="17" l="1"/>
  <c r="Q195" i="17" s="1"/>
  <c r="M195" i="17"/>
  <c r="M166" i="17"/>
  <c r="F197" i="8"/>
  <c r="C180" i="8"/>
  <c r="F180" i="8"/>
  <c r="P4" i="17" l="1"/>
  <c r="P5" i="17"/>
  <c r="P6" i="17"/>
  <c r="P7" i="17"/>
  <c r="P8" i="17"/>
  <c r="P9" i="17"/>
  <c r="P10" i="17"/>
  <c r="P13" i="17"/>
  <c r="P14" i="17"/>
  <c r="P16" i="17"/>
  <c r="P17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2" i="17"/>
  <c r="P35" i="17"/>
  <c r="P42" i="17"/>
  <c r="P46" i="17"/>
  <c r="P47" i="17"/>
  <c r="P48" i="17"/>
  <c r="P49" i="17"/>
  <c r="P51" i="17"/>
  <c r="P41" i="17"/>
  <c r="P53" i="17"/>
  <c r="P54" i="17"/>
  <c r="P55" i="17"/>
  <c r="P58" i="17"/>
  <c r="P61" i="17"/>
  <c r="P62" i="17"/>
  <c r="P63" i="17"/>
  <c r="P67" i="17"/>
  <c r="P69" i="17"/>
  <c r="P78" i="17"/>
  <c r="P79" i="17"/>
  <c r="P80" i="17"/>
  <c r="P89" i="17"/>
  <c r="P90" i="17"/>
  <c r="P95" i="17"/>
  <c r="P99" i="17"/>
  <c r="P101" i="17"/>
  <c r="P103" i="17"/>
  <c r="P104" i="17"/>
  <c r="P105" i="17"/>
  <c r="P108" i="17"/>
  <c r="P109" i="17"/>
  <c r="P116" i="17"/>
  <c r="P117" i="17"/>
  <c r="P119" i="17"/>
  <c r="P125" i="17"/>
  <c r="P126" i="17"/>
  <c r="P130" i="17"/>
  <c r="P131" i="17"/>
  <c r="P134" i="17"/>
  <c r="P135" i="17"/>
  <c r="P145" i="17"/>
  <c r="P146" i="17"/>
  <c r="P147" i="17"/>
  <c r="P148" i="17"/>
  <c r="P151" i="17"/>
  <c r="P153" i="17"/>
  <c r="P155" i="17"/>
  <c r="P154" i="17"/>
  <c r="P159" i="17"/>
  <c r="P160" i="17"/>
  <c r="P162" i="17"/>
  <c r="P164" i="17"/>
  <c r="P166" i="17"/>
  <c r="P172" i="17"/>
  <c r="P175" i="17"/>
  <c r="P178" i="17"/>
  <c r="P185" i="17"/>
  <c r="P187" i="17"/>
  <c r="P190" i="17"/>
  <c r="P193" i="17"/>
  <c r="P195" i="17"/>
  <c r="P196" i="17"/>
  <c r="P198" i="17"/>
  <c r="P199" i="17"/>
  <c r="P200" i="17"/>
  <c r="N124" i="17" l="1"/>
  <c r="P124" i="17" s="1"/>
  <c r="N122" i="17"/>
  <c r="P122" i="17" s="1"/>
  <c r="N81" i="17"/>
  <c r="P81" i="17" s="1"/>
  <c r="N84" i="17"/>
  <c r="N86" i="17"/>
  <c r="N87" i="17"/>
  <c r="P87" i="17" s="1"/>
  <c r="N91" i="17"/>
  <c r="N93" i="17"/>
  <c r="P93" i="17" s="1"/>
  <c r="N94" i="17"/>
  <c r="P94" i="17" s="1"/>
  <c r="N96" i="17"/>
  <c r="P96" i="17" s="1"/>
  <c r="N98" i="17"/>
  <c r="N100" i="17"/>
  <c r="P100" i="17" s="1"/>
  <c r="N102" i="17"/>
  <c r="N107" i="17"/>
  <c r="P107" i="17" s="1"/>
  <c r="N110" i="17"/>
  <c r="P110" i="17" s="1"/>
  <c r="N111" i="17"/>
  <c r="P111" i="17" s="1"/>
  <c r="N113" i="17"/>
  <c r="P113" i="17" s="1"/>
  <c r="N115" i="17"/>
  <c r="P115" i="17" s="1"/>
  <c r="N118" i="17"/>
  <c r="P118" i="17" s="1"/>
  <c r="N120" i="17"/>
  <c r="P120" i="17" s="1"/>
  <c r="N123" i="17"/>
  <c r="P123" i="17" s="1"/>
  <c r="N132" i="17"/>
  <c r="P132" i="17" s="1"/>
  <c r="N136" i="17"/>
  <c r="P136" i="17" s="1"/>
  <c r="N137" i="17"/>
  <c r="N149" i="17"/>
  <c r="N150" i="17"/>
  <c r="P150" i="17" s="1"/>
  <c r="N152" i="17"/>
  <c r="P152" i="17" s="1"/>
  <c r="N156" i="17"/>
  <c r="N157" i="17"/>
  <c r="P157" i="17" s="1"/>
  <c r="N161" i="17"/>
  <c r="N163" i="17"/>
  <c r="P163" i="17" s="1"/>
  <c r="N165" i="17"/>
  <c r="P165" i="17" s="1"/>
  <c r="N167" i="17"/>
  <c r="P167" i="17" s="1"/>
  <c r="N168" i="17"/>
  <c r="P168" i="17" s="1"/>
  <c r="N169" i="17"/>
  <c r="P169" i="17" s="1"/>
  <c r="N170" i="17"/>
  <c r="P170" i="17" s="1"/>
  <c r="N171" i="17"/>
  <c r="P171" i="17" s="1"/>
  <c r="N174" i="17"/>
  <c r="P174" i="17" s="1"/>
  <c r="N176" i="17"/>
  <c r="P176" i="17" s="1"/>
  <c r="N177" i="17"/>
  <c r="P177" i="17" s="1"/>
  <c r="M167" i="17"/>
  <c r="M176" i="17"/>
  <c r="M174" i="17"/>
  <c r="M161" i="17"/>
  <c r="M177" i="17"/>
  <c r="M149" i="17"/>
  <c r="N184" i="17"/>
  <c r="N186" i="17"/>
  <c r="N188" i="17"/>
  <c r="P188" i="17" s="1"/>
  <c r="N189" i="17"/>
  <c r="P189" i="17" s="1"/>
  <c r="N191" i="17"/>
  <c r="N192" i="17"/>
  <c r="P192" i="17" s="1"/>
  <c r="N212" i="17"/>
  <c r="M110" i="17"/>
  <c r="M100" i="17"/>
  <c r="M93" i="17"/>
  <c r="M91" i="17"/>
  <c r="N60" i="17"/>
  <c r="P60" i="17" s="1"/>
  <c r="N45" i="17"/>
  <c r="P45" i="17" s="1"/>
  <c r="N3" i="17"/>
  <c r="P15" i="17"/>
  <c r="N31" i="17"/>
  <c r="N34" i="17"/>
  <c r="P34" i="17" s="1"/>
  <c r="N36" i="17"/>
  <c r="P37" i="17"/>
  <c r="P38" i="17"/>
  <c r="N43" i="17"/>
  <c r="P43" i="17" s="1"/>
  <c r="N44" i="17"/>
  <c r="P44" i="17" s="1"/>
  <c r="N52" i="17"/>
  <c r="P52" i="17" s="1"/>
  <c r="N56" i="17"/>
  <c r="P56" i="17" s="1"/>
  <c r="N57" i="17"/>
  <c r="P57" i="17" s="1"/>
  <c r="N59" i="17"/>
  <c r="P59" i="17" s="1"/>
  <c r="N64" i="17"/>
  <c r="N66" i="17"/>
  <c r="N68" i="17"/>
  <c r="N70" i="17"/>
  <c r="D199" i="8"/>
  <c r="J188" i="8"/>
  <c r="C181" i="8"/>
  <c r="F181" i="8"/>
  <c r="C189" i="8"/>
  <c r="C190" i="8"/>
  <c r="D192" i="8"/>
  <c r="C192" i="8"/>
  <c r="C188" i="8"/>
  <c r="F190" i="8"/>
  <c r="F189" i="8"/>
  <c r="K188" i="8" l="1"/>
  <c r="P161" i="17"/>
  <c r="N158" i="17"/>
  <c r="Q16" i="17"/>
  <c r="N183" i="17"/>
  <c r="P36" i="17"/>
  <c r="N144" i="17"/>
  <c r="P184" i="17"/>
  <c r="Q189" i="17"/>
  <c r="P191" i="17"/>
  <c r="Q193" i="17"/>
  <c r="P149" i="17"/>
  <c r="Q157" i="17"/>
  <c r="N11" i="17"/>
  <c r="P12" i="17"/>
  <c r="N88" i="17"/>
  <c r="P91" i="17"/>
  <c r="N129" i="17"/>
  <c r="P66" i="17"/>
  <c r="N128" i="17"/>
  <c r="N133" i="17" s="1"/>
  <c r="P64" i="17"/>
  <c r="N97" i="17"/>
  <c r="P98" i="17"/>
  <c r="N85" i="17"/>
  <c r="P86" i="17"/>
  <c r="N83" i="17"/>
  <c r="P84" i="17"/>
  <c r="N71" i="17"/>
  <c r="N112" i="17"/>
  <c r="N121" i="17"/>
  <c r="N92" i="17"/>
  <c r="N33" i="17"/>
  <c r="N106" i="17"/>
  <c r="N77" i="17"/>
  <c r="N39" i="17"/>
  <c r="N208" i="17" l="1"/>
  <c r="N209" i="17"/>
  <c r="N127" i="17"/>
  <c r="N65" i="17"/>
  <c r="N211" i="17"/>
  <c r="N213" i="17" s="1"/>
  <c r="N138" i="17"/>
  <c r="O12" i="11"/>
  <c r="O41" i="11"/>
  <c r="C175" i="8"/>
  <c r="N210" i="17" l="1"/>
  <c r="N72" i="17"/>
  <c r="N139" i="17"/>
  <c r="F175" i="8"/>
  <c r="M78" i="17"/>
  <c r="M81" i="17"/>
  <c r="M84" i="17"/>
  <c r="M83" i="17" s="1"/>
  <c r="M86" i="17"/>
  <c r="M87" i="17"/>
  <c r="M90" i="17"/>
  <c r="M88" i="17" s="1"/>
  <c r="M94" i="17"/>
  <c r="M96" i="17"/>
  <c r="M98" i="17"/>
  <c r="M97" i="17" s="1"/>
  <c r="M102" i="17"/>
  <c r="M107" i="17"/>
  <c r="M108" i="17"/>
  <c r="M111" i="17"/>
  <c r="M113" i="17"/>
  <c r="M115" i="17"/>
  <c r="M118" i="17"/>
  <c r="M120" i="17"/>
  <c r="M122" i="17"/>
  <c r="M123" i="17"/>
  <c r="M124" i="17"/>
  <c r="M132" i="17"/>
  <c r="M136" i="17"/>
  <c r="M137" i="17" s="1"/>
  <c r="M212" i="17"/>
  <c r="M184" i="17"/>
  <c r="M186" i="17"/>
  <c r="M188" i="17"/>
  <c r="M189" i="17"/>
  <c r="M191" i="17"/>
  <c r="M192" i="17"/>
  <c r="M150" i="17"/>
  <c r="M152" i="17"/>
  <c r="M156" i="17"/>
  <c r="M157" i="17"/>
  <c r="M163" i="17"/>
  <c r="M165" i="17"/>
  <c r="M168" i="17"/>
  <c r="M169" i="17"/>
  <c r="M170" i="17"/>
  <c r="M171" i="17"/>
  <c r="M3" i="17"/>
  <c r="M31" i="17"/>
  <c r="M34" i="17"/>
  <c r="M36" i="17"/>
  <c r="M43" i="17"/>
  <c r="M44" i="17"/>
  <c r="M45" i="17"/>
  <c r="M41" i="17"/>
  <c r="M52" i="17"/>
  <c r="M54" i="17"/>
  <c r="M56" i="17"/>
  <c r="M57" i="17"/>
  <c r="M58" i="17"/>
  <c r="M59" i="17"/>
  <c r="M64" i="17"/>
  <c r="M128" i="17" s="1"/>
  <c r="M66" i="17"/>
  <c r="M129" i="17" s="1"/>
  <c r="M70" i="17"/>
  <c r="K212" i="17"/>
  <c r="H212" i="17"/>
  <c r="G212" i="17"/>
  <c r="F212" i="17"/>
  <c r="E212" i="17"/>
  <c r="C197" i="17"/>
  <c r="C212" i="17" s="1"/>
  <c r="L195" i="17"/>
  <c r="K195" i="17"/>
  <c r="J195" i="17"/>
  <c r="I195" i="17"/>
  <c r="H195" i="17"/>
  <c r="G195" i="17"/>
  <c r="F195" i="17"/>
  <c r="E195" i="17"/>
  <c r="D195" i="17"/>
  <c r="C195" i="17"/>
  <c r="L192" i="17"/>
  <c r="K192" i="17"/>
  <c r="J192" i="17"/>
  <c r="I192" i="17"/>
  <c r="H192" i="17"/>
  <c r="G192" i="17"/>
  <c r="F192" i="17"/>
  <c r="E192" i="17"/>
  <c r="D192" i="17"/>
  <c r="L191" i="17"/>
  <c r="K191" i="17"/>
  <c r="J191" i="17"/>
  <c r="I191" i="17"/>
  <c r="H191" i="17"/>
  <c r="G191" i="17"/>
  <c r="F191" i="17"/>
  <c r="E191" i="17"/>
  <c r="D191" i="17"/>
  <c r="C191" i="17"/>
  <c r="L189" i="17"/>
  <c r="K189" i="17"/>
  <c r="J189" i="17"/>
  <c r="I189" i="17"/>
  <c r="H189" i="17"/>
  <c r="G189" i="17"/>
  <c r="F189" i="17"/>
  <c r="E189" i="17"/>
  <c r="D189" i="17"/>
  <c r="L188" i="17"/>
  <c r="K188" i="17"/>
  <c r="J188" i="17"/>
  <c r="I188" i="17"/>
  <c r="H188" i="17"/>
  <c r="G188" i="17"/>
  <c r="F188" i="17"/>
  <c r="E188" i="17"/>
  <c r="D188" i="17"/>
  <c r="L186" i="17"/>
  <c r="K186" i="17"/>
  <c r="J186" i="17"/>
  <c r="I186" i="17"/>
  <c r="H186" i="17"/>
  <c r="G186" i="17"/>
  <c r="F186" i="17"/>
  <c r="E186" i="17"/>
  <c r="D186" i="17"/>
  <c r="L184" i="17"/>
  <c r="K184" i="17"/>
  <c r="J184" i="17"/>
  <c r="I184" i="17"/>
  <c r="H184" i="17"/>
  <c r="G184" i="17"/>
  <c r="F184" i="17"/>
  <c r="E184" i="17"/>
  <c r="D184" i="17"/>
  <c r="C184" i="17"/>
  <c r="C183" i="17" s="1"/>
  <c r="L174" i="17"/>
  <c r="K174" i="17"/>
  <c r="J174" i="17"/>
  <c r="I174" i="17"/>
  <c r="H174" i="17"/>
  <c r="G174" i="17"/>
  <c r="F174" i="17"/>
  <c r="E174" i="17"/>
  <c r="L171" i="17"/>
  <c r="K171" i="17"/>
  <c r="J171" i="17"/>
  <c r="I171" i="17"/>
  <c r="H171" i="17"/>
  <c r="G171" i="17"/>
  <c r="L170" i="17"/>
  <c r="K170" i="17"/>
  <c r="J170" i="17"/>
  <c r="I170" i="17"/>
  <c r="H170" i="17"/>
  <c r="G170" i="17"/>
  <c r="F170" i="17"/>
  <c r="E170" i="17"/>
  <c r="D170" i="17"/>
  <c r="D158" i="17" s="1"/>
  <c r="L169" i="17"/>
  <c r="K169" i="17"/>
  <c r="J169" i="17"/>
  <c r="I169" i="17"/>
  <c r="H169" i="17"/>
  <c r="G169" i="17"/>
  <c r="L168" i="17"/>
  <c r="K168" i="17"/>
  <c r="J168" i="17"/>
  <c r="I168" i="17"/>
  <c r="H168" i="17"/>
  <c r="G168" i="17"/>
  <c r="L166" i="17"/>
  <c r="K166" i="17"/>
  <c r="J166" i="17"/>
  <c r="I166" i="17"/>
  <c r="H166" i="17"/>
  <c r="G166" i="17"/>
  <c r="F166" i="17"/>
  <c r="E166" i="17"/>
  <c r="L165" i="17"/>
  <c r="K165" i="17"/>
  <c r="J165" i="17"/>
  <c r="I165" i="17"/>
  <c r="H165" i="17"/>
  <c r="G165" i="17"/>
  <c r="F165" i="17"/>
  <c r="E165" i="17"/>
  <c r="L163" i="17"/>
  <c r="K163" i="17"/>
  <c r="J163" i="17"/>
  <c r="I163" i="17"/>
  <c r="I158" i="17" s="1"/>
  <c r="H163" i="17"/>
  <c r="H158" i="17" s="1"/>
  <c r="G163" i="17"/>
  <c r="F163" i="17"/>
  <c r="E163" i="17"/>
  <c r="C209" i="17"/>
  <c r="L157" i="17"/>
  <c r="K157" i="17"/>
  <c r="J157" i="17"/>
  <c r="I157" i="17"/>
  <c r="H157" i="17"/>
  <c r="G157" i="17"/>
  <c r="F157" i="17"/>
  <c r="E157" i="17"/>
  <c r="D157" i="17"/>
  <c r="C157" i="17"/>
  <c r="C144" i="17" s="1"/>
  <c r="L156" i="17"/>
  <c r="K156" i="17"/>
  <c r="J156" i="17"/>
  <c r="I156" i="17"/>
  <c r="H156" i="17"/>
  <c r="G156" i="17"/>
  <c r="F156" i="17"/>
  <c r="E156" i="17"/>
  <c r="D156" i="17"/>
  <c r="D144" i="17" s="1"/>
  <c r="L152" i="17"/>
  <c r="K152" i="17"/>
  <c r="J152" i="17"/>
  <c r="I152" i="17"/>
  <c r="H152" i="17"/>
  <c r="G152" i="17"/>
  <c r="F152" i="17"/>
  <c r="E152" i="17"/>
  <c r="L150" i="17"/>
  <c r="L144" i="17" s="1"/>
  <c r="K150" i="17"/>
  <c r="J150" i="17"/>
  <c r="I150" i="17"/>
  <c r="H150" i="17"/>
  <c r="H144" i="17" s="1"/>
  <c r="G150" i="17"/>
  <c r="G144" i="17" s="1"/>
  <c r="F150" i="17"/>
  <c r="F144" i="17" s="1"/>
  <c r="E150" i="17"/>
  <c r="O137" i="17"/>
  <c r="P137" i="17" s="1"/>
  <c r="L136" i="17"/>
  <c r="L137" i="17" s="1"/>
  <c r="K136" i="17"/>
  <c r="K137" i="17" s="1"/>
  <c r="J136" i="17"/>
  <c r="J137" i="17" s="1"/>
  <c r="I136" i="17"/>
  <c r="I137" i="17" s="1"/>
  <c r="H136" i="17"/>
  <c r="H137" i="17" s="1"/>
  <c r="G136" i="17"/>
  <c r="G137" i="17" s="1"/>
  <c r="F136" i="17"/>
  <c r="F137" i="17" s="1"/>
  <c r="E136" i="17"/>
  <c r="E137" i="17" s="1"/>
  <c r="D136" i="17"/>
  <c r="D137" i="17" s="1"/>
  <c r="C136" i="17"/>
  <c r="C137" i="17" s="1"/>
  <c r="L132" i="17"/>
  <c r="K132" i="17"/>
  <c r="J132" i="17"/>
  <c r="I132" i="17"/>
  <c r="H132" i="17"/>
  <c r="G132" i="17"/>
  <c r="F132" i="17"/>
  <c r="E132" i="17"/>
  <c r="D132" i="17"/>
  <c r="C132" i="17"/>
  <c r="O129" i="17"/>
  <c r="P129" i="17" s="1"/>
  <c r="O128" i="17"/>
  <c r="P128" i="17" s="1"/>
  <c r="C128" i="17"/>
  <c r="L124" i="17"/>
  <c r="K124" i="17"/>
  <c r="J124" i="17"/>
  <c r="I124" i="17"/>
  <c r="H124" i="17"/>
  <c r="G124" i="17"/>
  <c r="F124" i="17"/>
  <c r="E124" i="17"/>
  <c r="D124" i="17"/>
  <c r="L123" i="17"/>
  <c r="K123" i="17"/>
  <c r="J123" i="17"/>
  <c r="I123" i="17"/>
  <c r="H123" i="17"/>
  <c r="G123" i="17"/>
  <c r="F123" i="17"/>
  <c r="E123" i="17"/>
  <c r="D123" i="17"/>
  <c r="L122" i="17"/>
  <c r="K122" i="17"/>
  <c r="J122" i="17"/>
  <c r="I122" i="17"/>
  <c r="H122" i="17"/>
  <c r="G122" i="17"/>
  <c r="F122" i="17"/>
  <c r="E122" i="17"/>
  <c r="D122" i="17"/>
  <c r="O121" i="17"/>
  <c r="P121" i="17" s="1"/>
  <c r="C121" i="17"/>
  <c r="L120" i="17"/>
  <c r="K120" i="17"/>
  <c r="J120" i="17"/>
  <c r="I120" i="17"/>
  <c r="H120" i="17"/>
  <c r="G120" i="17"/>
  <c r="F120" i="17"/>
  <c r="E120" i="17"/>
  <c r="D120" i="17"/>
  <c r="L118" i="17"/>
  <c r="K118" i="17"/>
  <c r="J118" i="17"/>
  <c r="I118" i="17"/>
  <c r="H118" i="17"/>
  <c r="G118" i="17"/>
  <c r="F118" i="17"/>
  <c r="E118" i="17"/>
  <c r="D118" i="17"/>
  <c r="L115" i="17"/>
  <c r="K115" i="17"/>
  <c r="J115" i="17"/>
  <c r="I115" i="17"/>
  <c r="H115" i="17"/>
  <c r="G115" i="17"/>
  <c r="F115" i="17"/>
  <c r="E115" i="17"/>
  <c r="L113" i="17"/>
  <c r="K113" i="17"/>
  <c r="J113" i="17"/>
  <c r="I113" i="17"/>
  <c r="H113" i="17"/>
  <c r="G113" i="17"/>
  <c r="F113" i="17"/>
  <c r="E113" i="17"/>
  <c r="D113" i="17"/>
  <c r="O112" i="17"/>
  <c r="P112" i="17" s="1"/>
  <c r="C112" i="17"/>
  <c r="L111" i="17"/>
  <c r="K111" i="17"/>
  <c r="J111" i="17"/>
  <c r="I111" i="17"/>
  <c r="H111" i="17"/>
  <c r="G111" i="17"/>
  <c r="F111" i="17"/>
  <c r="E111" i="17"/>
  <c r="L108" i="17"/>
  <c r="K108" i="17"/>
  <c r="J108" i="17"/>
  <c r="I108" i="17"/>
  <c r="H108" i="17"/>
  <c r="G108" i="17"/>
  <c r="F108" i="17"/>
  <c r="E108" i="17"/>
  <c r="L107" i="17"/>
  <c r="K107" i="17"/>
  <c r="J107" i="17"/>
  <c r="J106" i="17" s="1"/>
  <c r="I107" i="17"/>
  <c r="I106" i="17" s="1"/>
  <c r="H107" i="17"/>
  <c r="G107" i="17"/>
  <c r="F107" i="17"/>
  <c r="E107" i="17"/>
  <c r="O106" i="17"/>
  <c r="P106" i="17" s="1"/>
  <c r="D106" i="17"/>
  <c r="C106" i="17"/>
  <c r="O102" i="17"/>
  <c r="P102" i="17" s="1"/>
  <c r="L102" i="17"/>
  <c r="K102" i="17"/>
  <c r="J102" i="17"/>
  <c r="I102" i="17"/>
  <c r="H102" i="17"/>
  <c r="G102" i="17"/>
  <c r="F102" i="17"/>
  <c r="E102" i="17"/>
  <c r="D102" i="17"/>
  <c r="C102" i="17"/>
  <c r="L100" i="17"/>
  <c r="K100" i="17"/>
  <c r="K97" i="17" s="1"/>
  <c r="J100" i="17"/>
  <c r="J97" i="17" s="1"/>
  <c r="I100" i="17"/>
  <c r="I97" i="17" s="1"/>
  <c r="H100" i="17"/>
  <c r="H97" i="17" s="1"/>
  <c r="G100" i="17"/>
  <c r="G97" i="17" s="1"/>
  <c r="F100" i="17"/>
  <c r="F97" i="17" s="1"/>
  <c r="E100" i="17"/>
  <c r="E97" i="17" s="1"/>
  <c r="L98" i="17"/>
  <c r="O97" i="17"/>
  <c r="P97" i="17" s="1"/>
  <c r="D97" i="17"/>
  <c r="C97" i="17"/>
  <c r="L96" i="17"/>
  <c r="K96" i="17"/>
  <c r="J96" i="17"/>
  <c r="I96" i="17"/>
  <c r="H96" i="17"/>
  <c r="G96" i="17"/>
  <c r="F96" i="17"/>
  <c r="E96" i="17"/>
  <c r="L94" i="17"/>
  <c r="K94" i="17"/>
  <c r="J94" i="17"/>
  <c r="I94" i="17"/>
  <c r="I92" i="17" s="1"/>
  <c r="H94" i="17"/>
  <c r="H92" i="17" s="1"/>
  <c r="G94" i="17"/>
  <c r="G92" i="17" s="1"/>
  <c r="F94" i="17"/>
  <c r="E94" i="17"/>
  <c r="E92" i="17" s="1"/>
  <c r="L93" i="17"/>
  <c r="K93" i="17"/>
  <c r="O92" i="17"/>
  <c r="P92" i="17" s="1"/>
  <c r="D92" i="17"/>
  <c r="C92" i="17"/>
  <c r="L90" i="17"/>
  <c r="L88" i="17" s="1"/>
  <c r="K90" i="17"/>
  <c r="K88" i="17" s="1"/>
  <c r="J90" i="17"/>
  <c r="I90" i="17"/>
  <c r="I88" i="17" s="1"/>
  <c r="H90" i="17"/>
  <c r="H88" i="17" s="1"/>
  <c r="G90" i="17"/>
  <c r="G88" i="17" s="1"/>
  <c r="F90" i="17"/>
  <c r="F88" i="17" s="1"/>
  <c r="E90" i="17"/>
  <c r="E88" i="17" s="1"/>
  <c r="D90" i="17"/>
  <c r="D88" i="17" s="1"/>
  <c r="O88" i="17"/>
  <c r="P88" i="17" s="1"/>
  <c r="J88" i="17"/>
  <c r="C88" i="17"/>
  <c r="L87" i="17"/>
  <c r="K87" i="17"/>
  <c r="J87" i="17"/>
  <c r="I87" i="17"/>
  <c r="H87" i="17"/>
  <c r="G87" i="17"/>
  <c r="F87" i="17"/>
  <c r="E87" i="17"/>
  <c r="D87" i="17"/>
  <c r="D85" i="17" s="1"/>
  <c r="L86" i="17"/>
  <c r="K86" i="17"/>
  <c r="J86" i="17"/>
  <c r="I86" i="17"/>
  <c r="I85" i="17" s="1"/>
  <c r="H86" i="17"/>
  <c r="G86" i="17"/>
  <c r="F86" i="17"/>
  <c r="E86" i="17"/>
  <c r="O85" i="17"/>
  <c r="P85" i="17" s="1"/>
  <c r="C85" i="17"/>
  <c r="L84" i="17"/>
  <c r="K84" i="17"/>
  <c r="K83" i="17" s="1"/>
  <c r="J84" i="17"/>
  <c r="I84" i="17"/>
  <c r="I83" i="17" s="1"/>
  <c r="H84" i="17"/>
  <c r="H83" i="17" s="1"/>
  <c r="G84" i="17"/>
  <c r="G83" i="17" s="1"/>
  <c r="F84" i="17"/>
  <c r="F83" i="17" s="1"/>
  <c r="E84" i="17"/>
  <c r="E83" i="17" s="1"/>
  <c r="D84" i="17"/>
  <c r="D83" i="17" s="1"/>
  <c r="O83" i="17"/>
  <c r="P83" i="17" s="1"/>
  <c r="J83" i="17"/>
  <c r="C83" i="17"/>
  <c r="L81" i="17"/>
  <c r="K81" i="17"/>
  <c r="J81" i="17"/>
  <c r="J77" i="17" s="1"/>
  <c r="I81" i="17"/>
  <c r="I77" i="17" s="1"/>
  <c r="H81" i="17"/>
  <c r="H77" i="17" s="1"/>
  <c r="G81" i="17"/>
  <c r="G77" i="17" s="1"/>
  <c r="F81" i="17"/>
  <c r="F77" i="17" s="1"/>
  <c r="E81" i="17"/>
  <c r="E77" i="17" s="1"/>
  <c r="D81" i="17"/>
  <c r="D77" i="17" s="1"/>
  <c r="L78" i="17"/>
  <c r="K78" i="17"/>
  <c r="O77" i="17"/>
  <c r="P77" i="17" s="1"/>
  <c r="C77" i="17"/>
  <c r="O70" i="17"/>
  <c r="P70" i="17" s="1"/>
  <c r="L70" i="17"/>
  <c r="K70" i="17"/>
  <c r="J70" i="17"/>
  <c r="I70" i="17"/>
  <c r="H70" i="17"/>
  <c r="G70" i="17"/>
  <c r="F70" i="17"/>
  <c r="E70" i="17"/>
  <c r="D70" i="17"/>
  <c r="C70" i="17"/>
  <c r="O68" i="17"/>
  <c r="P68" i="17" s="1"/>
  <c r="L66" i="17"/>
  <c r="L129" i="17" s="1"/>
  <c r="K66" i="17"/>
  <c r="K129" i="17" s="1"/>
  <c r="J66" i="17"/>
  <c r="J129" i="17" s="1"/>
  <c r="I66" i="17"/>
  <c r="I68" i="17" s="1"/>
  <c r="H66" i="17"/>
  <c r="H68" i="17" s="1"/>
  <c r="G66" i="17"/>
  <c r="G68" i="17" s="1"/>
  <c r="F66" i="17"/>
  <c r="E66" i="17"/>
  <c r="E68" i="17" s="1"/>
  <c r="D66" i="17"/>
  <c r="D68" i="17" s="1"/>
  <c r="C66" i="17"/>
  <c r="C129" i="17" s="1"/>
  <c r="L64" i="17"/>
  <c r="L128" i="17" s="1"/>
  <c r="K64" i="17"/>
  <c r="K128" i="17" s="1"/>
  <c r="J64" i="17"/>
  <c r="J128" i="17" s="1"/>
  <c r="I64" i="17"/>
  <c r="I128" i="17" s="1"/>
  <c r="H64" i="17"/>
  <c r="H128" i="17" s="1"/>
  <c r="G64" i="17"/>
  <c r="G128" i="17" s="1"/>
  <c r="F64" i="17"/>
  <c r="F128" i="17" s="1"/>
  <c r="E64" i="17"/>
  <c r="E128" i="17" s="1"/>
  <c r="D64" i="17"/>
  <c r="D128" i="17" s="1"/>
  <c r="L59" i="17"/>
  <c r="K59" i="17"/>
  <c r="J59" i="17"/>
  <c r="I59" i="17"/>
  <c r="H59" i="17"/>
  <c r="G59" i="17"/>
  <c r="F59" i="17"/>
  <c r="E59" i="17"/>
  <c r="D59" i="17"/>
  <c r="L58" i="17"/>
  <c r="K58" i="17"/>
  <c r="J58" i="17"/>
  <c r="I58" i="17"/>
  <c r="H58" i="17"/>
  <c r="G58" i="17"/>
  <c r="F58" i="17"/>
  <c r="E58" i="17"/>
  <c r="D58" i="17"/>
  <c r="C58" i="17"/>
  <c r="L57" i="17"/>
  <c r="K57" i="17"/>
  <c r="J57" i="17"/>
  <c r="I57" i="17"/>
  <c r="H57" i="17"/>
  <c r="G57" i="17"/>
  <c r="F57" i="17"/>
  <c r="E57" i="17"/>
  <c r="D57" i="17"/>
  <c r="C57" i="17"/>
  <c r="L56" i="17"/>
  <c r="K56" i="17"/>
  <c r="L54" i="17"/>
  <c r="K54" i="17"/>
  <c r="J54" i="17"/>
  <c r="I54" i="17"/>
  <c r="H54" i="17"/>
  <c r="G54" i="17"/>
  <c r="F54" i="17"/>
  <c r="E54" i="17"/>
  <c r="D54" i="17"/>
  <c r="C54" i="17"/>
  <c r="L52" i="17"/>
  <c r="K52" i="17"/>
  <c r="L41" i="17"/>
  <c r="K41" i="17"/>
  <c r="L45" i="17"/>
  <c r="K45" i="17"/>
  <c r="J45" i="17"/>
  <c r="I45" i="17"/>
  <c r="H45" i="17"/>
  <c r="G45" i="17"/>
  <c r="F45" i="17"/>
  <c r="E45" i="17"/>
  <c r="D45" i="17"/>
  <c r="L44" i="17"/>
  <c r="K44" i="17"/>
  <c r="J44" i="17"/>
  <c r="I44" i="17"/>
  <c r="L43" i="17"/>
  <c r="K43" i="17"/>
  <c r="J43" i="17"/>
  <c r="I43" i="17"/>
  <c r="H43" i="17"/>
  <c r="G43" i="17"/>
  <c r="F43" i="17"/>
  <c r="E43" i="17"/>
  <c r="D43" i="17"/>
  <c r="C43" i="17"/>
  <c r="O39" i="17"/>
  <c r="P39" i="17" s="1"/>
  <c r="I38" i="17"/>
  <c r="C37" i="17"/>
  <c r="C33" i="17" s="1"/>
  <c r="L36" i="17"/>
  <c r="K36" i="17"/>
  <c r="J36" i="17"/>
  <c r="I36" i="17"/>
  <c r="I37" i="17" s="1"/>
  <c r="H36" i="17"/>
  <c r="H37" i="17" s="1"/>
  <c r="G36" i="17"/>
  <c r="G37" i="17" s="1"/>
  <c r="F36" i="17"/>
  <c r="F37" i="17" s="1"/>
  <c r="E36" i="17"/>
  <c r="D36" i="17"/>
  <c r="L34" i="17"/>
  <c r="K34" i="17"/>
  <c r="J34" i="17"/>
  <c r="I34" i="17"/>
  <c r="H34" i="17"/>
  <c r="G34" i="17"/>
  <c r="F34" i="17"/>
  <c r="D34" i="17"/>
  <c r="O33" i="17"/>
  <c r="P33" i="17" s="1"/>
  <c r="O31" i="17"/>
  <c r="P31" i="17" s="1"/>
  <c r="L31" i="17"/>
  <c r="K31" i="17"/>
  <c r="J31" i="17"/>
  <c r="I31" i="17"/>
  <c r="H31" i="17"/>
  <c r="G31" i="17"/>
  <c r="F31" i="17"/>
  <c r="E31" i="17"/>
  <c r="D31" i="17"/>
  <c r="C31" i="17"/>
  <c r="I15" i="17"/>
  <c r="H15" i="17"/>
  <c r="G15" i="17"/>
  <c r="F15" i="17"/>
  <c r="E15" i="17"/>
  <c r="D15" i="17"/>
  <c r="I12" i="17"/>
  <c r="I11" i="17" s="1"/>
  <c r="H12" i="17"/>
  <c r="G12" i="17"/>
  <c r="F12" i="17"/>
  <c r="F11" i="17" s="1"/>
  <c r="E12" i="17"/>
  <c r="O11" i="17"/>
  <c r="P11" i="17" s="1"/>
  <c r="C11" i="17"/>
  <c r="O3" i="17"/>
  <c r="P3" i="17" s="1"/>
  <c r="L3" i="17"/>
  <c r="K3" i="17"/>
  <c r="J3" i="17"/>
  <c r="I3" i="17"/>
  <c r="H3" i="17"/>
  <c r="G3" i="17"/>
  <c r="F3" i="17"/>
  <c r="E3" i="17"/>
  <c r="D3" i="17"/>
  <c r="C3" i="17"/>
  <c r="K183" i="17" l="1"/>
  <c r="E144" i="17"/>
  <c r="D183" i="17"/>
  <c r="L183" i="17"/>
  <c r="M158" i="17"/>
  <c r="J158" i="17"/>
  <c r="E183" i="17"/>
  <c r="L158" i="17"/>
  <c r="G183" i="17"/>
  <c r="I144" i="17"/>
  <c r="E158" i="17"/>
  <c r="H183" i="17"/>
  <c r="H211" i="17" s="1"/>
  <c r="H213" i="17" s="1"/>
  <c r="M144" i="17"/>
  <c r="E121" i="17"/>
  <c r="J144" i="17"/>
  <c r="F158" i="17"/>
  <c r="F209" i="17" s="1"/>
  <c r="I183" i="17"/>
  <c r="K158" i="17"/>
  <c r="K209" i="17" s="1"/>
  <c r="F183" i="17"/>
  <c r="M183" i="17"/>
  <c r="AA183" i="17" s="1"/>
  <c r="K77" i="17"/>
  <c r="K144" i="17"/>
  <c r="G158" i="17"/>
  <c r="J183" i="17"/>
  <c r="J211" i="17" s="1"/>
  <c r="U137" i="17"/>
  <c r="L77" i="17"/>
  <c r="E85" i="17"/>
  <c r="F85" i="17"/>
  <c r="H121" i="17"/>
  <c r="M11" i="17"/>
  <c r="L211" i="17"/>
  <c r="H71" i="17"/>
  <c r="D129" i="17"/>
  <c r="L85" i="17"/>
  <c r="Y137" i="17"/>
  <c r="E129" i="17"/>
  <c r="E133" i="17" s="1"/>
  <c r="E138" i="17" s="1"/>
  <c r="M92" i="17"/>
  <c r="K85" i="17"/>
  <c r="M68" i="17"/>
  <c r="M71" i="17" s="1"/>
  <c r="K106" i="17"/>
  <c r="L11" i="17"/>
  <c r="J121" i="17"/>
  <c r="E11" i="17"/>
  <c r="J85" i="17"/>
  <c r="D121" i="17"/>
  <c r="L121" i="17"/>
  <c r="Y70" i="17"/>
  <c r="Z197" i="17"/>
  <c r="AA197" i="17"/>
  <c r="C68" i="17"/>
  <c r="Q68" i="17" s="1"/>
  <c r="G85" i="17"/>
  <c r="E106" i="17"/>
  <c r="M112" i="17"/>
  <c r="D11" i="17"/>
  <c r="L68" i="17"/>
  <c r="D112" i="17"/>
  <c r="D127" i="17" s="1"/>
  <c r="F121" i="17"/>
  <c r="R137" i="17"/>
  <c r="M77" i="17"/>
  <c r="O209" i="17"/>
  <c r="P158" i="17"/>
  <c r="J92" i="17"/>
  <c r="X137" i="17"/>
  <c r="O208" i="17"/>
  <c r="P144" i="17"/>
  <c r="G39" i="17"/>
  <c r="C39" i="17"/>
  <c r="C65" i="17" s="1"/>
  <c r="O212" i="17"/>
  <c r="P197" i="17"/>
  <c r="O211" i="17"/>
  <c r="P183" i="17"/>
  <c r="N205" i="17"/>
  <c r="N216" i="17" s="1"/>
  <c r="N219" i="17" s="1"/>
  <c r="M33" i="17"/>
  <c r="M133" i="17"/>
  <c r="Z70" i="17"/>
  <c r="AA70" i="17"/>
  <c r="H208" i="17"/>
  <c r="J209" i="17"/>
  <c r="C211" i="17"/>
  <c r="C213" i="17" s="1"/>
  <c r="S197" i="17"/>
  <c r="H85" i="17"/>
  <c r="S137" i="17"/>
  <c r="H106" i="17"/>
  <c r="G11" i="17"/>
  <c r="I33" i="17"/>
  <c r="I112" i="17"/>
  <c r="E112" i="17"/>
  <c r="H129" i="17"/>
  <c r="H133" i="17" s="1"/>
  <c r="V137" i="17"/>
  <c r="AA144" i="17"/>
  <c r="AA137" i="17"/>
  <c r="Z137" i="17"/>
  <c r="M121" i="17"/>
  <c r="M85" i="17"/>
  <c r="N206" i="17"/>
  <c r="K11" i="17"/>
  <c r="H11" i="17"/>
  <c r="F92" i="17"/>
  <c r="L112" i="17"/>
  <c r="J112" i="17"/>
  <c r="F112" i="17"/>
  <c r="F39" i="17"/>
  <c r="L106" i="17"/>
  <c r="K112" i="17"/>
  <c r="K121" i="17"/>
  <c r="I121" i="17"/>
  <c r="I129" i="17"/>
  <c r="I133" i="17" s="1"/>
  <c r="W137" i="17"/>
  <c r="F106" i="17"/>
  <c r="T137" i="17"/>
  <c r="M106" i="17"/>
  <c r="G106" i="17"/>
  <c r="G129" i="17"/>
  <c r="G33" i="17"/>
  <c r="D208" i="17"/>
  <c r="L97" i="17"/>
  <c r="H39" i="17"/>
  <c r="R158" i="17"/>
  <c r="I39" i="17"/>
  <c r="M39" i="17"/>
  <c r="X70" i="17"/>
  <c r="J133" i="17"/>
  <c r="J138" i="17" s="1"/>
  <c r="S70" i="17"/>
  <c r="U70" i="17"/>
  <c r="K133" i="17"/>
  <c r="R70" i="17"/>
  <c r="F33" i="17"/>
  <c r="W70" i="17"/>
  <c r="H33" i="17"/>
  <c r="D133" i="17"/>
  <c r="L133" i="17"/>
  <c r="Q137" i="17"/>
  <c r="T197" i="17"/>
  <c r="Q70" i="17"/>
  <c r="O71" i="17"/>
  <c r="P71" i="17" s="1"/>
  <c r="C133" i="17"/>
  <c r="C138" i="17" s="1"/>
  <c r="C208" i="17"/>
  <c r="C210" i="17" s="1"/>
  <c r="V70" i="17"/>
  <c r="I208" i="17"/>
  <c r="J39" i="17"/>
  <c r="K39" i="17"/>
  <c r="L33" i="17"/>
  <c r="E37" i="17"/>
  <c r="E33" i="17" s="1"/>
  <c r="L83" i="17"/>
  <c r="G112" i="17"/>
  <c r="G208" i="17"/>
  <c r="J33" i="17"/>
  <c r="E39" i="17"/>
  <c r="V68" i="17"/>
  <c r="I71" i="17"/>
  <c r="K208" i="17"/>
  <c r="G71" i="17"/>
  <c r="L39" i="17"/>
  <c r="D71" i="17"/>
  <c r="K33" i="17"/>
  <c r="U197" i="17"/>
  <c r="D37" i="17"/>
  <c r="D33" i="17" s="1"/>
  <c r="F129" i="17"/>
  <c r="F133" i="17" s="1"/>
  <c r="F68" i="17"/>
  <c r="J11" i="17"/>
  <c r="D39" i="17"/>
  <c r="U68" i="17"/>
  <c r="I212" i="17"/>
  <c r="V197" i="17"/>
  <c r="W197" i="17"/>
  <c r="O65" i="17"/>
  <c r="P65" i="17" s="1"/>
  <c r="G121" i="17"/>
  <c r="X197" i="17"/>
  <c r="O133" i="17"/>
  <c r="P133" i="17" s="1"/>
  <c r="Q197" i="17"/>
  <c r="D212" i="17"/>
  <c r="Y197" i="17"/>
  <c r="L212" i="17"/>
  <c r="J68" i="17"/>
  <c r="C127" i="17"/>
  <c r="C139" i="17" s="1"/>
  <c r="C206" i="17" s="1"/>
  <c r="C217" i="17" s="1"/>
  <c r="O127" i="17"/>
  <c r="P127" i="17" s="1"/>
  <c r="K92" i="17"/>
  <c r="Q158" i="17"/>
  <c r="D209" i="17"/>
  <c r="E71" i="17"/>
  <c r="R68" i="17"/>
  <c r="K68" i="17"/>
  <c r="T70" i="17"/>
  <c r="L92" i="17"/>
  <c r="H112" i="17"/>
  <c r="R197" i="17"/>
  <c r="J212" i="17"/>
  <c r="L64" i="16"/>
  <c r="L128" i="16" s="1"/>
  <c r="K64" i="16"/>
  <c r="V71" i="17" l="1"/>
  <c r="AA68" i="17"/>
  <c r="Z68" i="17"/>
  <c r="D210" i="17"/>
  <c r="E127" i="17"/>
  <c r="I127" i="17"/>
  <c r="Y183" i="17"/>
  <c r="J127" i="17"/>
  <c r="W127" i="17" s="1"/>
  <c r="F127" i="17"/>
  <c r="Y68" i="17"/>
  <c r="R71" i="17"/>
  <c r="X144" i="17"/>
  <c r="F65" i="17"/>
  <c r="C71" i="17"/>
  <c r="G65" i="17"/>
  <c r="G72" i="17" s="1"/>
  <c r="G205" i="17" s="1"/>
  <c r="T144" i="17"/>
  <c r="E209" i="17"/>
  <c r="W183" i="17"/>
  <c r="K211" i="17"/>
  <c r="K213" i="17" s="1"/>
  <c r="U144" i="17"/>
  <c r="V144" i="17"/>
  <c r="K210" i="17"/>
  <c r="X183" i="17"/>
  <c r="L71" i="17"/>
  <c r="Z71" i="17" s="1"/>
  <c r="N222" i="17"/>
  <c r="M65" i="17"/>
  <c r="AA65" i="17" s="1"/>
  <c r="I65" i="17"/>
  <c r="O210" i="17"/>
  <c r="M209" i="17"/>
  <c r="AA158" i="17"/>
  <c r="K127" i="17"/>
  <c r="M127" i="17"/>
  <c r="AA127" i="17" s="1"/>
  <c r="H65" i="17"/>
  <c r="H72" i="17" s="1"/>
  <c r="O213" i="17"/>
  <c r="Q144" i="17"/>
  <c r="V133" i="17"/>
  <c r="I138" i="17"/>
  <c r="W138" i="17"/>
  <c r="Y144" i="17"/>
  <c r="M211" i="17"/>
  <c r="M213" i="17" s="1"/>
  <c r="Z183" i="17"/>
  <c r="X158" i="17"/>
  <c r="L213" i="17"/>
  <c r="X133" i="17"/>
  <c r="Z133" i="17"/>
  <c r="AA133" i="17"/>
  <c r="M138" i="17"/>
  <c r="H127" i="17"/>
  <c r="U127" i="17" s="1"/>
  <c r="G133" i="17"/>
  <c r="T133" i="17" s="1"/>
  <c r="AA71" i="17"/>
  <c r="L208" i="17"/>
  <c r="Y133" i="17"/>
  <c r="M208" i="17"/>
  <c r="Z144" i="17"/>
  <c r="W133" i="17"/>
  <c r="N207" i="17"/>
  <c r="N214" i="17" s="1"/>
  <c r="N217" i="17"/>
  <c r="R133" i="17"/>
  <c r="S158" i="17"/>
  <c r="Z158" i="17"/>
  <c r="D65" i="17"/>
  <c r="D72" i="17" s="1"/>
  <c r="S127" i="17"/>
  <c r="I211" i="17"/>
  <c r="I213" i="17" s="1"/>
  <c r="V183" i="17"/>
  <c r="D138" i="17"/>
  <c r="Q138" i="17" s="1"/>
  <c r="K138" i="17"/>
  <c r="X138" i="17" s="1"/>
  <c r="Q133" i="17"/>
  <c r="G127" i="17"/>
  <c r="T127" i="17" s="1"/>
  <c r="K65" i="17"/>
  <c r="E65" i="17"/>
  <c r="E72" i="17" s="1"/>
  <c r="C72" i="17"/>
  <c r="C205" i="17" s="1"/>
  <c r="J65" i="17"/>
  <c r="L138" i="17"/>
  <c r="Q71" i="17"/>
  <c r="L65" i="17"/>
  <c r="V158" i="17"/>
  <c r="W158" i="17"/>
  <c r="I209" i="17"/>
  <c r="I210" i="17" s="1"/>
  <c r="H209" i="17"/>
  <c r="H210" i="17" s="1"/>
  <c r="U158" i="17"/>
  <c r="C220" i="17"/>
  <c r="C223" i="17" s="1"/>
  <c r="Q183" i="17"/>
  <c r="D211" i="17"/>
  <c r="D213" i="17" s="1"/>
  <c r="U71" i="17"/>
  <c r="Q127" i="17"/>
  <c r="E139" i="17"/>
  <c r="R127" i="17"/>
  <c r="E208" i="17"/>
  <c r="R144" i="17"/>
  <c r="F71" i="17"/>
  <c r="S71" i="17" s="1"/>
  <c r="S68" i="17"/>
  <c r="K71" i="17"/>
  <c r="X68" i="17"/>
  <c r="O138" i="17"/>
  <c r="P138" i="17" s="1"/>
  <c r="S133" i="17"/>
  <c r="F138" i="17"/>
  <c r="J208" i="17"/>
  <c r="J210" i="17" s="1"/>
  <c r="W144" i="17"/>
  <c r="E211" i="17"/>
  <c r="E213" i="17" s="1"/>
  <c r="R183" i="17"/>
  <c r="J213" i="17"/>
  <c r="T68" i="17"/>
  <c r="W68" i="17"/>
  <c r="J71" i="17"/>
  <c r="W71" i="17" s="1"/>
  <c r="L127" i="17"/>
  <c r="Y158" i="17"/>
  <c r="L209" i="17"/>
  <c r="O72" i="17"/>
  <c r="P72" i="17" s="1"/>
  <c r="F208" i="17"/>
  <c r="F210" i="17" s="1"/>
  <c r="S144" i="17"/>
  <c r="H138" i="17"/>
  <c r="G211" i="17"/>
  <c r="G213" i="17" s="1"/>
  <c r="T183" i="17"/>
  <c r="F211" i="17"/>
  <c r="F213" i="17" s="1"/>
  <c r="S183" i="17"/>
  <c r="G209" i="17"/>
  <c r="G210" i="17" s="1"/>
  <c r="T158" i="17"/>
  <c r="U183" i="17"/>
  <c r="U127" i="16"/>
  <c r="V127" i="16"/>
  <c r="W127" i="16"/>
  <c r="U133" i="16"/>
  <c r="V133" i="16"/>
  <c r="U137" i="16"/>
  <c r="V137" i="16"/>
  <c r="W137" i="16"/>
  <c r="U138" i="16"/>
  <c r="V138" i="16"/>
  <c r="U139" i="16"/>
  <c r="V139" i="16"/>
  <c r="AF14" i="10"/>
  <c r="AE51" i="10"/>
  <c r="V65" i="17" l="1"/>
  <c r="V127" i="17"/>
  <c r="J139" i="17"/>
  <c r="J206" i="17" s="1"/>
  <c r="J217" i="17" s="1"/>
  <c r="J220" i="17" s="1"/>
  <c r="J223" i="17" s="1"/>
  <c r="Y71" i="17"/>
  <c r="X127" i="17"/>
  <c r="T65" i="17"/>
  <c r="E210" i="17"/>
  <c r="M72" i="17"/>
  <c r="AA72" i="17" s="1"/>
  <c r="I72" i="17"/>
  <c r="I205" i="17" s="1"/>
  <c r="K139" i="17"/>
  <c r="X139" i="17" s="1"/>
  <c r="L72" i="17"/>
  <c r="L205" i="17" s="1"/>
  <c r="W65" i="17"/>
  <c r="Y127" i="17"/>
  <c r="D139" i="17"/>
  <c r="R139" i="17" s="1"/>
  <c r="Y138" i="17"/>
  <c r="M210" i="17"/>
  <c r="U65" i="17"/>
  <c r="Z65" i="17"/>
  <c r="V138" i="17"/>
  <c r="N220" i="17"/>
  <c r="Z138" i="17"/>
  <c r="AA138" i="17"/>
  <c r="I139" i="17"/>
  <c r="W139" i="17" s="1"/>
  <c r="Z127" i="17"/>
  <c r="L210" i="17"/>
  <c r="G138" i="17"/>
  <c r="T138" i="17" s="1"/>
  <c r="R138" i="17"/>
  <c r="U133" i="17"/>
  <c r="M139" i="17"/>
  <c r="Q65" i="17"/>
  <c r="Y65" i="17"/>
  <c r="F72" i="17"/>
  <c r="S72" i="17" s="1"/>
  <c r="X65" i="17"/>
  <c r="J72" i="17"/>
  <c r="J205" i="17" s="1"/>
  <c r="R65" i="17"/>
  <c r="S65" i="17"/>
  <c r="C216" i="17"/>
  <c r="C207" i="17"/>
  <c r="O205" i="17"/>
  <c r="H205" i="17"/>
  <c r="U72" i="17"/>
  <c r="D206" i="17"/>
  <c r="D217" i="17" s="1"/>
  <c r="G139" i="17"/>
  <c r="E205" i="17"/>
  <c r="R72" i="17"/>
  <c r="T71" i="17"/>
  <c r="O139" i="17"/>
  <c r="P139" i="17" s="1"/>
  <c r="G216" i="17"/>
  <c r="D205" i="17"/>
  <c r="Q72" i="17"/>
  <c r="E206" i="17"/>
  <c r="E217" i="17" s="1"/>
  <c r="S138" i="17"/>
  <c r="F139" i="17"/>
  <c r="X71" i="17"/>
  <c r="H139" i="17"/>
  <c r="L139" i="17"/>
  <c r="Y139" i="17" s="1"/>
  <c r="K72" i="17"/>
  <c r="K113" i="16"/>
  <c r="K108" i="16"/>
  <c r="K93" i="16"/>
  <c r="K81" i="16"/>
  <c r="K78" i="16"/>
  <c r="K77" i="16"/>
  <c r="K84" i="16"/>
  <c r="K83" i="16" s="1"/>
  <c r="K86" i="16"/>
  <c r="K85" i="16" s="1"/>
  <c r="K87" i="16"/>
  <c r="K88" i="16"/>
  <c r="K90" i="16"/>
  <c r="K94" i="16"/>
  <c r="K92" i="16" s="1"/>
  <c r="K96" i="16"/>
  <c r="K100" i="16"/>
  <c r="K97" i="16" s="1"/>
  <c r="K102" i="16"/>
  <c r="K106" i="16"/>
  <c r="K107" i="16"/>
  <c r="K111" i="16"/>
  <c r="K115" i="16"/>
  <c r="K118" i="16"/>
  <c r="K120" i="16"/>
  <c r="K122" i="16"/>
  <c r="K121" i="16" s="1"/>
  <c r="K123" i="16"/>
  <c r="K124" i="16"/>
  <c r="K128" i="16"/>
  <c r="K133" i="16" s="1"/>
  <c r="K129" i="16"/>
  <c r="K132" i="16"/>
  <c r="K136" i="16"/>
  <c r="K137" i="16"/>
  <c r="S181" i="16"/>
  <c r="T181" i="16"/>
  <c r="U181" i="16"/>
  <c r="V181" i="16"/>
  <c r="W181" i="16"/>
  <c r="S144" i="16"/>
  <c r="T144" i="16"/>
  <c r="U144" i="16"/>
  <c r="V144" i="16"/>
  <c r="W144" i="16"/>
  <c r="S157" i="16"/>
  <c r="T157" i="16"/>
  <c r="U157" i="16"/>
  <c r="V157" i="16"/>
  <c r="W157" i="16"/>
  <c r="M128" i="16"/>
  <c r="AF56" i="10"/>
  <c r="N135" i="16"/>
  <c r="L113" i="16"/>
  <c r="L108" i="16"/>
  <c r="L93" i="16"/>
  <c r="N93" i="16" s="1"/>
  <c r="L81" i="16"/>
  <c r="L78" i="16"/>
  <c r="L59" i="16"/>
  <c r="K59" i="16"/>
  <c r="L57" i="16"/>
  <c r="K57" i="16"/>
  <c r="L52" i="16"/>
  <c r="N52" i="16" s="1"/>
  <c r="K52" i="16"/>
  <c r="L51" i="16"/>
  <c r="K51" i="16"/>
  <c r="N51" i="16"/>
  <c r="L56" i="16"/>
  <c r="N56" i="16" s="1"/>
  <c r="K56" i="16"/>
  <c r="O46" i="11"/>
  <c r="O36" i="11"/>
  <c r="O27" i="11"/>
  <c r="O17" i="11"/>
  <c r="O7" i="11"/>
  <c r="D200" i="8"/>
  <c r="J200" i="8" s="1"/>
  <c r="J199" i="8"/>
  <c r="G197" i="8"/>
  <c r="G198" i="8" s="1"/>
  <c r="I195" i="8"/>
  <c r="H195" i="8"/>
  <c r="G195" i="8"/>
  <c r="F195" i="8"/>
  <c r="E195" i="8"/>
  <c r="D195" i="8"/>
  <c r="C195" i="8"/>
  <c r="J194" i="8"/>
  <c r="J195" i="8" s="1"/>
  <c r="I193" i="8"/>
  <c r="H193" i="8"/>
  <c r="H196" i="8" s="1"/>
  <c r="J192" i="8"/>
  <c r="K192" i="8" s="1"/>
  <c r="J191" i="8"/>
  <c r="K191" i="8" s="1"/>
  <c r="G190" i="8"/>
  <c r="J190" i="8" s="1"/>
  <c r="M188" i="8"/>
  <c r="E189" i="8"/>
  <c r="E193" i="8" s="1"/>
  <c r="D189" i="8"/>
  <c r="P186" i="8"/>
  <c r="F187" i="8"/>
  <c r="J187" i="8" s="1"/>
  <c r="K187" i="8" s="1"/>
  <c r="J186" i="8"/>
  <c r="K186" i="8" s="1"/>
  <c r="F185" i="8"/>
  <c r="J185" i="8" s="1"/>
  <c r="C185" i="8"/>
  <c r="F184" i="8"/>
  <c r="D184" i="8"/>
  <c r="C184" i="8"/>
  <c r="F183" i="8"/>
  <c r="J183" i="8" s="1"/>
  <c r="C183" i="8"/>
  <c r="F182" i="8"/>
  <c r="J182" i="8" s="1"/>
  <c r="C182" i="8"/>
  <c r="J181" i="8"/>
  <c r="K181" i="8" s="1"/>
  <c r="G180" i="8"/>
  <c r="J180" i="8" s="1"/>
  <c r="F179" i="8"/>
  <c r="J179" i="8" s="1"/>
  <c r="C179" i="8"/>
  <c r="J178" i="8"/>
  <c r="C178" i="8"/>
  <c r="D177" i="8"/>
  <c r="J177" i="8" s="1"/>
  <c r="C177" i="8"/>
  <c r="J176" i="8"/>
  <c r="K176" i="8" s="1"/>
  <c r="O174" i="8"/>
  <c r="J175" i="8"/>
  <c r="K175" i="8" s="1"/>
  <c r="O173" i="8"/>
  <c r="L174" i="8"/>
  <c r="J174" i="8"/>
  <c r="K174" i="8" s="1"/>
  <c r="J173" i="8"/>
  <c r="AA51" i="10"/>
  <c r="AA49" i="10"/>
  <c r="AA30" i="10"/>
  <c r="AA25" i="10"/>
  <c r="AA19" i="10"/>
  <c r="AA17" i="10"/>
  <c r="AE37" i="10"/>
  <c r="AE38" i="10"/>
  <c r="AF39" i="10" s="1"/>
  <c r="AE33" i="10"/>
  <c r="AE41" i="10"/>
  <c r="P197" i="16"/>
  <c r="O197" i="16"/>
  <c r="K150" i="16"/>
  <c r="K144" i="16" s="1"/>
  <c r="K206" i="16" s="1"/>
  <c r="K152" i="16"/>
  <c r="K154" i="16"/>
  <c r="K156" i="16"/>
  <c r="K162" i="16"/>
  <c r="K164" i="16"/>
  <c r="K165" i="16"/>
  <c r="K167" i="16"/>
  <c r="K168" i="16"/>
  <c r="K169" i="16"/>
  <c r="K170" i="16"/>
  <c r="K173" i="16"/>
  <c r="K182" i="16"/>
  <c r="K184" i="16"/>
  <c r="K186" i="16"/>
  <c r="K187" i="16"/>
  <c r="K189" i="16"/>
  <c r="K190" i="16"/>
  <c r="K193" i="16"/>
  <c r="K195" i="16"/>
  <c r="K210" i="16" s="1"/>
  <c r="N22" i="16"/>
  <c r="N23" i="16"/>
  <c r="N24" i="16"/>
  <c r="N25" i="16"/>
  <c r="N26" i="16"/>
  <c r="N27" i="16"/>
  <c r="N28" i="16"/>
  <c r="N29" i="16"/>
  <c r="N30" i="16"/>
  <c r="N32" i="16"/>
  <c r="N35" i="16"/>
  <c r="N41" i="16"/>
  <c r="N45" i="16"/>
  <c r="N46" i="16"/>
  <c r="N47" i="16"/>
  <c r="N48" i="16"/>
  <c r="N50" i="16"/>
  <c r="N53" i="16"/>
  <c r="N55" i="16"/>
  <c r="N60" i="16"/>
  <c r="N61" i="16"/>
  <c r="N62" i="16"/>
  <c r="N63" i="16"/>
  <c r="N67" i="16"/>
  <c r="N69" i="16"/>
  <c r="N78" i="16"/>
  <c r="N79" i="16"/>
  <c r="N80" i="16"/>
  <c r="N89" i="16"/>
  <c r="N91" i="16"/>
  <c r="N95" i="16"/>
  <c r="N99" i="16"/>
  <c r="N101" i="16"/>
  <c r="N103" i="16"/>
  <c r="N104" i="16"/>
  <c r="N105" i="16"/>
  <c r="N109" i="16"/>
  <c r="N110" i="16"/>
  <c r="N116" i="16"/>
  <c r="N117" i="16"/>
  <c r="N119" i="16"/>
  <c r="N125" i="16"/>
  <c r="N126" i="16"/>
  <c r="N130" i="16"/>
  <c r="N134" i="16"/>
  <c r="N145" i="16"/>
  <c r="N146" i="16"/>
  <c r="N147" i="16"/>
  <c r="N148" i="16"/>
  <c r="N149" i="16"/>
  <c r="N151" i="16"/>
  <c r="N153" i="16"/>
  <c r="N155" i="16"/>
  <c r="N158" i="16"/>
  <c r="N159" i="16"/>
  <c r="N160" i="16"/>
  <c r="N161" i="16"/>
  <c r="N163" i="16"/>
  <c r="N166" i="16"/>
  <c r="N171" i="16"/>
  <c r="N174" i="16"/>
  <c r="N175" i="16"/>
  <c r="N176" i="16"/>
  <c r="N183" i="16"/>
  <c r="N185" i="16"/>
  <c r="N188" i="16"/>
  <c r="N191" i="16"/>
  <c r="N194" i="16"/>
  <c r="N196" i="16"/>
  <c r="N197" i="16"/>
  <c r="N198" i="16"/>
  <c r="N21" i="16"/>
  <c r="K3" i="16"/>
  <c r="K11" i="16"/>
  <c r="K31" i="16"/>
  <c r="K34" i="16"/>
  <c r="K36" i="16"/>
  <c r="K33" i="16"/>
  <c r="K42" i="16"/>
  <c r="K43" i="16"/>
  <c r="K44" i="16"/>
  <c r="K54" i="16"/>
  <c r="K58" i="16"/>
  <c r="K66" i="16"/>
  <c r="K68" i="16" s="1"/>
  <c r="K70" i="16"/>
  <c r="N108" i="16"/>
  <c r="L98" i="16"/>
  <c r="N98" i="16" s="1"/>
  <c r="S26" i="11"/>
  <c r="K185" i="8" l="1"/>
  <c r="K178" i="8"/>
  <c r="O186" i="8"/>
  <c r="K177" i="8"/>
  <c r="E196" i="8"/>
  <c r="Y72" i="17"/>
  <c r="M205" i="17"/>
  <c r="K140" i="17"/>
  <c r="K206" i="17"/>
  <c r="K217" i="17" s="1"/>
  <c r="X217" i="17" s="1"/>
  <c r="Q139" i="17"/>
  <c r="V72" i="17"/>
  <c r="Z72" i="17"/>
  <c r="V139" i="17"/>
  <c r="U138" i="17"/>
  <c r="AA22" i="10"/>
  <c r="AA26" i="10" s="1"/>
  <c r="AA53" i="10"/>
  <c r="AA56" i="10" s="1"/>
  <c r="M206" i="17"/>
  <c r="M217" i="17" s="1"/>
  <c r="Z139" i="17"/>
  <c r="AA139" i="17"/>
  <c r="I206" i="17"/>
  <c r="I217" i="17" s="1"/>
  <c r="I220" i="17" s="1"/>
  <c r="I223" i="17" s="1"/>
  <c r="N223" i="17"/>
  <c r="W72" i="17"/>
  <c r="F205" i="17"/>
  <c r="F216" i="17" s="1"/>
  <c r="T216" i="17" s="1"/>
  <c r="T72" i="17"/>
  <c r="T139" i="17"/>
  <c r="M216" i="17"/>
  <c r="M207" i="17"/>
  <c r="M214" i="17" s="1"/>
  <c r="U139" i="17"/>
  <c r="I196" i="8"/>
  <c r="D193" i="8"/>
  <c r="D196" i="8" s="1"/>
  <c r="C193" i="8"/>
  <c r="C196" i="8" s="1"/>
  <c r="K179" i="8"/>
  <c r="K183" i="8"/>
  <c r="D201" i="8"/>
  <c r="K182" i="8"/>
  <c r="G193" i="8"/>
  <c r="G196" i="8" s="1"/>
  <c r="J184" i="8"/>
  <c r="K184" i="8" s="1"/>
  <c r="J189" i="8"/>
  <c r="K189" i="8" s="1"/>
  <c r="C214" i="17"/>
  <c r="Q208" i="17"/>
  <c r="C219" i="17"/>
  <c r="C222" i="17" s="1"/>
  <c r="D220" i="17"/>
  <c r="Q220" i="17" s="1"/>
  <c r="Q217" i="17"/>
  <c r="L206" i="17"/>
  <c r="L217" i="17" s="1"/>
  <c r="H206" i="17"/>
  <c r="H217" i="17" s="1"/>
  <c r="O206" i="17"/>
  <c r="O217" i="17" s="1"/>
  <c r="J216" i="17"/>
  <c r="J207" i="17"/>
  <c r="J214" i="17" s="1"/>
  <c r="H216" i="17"/>
  <c r="K205" i="17"/>
  <c r="X72" i="17"/>
  <c r="R217" i="17"/>
  <c r="E220" i="17"/>
  <c r="G206" i="17"/>
  <c r="S139" i="17"/>
  <c r="F206" i="17"/>
  <c r="F217" i="17" s="1"/>
  <c r="G219" i="17"/>
  <c r="L216" i="17"/>
  <c r="E216" i="17"/>
  <c r="E207" i="17"/>
  <c r="E214" i="17" s="1"/>
  <c r="I216" i="17"/>
  <c r="D216" i="17"/>
  <c r="D207" i="17"/>
  <c r="O216" i="17"/>
  <c r="K138" i="16"/>
  <c r="K112" i="16"/>
  <c r="K127" i="16"/>
  <c r="O49" i="11"/>
  <c r="O52" i="11" s="1"/>
  <c r="O20" i="11"/>
  <c r="O23" i="11" s="1"/>
  <c r="L177" i="8"/>
  <c r="K180" i="8"/>
  <c r="K190" i="8"/>
  <c r="K195" i="8"/>
  <c r="K194" i="8"/>
  <c r="K173" i="8"/>
  <c r="L182" i="8"/>
  <c r="L192" i="8"/>
  <c r="L189" i="8"/>
  <c r="F193" i="8"/>
  <c r="F196" i="8" s="1"/>
  <c r="F198" i="8" s="1"/>
  <c r="K71" i="16"/>
  <c r="K181" i="16"/>
  <c r="K157" i="16"/>
  <c r="K207" i="16" s="1"/>
  <c r="K39" i="16"/>
  <c r="K65" i="16" s="1"/>
  <c r="K208" i="16"/>
  <c r="J193" i="8" l="1"/>
  <c r="J196" i="8" s="1"/>
  <c r="K220" i="17"/>
  <c r="X220" i="17" s="1"/>
  <c r="W217" i="17"/>
  <c r="I207" i="17"/>
  <c r="I214" i="17" s="1"/>
  <c r="R220" i="17"/>
  <c r="AA57" i="10"/>
  <c r="N224" i="17"/>
  <c r="M219" i="17"/>
  <c r="Z216" i="17"/>
  <c r="AA216" i="17"/>
  <c r="W220" i="17"/>
  <c r="M220" i="17"/>
  <c r="Z217" i="17"/>
  <c r="AA217" i="17"/>
  <c r="C224" i="17"/>
  <c r="H207" i="17"/>
  <c r="H214" i="17" s="1"/>
  <c r="D202" i="8"/>
  <c r="L196" i="8"/>
  <c r="O207" i="17"/>
  <c r="O214" i="17" s="1"/>
  <c r="L207" i="17"/>
  <c r="L214" i="17" s="1"/>
  <c r="S217" i="17"/>
  <c r="F220" i="17"/>
  <c r="S220" i="17" s="1"/>
  <c r="H219" i="17"/>
  <c r="U219" i="17" s="1"/>
  <c r="U216" i="17"/>
  <c r="H220" i="17"/>
  <c r="E219" i="17"/>
  <c r="R216" i="17"/>
  <c r="W216" i="17"/>
  <c r="J219" i="17"/>
  <c r="L219" i="17"/>
  <c r="L222" i="17" s="1"/>
  <c r="K216" i="17"/>
  <c r="K207" i="17"/>
  <c r="K214" i="17" s="1"/>
  <c r="O220" i="17"/>
  <c r="O223" i="17" s="1"/>
  <c r="R207" i="17"/>
  <c r="D214" i="17"/>
  <c r="E223" i="17"/>
  <c r="D219" i="17"/>
  <c r="Q219" i="17" s="1"/>
  <c r="Q216" i="17"/>
  <c r="L220" i="17"/>
  <c r="Y217" i="17"/>
  <c r="S216" i="17"/>
  <c r="F219" i="17"/>
  <c r="W223" i="17"/>
  <c r="V217" i="17"/>
  <c r="O219" i="17"/>
  <c r="O222" i="17" s="1"/>
  <c r="G217" i="17"/>
  <c r="G207" i="17"/>
  <c r="G214" i="17" s="1"/>
  <c r="V216" i="17"/>
  <c r="I219" i="17"/>
  <c r="K223" i="17"/>
  <c r="G222" i="17"/>
  <c r="F207" i="17"/>
  <c r="F214" i="17" s="1"/>
  <c r="D223" i="17"/>
  <c r="K139" i="16"/>
  <c r="K140" i="16" s="1"/>
  <c r="O53" i="11"/>
  <c r="K196" i="8"/>
  <c r="K193" i="8"/>
  <c r="K72" i="16"/>
  <c r="K209" i="16"/>
  <c r="K211" i="16" s="1"/>
  <c r="L165" i="16"/>
  <c r="N165" i="16" s="1"/>
  <c r="L122" i="16"/>
  <c r="N122" i="16" s="1"/>
  <c r="L84" i="16"/>
  <c r="L86" i="16"/>
  <c r="N86" i="16" s="1"/>
  <c r="L87" i="16"/>
  <c r="N87" i="16" s="1"/>
  <c r="L90" i="16"/>
  <c r="L94" i="16"/>
  <c r="N94" i="16" s="1"/>
  <c r="L96" i="16"/>
  <c r="N96" i="16" s="1"/>
  <c r="L100" i="16"/>
  <c r="L102" i="16"/>
  <c r="L107" i="16"/>
  <c r="N107" i="16" s="1"/>
  <c r="L111" i="16"/>
  <c r="N111" i="16" s="1"/>
  <c r="N113" i="16"/>
  <c r="L115" i="16"/>
  <c r="N115" i="16" s="1"/>
  <c r="L118" i="16"/>
  <c r="N118" i="16" s="1"/>
  <c r="L120" i="16"/>
  <c r="N120" i="16" s="1"/>
  <c r="L123" i="16"/>
  <c r="N123" i="16" s="1"/>
  <c r="L124" i="16"/>
  <c r="N124" i="16" s="1"/>
  <c r="L132" i="16"/>
  <c r="N132" i="16" s="1"/>
  <c r="L136" i="16"/>
  <c r="L182" i="16"/>
  <c r="L184" i="16"/>
  <c r="L186" i="16"/>
  <c r="N186" i="16" s="1"/>
  <c r="L187" i="16"/>
  <c r="N187" i="16" s="1"/>
  <c r="L189" i="16"/>
  <c r="L190" i="16"/>
  <c r="N190" i="16" s="1"/>
  <c r="L193" i="16"/>
  <c r="L195" i="16"/>
  <c r="L150" i="16"/>
  <c r="N150" i="16" s="1"/>
  <c r="L152" i="16"/>
  <c r="N152" i="16" s="1"/>
  <c r="L154" i="16"/>
  <c r="L156" i="16"/>
  <c r="N156" i="16" s="1"/>
  <c r="L162" i="16"/>
  <c r="N162" i="16" s="1"/>
  <c r="L164" i="16"/>
  <c r="N164" i="16" s="1"/>
  <c r="L167" i="16"/>
  <c r="N167" i="16" s="1"/>
  <c r="L168" i="16"/>
  <c r="N168" i="16" s="1"/>
  <c r="L169" i="16"/>
  <c r="N169" i="16" s="1"/>
  <c r="L170" i="16"/>
  <c r="N170" i="16" s="1"/>
  <c r="L173" i="16"/>
  <c r="N173" i="16" s="1"/>
  <c r="L3" i="16"/>
  <c r="L11" i="16"/>
  <c r="L31" i="16"/>
  <c r="L34" i="16"/>
  <c r="N34" i="16" s="1"/>
  <c r="L36" i="16"/>
  <c r="N38" i="16"/>
  <c r="L42" i="16"/>
  <c r="N42" i="16" s="1"/>
  <c r="L43" i="16"/>
  <c r="N43" i="16" s="1"/>
  <c r="L44" i="16"/>
  <c r="N44" i="16" s="1"/>
  <c r="L54" i="16"/>
  <c r="N54" i="16" s="1"/>
  <c r="N57" i="16"/>
  <c r="L58" i="16"/>
  <c r="N58" i="16" s="1"/>
  <c r="N59" i="16"/>
  <c r="L66" i="16"/>
  <c r="L70" i="16"/>
  <c r="W70" i="16" s="1"/>
  <c r="M195" i="16"/>
  <c r="J195" i="16"/>
  <c r="I195" i="16"/>
  <c r="H195" i="16"/>
  <c r="G195" i="16"/>
  <c r="F195" i="16"/>
  <c r="Q195" i="16" s="1"/>
  <c r="E195" i="16"/>
  <c r="D195" i="16"/>
  <c r="C195" i="16"/>
  <c r="C210" i="16" s="1"/>
  <c r="P193" i="16"/>
  <c r="J193" i="16"/>
  <c r="I193" i="16"/>
  <c r="H193" i="16"/>
  <c r="G193" i="16"/>
  <c r="F193" i="16"/>
  <c r="E193" i="16"/>
  <c r="D193" i="16"/>
  <c r="C193" i="16"/>
  <c r="P191" i="16"/>
  <c r="J190" i="16"/>
  <c r="I190" i="16"/>
  <c r="H190" i="16"/>
  <c r="G190" i="16"/>
  <c r="F190" i="16"/>
  <c r="E190" i="16"/>
  <c r="D190" i="16"/>
  <c r="J189" i="16"/>
  <c r="I189" i="16"/>
  <c r="H189" i="16"/>
  <c r="G189" i="16"/>
  <c r="F189" i="16"/>
  <c r="E189" i="16"/>
  <c r="D189" i="16"/>
  <c r="C189" i="16"/>
  <c r="P187" i="16"/>
  <c r="J187" i="16"/>
  <c r="I187" i="16"/>
  <c r="H187" i="16"/>
  <c r="G187" i="16"/>
  <c r="F187" i="16"/>
  <c r="E187" i="16"/>
  <c r="D187" i="16"/>
  <c r="J186" i="16"/>
  <c r="I186" i="16"/>
  <c r="H186" i="16"/>
  <c r="G186" i="16"/>
  <c r="F186" i="16"/>
  <c r="E186" i="16"/>
  <c r="D186" i="16"/>
  <c r="J184" i="16"/>
  <c r="I184" i="16"/>
  <c r="H184" i="16"/>
  <c r="G184" i="16"/>
  <c r="F184" i="16"/>
  <c r="E184" i="16"/>
  <c r="D184" i="16"/>
  <c r="J182" i="16"/>
  <c r="I182" i="16"/>
  <c r="H182" i="16"/>
  <c r="G182" i="16"/>
  <c r="F182" i="16"/>
  <c r="E182" i="16"/>
  <c r="D182" i="16"/>
  <c r="C182" i="16"/>
  <c r="M181" i="16"/>
  <c r="J173" i="16"/>
  <c r="I173" i="16"/>
  <c r="H173" i="16"/>
  <c r="G173" i="16"/>
  <c r="F173" i="16"/>
  <c r="E173" i="16"/>
  <c r="J170" i="16"/>
  <c r="I170" i="16"/>
  <c r="H170" i="16"/>
  <c r="G170" i="16"/>
  <c r="J169" i="16"/>
  <c r="I169" i="16"/>
  <c r="H169" i="16"/>
  <c r="G169" i="16"/>
  <c r="F169" i="16"/>
  <c r="E169" i="16"/>
  <c r="D169" i="16"/>
  <c r="D157" i="16" s="1"/>
  <c r="D207" i="16" s="1"/>
  <c r="J168" i="16"/>
  <c r="I168" i="16"/>
  <c r="H168" i="16"/>
  <c r="G168" i="16"/>
  <c r="J167" i="16"/>
  <c r="I167" i="16"/>
  <c r="H167" i="16"/>
  <c r="G167" i="16"/>
  <c r="J165" i="16"/>
  <c r="I165" i="16"/>
  <c r="H165" i="16"/>
  <c r="G165" i="16"/>
  <c r="F165" i="16"/>
  <c r="E165" i="16"/>
  <c r="J164" i="16"/>
  <c r="I164" i="16"/>
  <c r="H164" i="16"/>
  <c r="G164" i="16"/>
  <c r="F164" i="16"/>
  <c r="E164" i="16"/>
  <c r="J162" i="16"/>
  <c r="I162" i="16"/>
  <c r="H162" i="16"/>
  <c r="G162" i="16"/>
  <c r="F162" i="16"/>
  <c r="E162" i="16"/>
  <c r="M157" i="16"/>
  <c r="C157" i="16"/>
  <c r="C207" i="16" s="1"/>
  <c r="P156" i="16"/>
  <c r="J156" i="16"/>
  <c r="I156" i="16"/>
  <c r="H156" i="16"/>
  <c r="G156" i="16"/>
  <c r="F156" i="16"/>
  <c r="E156" i="16"/>
  <c r="D156" i="16"/>
  <c r="C156" i="16"/>
  <c r="C144" i="16" s="1"/>
  <c r="C206" i="16" s="1"/>
  <c r="J154" i="16"/>
  <c r="I154" i="16"/>
  <c r="H154" i="16"/>
  <c r="G154" i="16"/>
  <c r="F154" i="16"/>
  <c r="E154" i="16"/>
  <c r="D154" i="16"/>
  <c r="D144" i="16" s="1"/>
  <c r="D206" i="16" s="1"/>
  <c r="J152" i="16"/>
  <c r="I152" i="16"/>
  <c r="H152" i="16"/>
  <c r="G152" i="16"/>
  <c r="F152" i="16"/>
  <c r="E152" i="16"/>
  <c r="J150" i="16"/>
  <c r="I150" i="16"/>
  <c r="H150" i="16"/>
  <c r="G150" i="16"/>
  <c r="F150" i="16"/>
  <c r="E150" i="16"/>
  <c r="M144" i="16"/>
  <c r="M137" i="16"/>
  <c r="J136" i="16"/>
  <c r="J137" i="16" s="1"/>
  <c r="I136" i="16"/>
  <c r="I137" i="16" s="1"/>
  <c r="H136" i="16"/>
  <c r="H137" i="16" s="1"/>
  <c r="G136" i="16"/>
  <c r="G137" i="16" s="1"/>
  <c r="F136" i="16"/>
  <c r="F137" i="16" s="1"/>
  <c r="E136" i="16"/>
  <c r="E137" i="16" s="1"/>
  <c r="D136" i="16"/>
  <c r="D137" i="16" s="1"/>
  <c r="C136" i="16"/>
  <c r="C137" i="16" s="1"/>
  <c r="P132" i="16"/>
  <c r="J132" i="16"/>
  <c r="I132" i="16"/>
  <c r="H132" i="16"/>
  <c r="G132" i="16"/>
  <c r="O132" i="16" s="1"/>
  <c r="F132" i="16"/>
  <c r="E132" i="16"/>
  <c r="D132" i="16"/>
  <c r="C132" i="16"/>
  <c r="M129" i="16"/>
  <c r="C128" i="16"/>
  <c r="J124" i="16"/>
  <c r="I124" i="16"/>
  <c r="H124" i="16"/>
  <c r="G124" i="16"/>
  <c r="F124" i="16"/>
  <c r="E124" i="16"/>
  <c r="D124" i="16"/>
  <c r="J123" i="16"/>
  <c r="I123" i="16"/>
  <c r="H123" i="16"/>
  <c r="G123" i="16"/>
  <c r="F123" i="16"/>
  <c r="E123" i="16"/>
  <c r="D123" i="16"/>
  <c r="J122" i="16"/>
  <c r="I122" i="16"/>
  <c r="H122" i="16"/>
  <c r="G122" i="16"/>
  <c r="F122" i="16"/>
  <c r="E122" i="16"/>
  <c r="D122" i="16"/>
  <c r="M121" i="16"/>
  <c r="C121" i="16"/>
  <c r="J120" i="16"/>
  <c r="I120" i="16"/>
  <c r="H120" i="16"/>
  <c r="G120" i="16"/>
  <c r="F120" i="16"/>
  <c r="E120" i="16"/>
  <c r="D120" i="16"/>
  <c r="Q118" i="16"/>
  <c r="O118" i="16"/>
  <c r="J118" i="16"/>
  <c r="I118" i="16"/>
  <c r="H118" i="16"/>
  <c r="G118" i="16"/>
  <c r="F118" i="16"/>
  <c r="E118" i="16"/>
  <c r="D118" i="16"/>
  <c r="J115" i="16"/>
  <c r="I115" i="16"/>
  <c r="H115" i="16"/>
  <c r="G115" i="16"/>
  <c r="F115" i="16"/>
  <c r="E115" i="16"/>
  <c r="J113" i="16"/>
  <c r="I113" i="16"/>
  <c r="H113" i="16"/>
  <c r="G113" i="16"/>
  <c r="F113" i="16"/>
  <c r="E113" i="16"/>
  <c r="D113" i="16"/>
  <c r="M112" i="16"/>
  <c r="C112" i="16"/>
  <c r="J111" i="16"/>
  <c r="I111" i="16"/>
  <c r="H111" i="16"/>
  <c r="G111" i="16"/>
  <c r="F111" i="16"/>
  <c r="E111" i="16"/>
  <c r="J108" i="16"/>
  <c r="I108" i="16"/>
  <c r="H108" i="16"/>
  <c r="G108" i="16"/>
  <c r="F108" i="16"/>
  <c r="E108" i="16"/>
  <c r="J107" i="16"/>
  <c r="I107" i="16"/>
  <c r="H107" i="16"/>
  <c r="G107" i="16"/>
  <c r="F107" i="16"/>
  <c r="E107" i="16"/>
  <c r="M106" i="16"/>
  <c r="D106" i="16"/>
  <c r="C106" i="16"/>
  <c r="M102" i="16"/>
  <c r="J102" i="16"/>
  <c r="I102" i="16"/>
  <c r="H102" i="16"/>
  <c r="G102" i="16"/>
  <c r="F102" i="16"/>
  <c r="E102" i="16"/>
  <c r="D102" i="16"/>
  <c r="C102" i="16"/>
  <c r="J100" i="16"/>
  <c r="I100" i="16"/>
  <c r="I97" i="16" s="1"/>
  <c r="H100" i="16"/>
  <c r="H97" i="16" s="1"/>
  <c r="G100" i="16"/>
  <c r="G97" i="16" s="1"/>
  <c r="F100" i="16"/>
  <c r="F97" i="16" s="1"/>
  <c r="E100" i="16"/>
  <c r="E97" i="16" s="1"/>
  <c r="M97" i="16"/>
  <c r="D97" i="16"/>
  <c r="C97" i="16"/>
  <c r="J96" i="16"/>
  <c r="I96" i="16"/>
  <c r="H96" i="16"/>
  <c r="G96" i="16"/>
  <c r="F96" i="16"/>
  <c r="E96" i="16"/>
  <c r="J94" i="16"/>
  <c r="I94" i="16"/>
  <c r="H94" i="16"/>
  <c r="H92" i="16" s="1"/>
  <c r="G94" i="16"/>
  <c r="G92" i="16" s="1"/>
  <c r="F94" i="16"/>
  <c r="E94" i="16"/>
  <c r="M92" i="16"/>
  <c r="D92" i="16"/>
  <c r="C92" i="16"/>
  <c r="J90" i="16"/>
  <c r="J88" i="16" s="1"/>
  <c r="I90" i="16"/>
  <c r="H90" i="16"/>
  <c r="H88" i="16" s="1"/>
  <c r="G90" i="16"/>
  <c r="G88" i="16" s="1"/>
  <c r="F90" i="16"/>
  <c r="F88" i="16" s="1"/>
  <c r="E90" i="16"/>
  <c r="E88" i="16" s="1"/>
  <c r="D90" i="16"/>
  <c r="D88" i="16" s="1"/>
  <c r="M88" i="16"/>
  <c r="I88" i="16"/>
  <c r="C88" i="16"/>
  <c r="J87" i="16"/>
  <c r="I87" i="16"/>
  <c r="H87" i="16"/>
  <c r="G87" i="16"/>
  <c r="F87" i="16"/>
  <c r="E87" i="16"/>
  <c r="D87" i="16"/>
  <c r="J86" i="16"/>
  <c r="I86" i="16"/>
  <c r="H86" i="16"/>
  <c r="G86" i="16"/>
  <c r="F86" i="16"/>
  <c r="E86" i="16"/>
  <c r="M85" i="16"/>
  <c r="D85" i="16"/>
  <c r="C85" i="16"/>
  <c r="J84" i="16"/>
  <c r="J83" i="16" s="1"/>
  <c r="I84" i="16"/>
  <c r="I83" i="16" s="1"/>
  <c r="H84" i="16"/>
  <c r="H83" i="16" s="1"/>
  <c r="G84" i="16"/>
  <c r="G83" i="16" s="1"/>
  <c r="F84" i="16"/>
  <c r="F83" i="16" s="1"/>
  <c r="E84" i="16"/>
  <c r="E83" i="16" s="1"/>
  <c r="D84" i="16"/>
  <c r="D83" i="16" s="1"/>
  <c r="M83" i="16"/>
  <c r="C83" i="16"/>
  <c r="J81" i="16"/>
  <c r="I81" i="16"/>
  <c r="I77" i="16" s="1"/>
  <c r="H81" i="16"/>
  <c r="H77" i="16" s="1"/>
  <c r="G81" i="16"/>
  <c r="G77" i="16" s="1"/>
  <c r="F81" i="16"/>
  <c r="F77" i="16" s="1"/>
  <c r="E81" i="16"/>
  <c r="E77" i="16" s="1"/>
  <c r="D81" i="16"/>
  <c r="D77" i="16" s="1"/>
  <c r="M77" i="16"/>
  <c r="C77" i="16"/>
  <c r="M70" i="16"/>
  <c r="N70" i="16" s="1"/>
  <c r="J70" i="16"/>
  <c r="V70" i="16" s="1"/>
  <c r="I70" i="16"/>
  <c r="H70" i="16"/>
  <c r="G70" i="16"/>
  <c r="F70" i="16"/>
  <c r="E70" i="16"/>
  <c r="D70" i="16"/>
  <c r="C70" i="16"/>
  <c r="M68" i="16"/>
  <c r="J66" i="16"/>
  <c r="I66" i="16"/>
  <c r="I129" i="16" s="1"/>
  <c r="H66" i="16"/>
  <c r="H68" i="16" s="1"/>
  <c r="G66" i="16"/>
  <c r="F66" i="16"/>
  <c r="F129" i="16" s="1"/>
  <c r="E66" i="16"/>
  <c r="E129" i="16" s="1"/>
  <c r="D66" i="16"/>
  <c r="D129" i="16" s="1"/>
  <c r="C66" i="16"/>
  <c r="C129" i="16" s="1"/>
  <c r="P64" i="16"/>
  <c r="J64" i="16"/>
  <c r="J128" i="16" s="1"/>
  <c r="I64" i="16"/>
  <c r="I128" i="16" s="1"/>
  <c r="H64" i="16"/>
  <c r="H128" i="16" s="1"/>
  <c r="G64" i="16"/>
  <c r="G128" i="16" s="1"/>
  <c r="F64" i="16"/>
  <c r="F128" i="16" s="1"/>
  <c r="E64" i="16"/>
  <c r="E128" i="16" s="1"/>
  <c r="D64" i="16"/>
  <c r="D128" i="16" s="1"/>
  <c r="O63" i="16"/>
  <c r="J59" i="16"/>
  <c r="I59" i="16"/>
  <c r="H59" i="16"/>
  <c r="G59" i="16"/>
  <c r="F59" i="16"/>
  <c r="E59" i="16"/>
  <c r="D59" i="16"/>
  <c r="J58" i="16"/>
  <c r="I58" i="16"/>
  <c r="H58" i="16"/>
  <c r="G58" i="16"/>
  <c r="F58" i="16"/>
  <c r="E58" i="16"/>
  <c r="D58" i="16"/>
  <c r="C58" i="16"/>
  <c r="J57" i="16"/>
  <c r="I57" i="16"/>
  <c r="H57" i="16"/>
  <c r="G57" i="16"/>
  <c r="F57" i="16"/>
  <c r="E57" i="16"/>
  <c r="D57" i="16"/>
  <c r="C57" i="16"/>
  <c r="J54" i="16"/>
  <c r="I54" i="16"/>
  <c r="H54" i="16"/>
  <c r="G54" i="16"/>
  <c r="F54" i="16"/>
  <c r="E54" i="16"/>
  <c r="D54" i="16"/>
  <c r="C54" i="16"/>
  <c r="J44" i="16"/>
  <c r="I44" i="16"/>
  <c r="H44" i="16"/>
  <c r="G44" i="16"/>
  <c r="F44" i="16"/>
  <c r="E44" i="16"/>
  <c r="D44" i="16"/>
  <c r="J43" i="16"/>
  <c r="I43" i="16"/>
  <c r="J42" i="16"/>
  <c r="I42" i="16"/>
  <c r="H42" i="16"/>
  <c r="G42" i="16"/>
  <c r="F42" i="16"/>
  <c r="E42" i="16"/>
  <c r="D42" i="16"/>
  <c r="C42" i="16"/>
  <c r="M39" i="16"/>
  <c r="I38" i="16"/>
  <c r="P37" i="16"/>
  <c r="C37" i="16"/>
  <c r="C33" i="16" s="1"/>
  <c r="J36" i="16"/>
  <c r="I36" i="16"/>
  <c r="I37" i="16" s="1"/>
  <c r="H36" i="16"/>
  <c r="H37" i="16" s="1"/>
  <c r="G36" i="16"/>
  <c r="G37" i="16" s="1"/>
  <c r="F36" i="16"/>
  <c r="F37" i="16" s="1"/>
  <c r="E36" i="16"/>
  <c r="E37" i="16" s="1"/>
  <c r="D36" i="16"/>
  <c r="D37" i="16" s="1"/>
  <c r="J34" i="16"/>
  <c r="I34" i="16"/>
  <c r="H34" i="16"/>
  <c r="G34" i="16"/>
  <c r="F34" i="16"/>
  <c r="E34" i="16"/>
  <c r="D34" i="16"/>
  <c r="M33" i="16"/>
  <c r="P31" i="16"/>
  <c r="O31" i="16"/>
  <c r="M31" i="16"/>
  <c r="N31" i="16" s="1"/>
  <c r="J31" i="16"/>
  <c r="I31" i="16"/>
  <c r="H31" i="16"/>
  <c r="G31" i="16"/>
  <c r="F31" i="16"/>
  <c r="E31" i="16"/>
  <c r="D31" i="16"/>
  <c r="C31" i="16"/>
  <c r="P30" i="16"/>
  <c r="O30" i="16"/>
  <c r="N20" i="16"/>
  <c r="N19" i="16"/>
  <c r="N17" i="16"/>
  <c r="P16" i="16"/>
  <c r="N16" i="16"/>
  <c r="N15" i="16"/>
  <c r="I15" i="16"/>
  <c r="H15" i="16"/>
  <c r="G15" i="16"/>
  <c r="F15" i="16"/>
  <c r="E15" i="16"/>
  <c r="D15" i="16"/>
  <c r="N14" i="16"/>
  <c r="N13" i="16"/>
  <c r="N12" i="16"/>
  <c r="I12" i="16"/>
  <c r="H12" i="16"/>
  <c r="H11" i="16" s="1"/>
  <c r="G12" i="16"/>
  <c r="F12" i="16"/>
  <c r="E12" i="16"/>
  <c r="D12" i="16"/>
  <c r="M11" i="16"/>
  <c r="C11" i="16"/>
  <c r="P10" i="16"/>
  <c r="O10" i="16"/>
  <c r="N10" i="16"/>
  <c r="N9" i="16"/>
  <c r="N8" i="16"/>
  <c r="N7" i="16"/>
  <c r="N6" i="16"/>
  <c r="N5" i="16"/>
  <c r="N4" i="16"/>
  <c r="M3" i="16"/>
  <c r="J3" i="16"/>
  <c r="I3" i="16"/>
  <c r="H3" i="16"/>
  <c r="G3" i="16"/>
  <c r="F3" i="16"/>
  <c r="E3" i="16"/>
  <c r="D3" i="16"/>
  <c r="C3" i="16"/>
  <c r="W26" i="11"/>
  <c r="N63" i="15"/>
  <c r="M63" i="15"/>
  <c r="N152" i="15"/>
  <c r="M152" i="15"/>
  <c r="L150" i="15"/>
  <c r="N37" i="15"/>
  <c r="I38" i="15"/>
  <c r="N31" i="15"/>
  <c r="M31" i="15"/>
  <c r="N30" i="15"/>
  <c r="M30" i="15"/>
  <c r="N16" i="15"/>
  <c r="N10" i="15"/>
  <c r="M10" i="15"/>
  <c r="W8" i="11"/>
  <c r="W9" i="11"/>
  <c r="C215" i="8"/>
  <c r="Y220" i="17" l="1"/>
  <c r="S219" i="17"/>
  <c r="Z220" i="17"/>
  <c r="AA220" i="17"/>
  <c r="M223" i="17"/>
  <c r="M222" i="17"/>
  <c r="Z219" i="17"/>
  <c r="AA219" i="17"/>
  <c r="H222" i="17"/>
  <c r="U222" i="17" s="1"/>
  <c r="V219" i="17"/>
  <c r="W219" i="17"/>
  <c r="F223" i="17"/>
  <c r="S223" i="17" s="1"/>
  <c r="H223" i="17"/>
  <c r="I222" i="17"/>
  <c r="F222" i="17"/>
  <c r="D222" i="17"/>
  <c r="Q222" i="17" s="1"/>
  <c r="X223" i="17"/>
  <c r="O224" i="17"/>
  <c r="Q223" i="17"/>
  <c r="R223" i="17"/>
  <c r="X216" i="17"/>
  <c r="K219" i="17"/>
  <c r="X219" i="17" s="1"/>
  <c r="R219" i="17"/>
  <c r="V220" i="17"/>
  <c r="T217" i="17"/>
  <c r="G220" i="17"/>
  <c r="T220" i="17" s="1"/>
  <c r="T219" i="17"/>
  <c r="Y216" i="17"/>
  <c r="E222" i="17"/>
  <c r="E224" i="17" s="1"/>
  <c r="L223" i="17"/>
  <c r="J222" i="17"/>
  <c r="U217" i="17"/>
  <c r="M207" i="16"/>
  <c r="G210" i="16"/>
  <c r="R195" i="16"/>
  <c r="N37" i="16"/>
  <c r="N36" i="16"/>
  <c r="L210" i="16"/>
  <c r="W195" i="16"/>
  <c r="L137" i="16"/>
  <c r="N136" i="16"/>
  <c r="N85" i="16"/>
  <c r="N88" i="16"/>
  <c r="N102" i="16"/>
  <c r="H210" i="16"/>
  <c r="S195" i="16"/>
  <c r="N193" i="16"/>
  <c r="O193" i="16"/>
  <c r="L83" i="16"/>
  <c r="N83" i="16" s="1"/>
  <c r="N84" i="16"/>
  <c r="M206" i="16"/>
  <c r="J210" i="16"/>
  <c r="U195" i="16"/>
  <c r="V195" i="16"/>
  <c r="O191" i="16"/>
  <c r="N189" i="16"/>
  <c r="L97" i="16"/>
  <c r="N100" i="16"/>
  <c r="D33" i="16"/>
  <c r="G85" i="16"/>
  <c r="E92" i="16"/>
  <c r="N106" i="16"/>
  <c r="N181" i="16"/>
  <c r="N195" i="16"/>
  <c r="C68" i="16"/>
  <c r="N97" i="16"/>
  <c r="I210" i="16"/>
  <c r="T195" i="16"/>
  <c r="L77" i="16"/>
  <c r="N77" i="16" s="1"/>
  <c r="N81" i="16"/>
  <c r="F92" i="16"/>
  <c r="O195" i="16"/>
  <c r="E210" i="16"/>
  <c r="P195" i="16"/>
  <c r="L129" i="16"/>
  <c r="N66" i="16"/>
  <c r="L88" i="16"/>
  <c r="N90" i="16"/>
  <c r="G106" i="16"/>
  <c r="N129" i="16"/>
  <c r="N128" i="16"/>
  <c r="N64" i="16"/>
  <c r="O187" i="16"/>
  <c r="N182" i="16"/>
  <c r="K203" i="16"/>
  <c r="K214" i="16" s="1"/>
  <c r="I92" i="16"/>
  <c r="E144" i="16"/>
  <c r="E206" i="16" s="1"/>
  <c r="F85" i="16"/>
  <c r="E106" i="16"/>
  <c r="I85" i="16"/>
  <c r="G121" i="16"/>
  <c r="J92" i="16"/>
  <c r="U70" i="16"/>
  <c r="M133" i="16"/>
  <c r="G144" i="16"/>
  <c r="G206" i="16" s="1"/>
  <c r="E121" i="16"/>
  <c r="O16" i="16"/>
  <c r="E85" i="16"/>
  <c r="L106" i="16"/>
  <c r="F11" i="16"/>
  <c r="C181" i="16"/>
  <c r="C209" i="16" s="1"/>
  <c r="C211" i="16" s="1"/>
  <c r="G11" i="16"/>
  <c r="E33" i="16"/>
  <c r="H71" i="16"/>
  <c r="J97" i="16"/>
  <c r="F144" i="16"/>
  <c r="D133" i="16"/>
  <c r="D138" i="16" s="1"/>
  <c r="E181" i="16"/>
  <c r="D68" i="16"/>
  <c r="O68" i="16" s="1"/>
  <c r="H85" i="16"/>
  <c r="J129" i="16"/>
  <c r="L157" i="16"/>
  <c r="N157" i="16" s="1"/>
  <c r="L85" i="16"/>
  <c r="J68" i="16"/>
  <c r="V68" i="16" s="1"/>
  <c r="H144" i="16"/>
  <c r="F157" i="16"/>
  <c r="L121" i="16"/>
  <c r="N121" i="16" s="1"/>
  <c r="C39" i="16"/>
  <c r="C65" i="16" s="1"/>
  <c r="L68" i="16"/>
  <c r="W68" i="16" s="1"/>
  <c r="P144" i="16"/>
  <c r="M127" i="16"/>
  <c r="G112" i="16"/>
  <c r="I112" i="16"/>
  <c r="L133" i="16"/>
  <c r="W133" i="16" s="1"/>
  <c r="F68" i="16"/>
  <c r="F71" i="16" s="1"/>
  <c r="H112" i="16"/>
  <c r="O156" i="16"/>
  <c r="D181" i="16"/>
  <c r="D209" i="16" s="1"/>
  <c r="H39" i="16"/>
  <c r="R70" i="16"/>
  <c r="I106" i="16"/>
  <c r="I39" i="16"/>
  <c r="O64" i="16"/>
  <c r="S70" i="16"/>
  <c r="R137" i="16"/>
  <c r="G157" i="16"/>
  <c r="G181" i="16"/>
  <c r="L39" i="16"/>
  <c r="N39" i="16" s="1"/>
  <c r="L181" i="16"/>
  <c r="D121" i="16"/>
  <c r="M208" i="16"/>
  <c r="H157" i="16"/>
  <c r="L92" i="16"/>
  <c r="N92" i="16" s="1"/>
  <c r="J11" i="16"/>
  <c r="N11" i="16" s="1"/>
  <c r="F133" i="16"/>
  <c r="F138" i="16" s="1"/>
  <c r="F106" i="16"/>
  <c r="J112" i="16"/>
  <c r="O144" i="16"/>
  <c r="I181" i="16"/>
  <c r="L112" i="16"/>
  <c r="N112" i="16" s="1"/>
  <c r="D11" i="16"/>
  <c r="Q70" i="16"/>
  <c r="E157" i="16"/>
  <c r="P157" i="16" s="1"/>
  <c r="J121" i="16"/>
  <c r="L144" i="16"/>
  <c r="N144" i="16" s="1"/>
  <c r="I11" i="16"/>
  <c r="E112" i="16"/>
  <c r="F121" i="16"/>
  <c r="I33" i="16"/>
  <c r="E39" i="16"/>
  <c r="H106" i="16"/>
  <c r="F112" i="16"/>
  <c r="P129" i="16"/>
  <c r="I144" i="16"/>
  <c r="E11" i="16"/>
  <c r="I121" i="16"/>
  <c r="J133" i="16"/>
  <c r="H33" i="16"/>
  <c r="C71" i="16"/>
  <c r="C133" i="16"/>
  <c r="C138" i="16" s="1"/>
  <c r="F210" i="16"/>
  <c r="Q137" i="16"/>
  <c r="S137" i="16"/>
  <c r="F33" i="16"/>
  <c r="T70" i="16"/>
  <c r="C208" i="16"/>
  <c r="I133" i="16"/>
  <c r="O137" i="16"/>
  <c r="C127" i="16"/>
  <c r="D210" i="16"/>
  <c r="O157" i="16"/>
  <c r="E209" i="16"/>
  <c r="E211" i="16" s="1"/>
  <c r="G33" i="16"/>
  <c r="J39" i="16"/>
  <c r="T137" i="16"/>
  <c r="J181" i="16"/>
  <c r="J144" i="16"/>
  <c r="J106" i="16"/>
  <c r="H121" i="16"/>
  <c r="P137" i="16"/>
  <c r="I157" i="16"/>
  <c r="H129" i="16"/>
  <c r="H133" i="16" s="1"/>
  <c r="G68" i="16"/>
  <c r="S68" i="16" s="1"/>
  <c r="G129" i="16"/>
  <c r="O129" i="16" s="1"/>
  <c r="F181" i="16"/>
  <c r="Q181" i="16" s="1"/>
  <c r="O70" i="16"/>
  <c r="H181" i="16"/>
  <c r="D39" i="16"/>
  <c r="E68" i="16"/>
  <c r="M71" i="16"/>
  <c r="J85" i="16"/>
  <c r="M65" i="16"/>
  <c r="F39" i="16"/>
  <c r="J77" i="16"/>
  <c r="G39" i="16"/>
  <c r="P70" i="16"/>
  <c r="P118" i="16"/>
  <c r="D112" i="16"/>
  <c r="E133" i="16"/>
  <c r="D208" i="16"/>
  <c r="M209" i="16"/>
  <c r="N3" i="16"/>
  <c r="J157" i="16"/>
  <c r="I68" i="16"/>
  <c r="M210" i="16"/>
  <c r="AE29" i="10"/>
  <c r="D233" i="8"/>
  <c r="G215" i="8"/>
  <c r="J225" i="8"/>
  <c r="K225" i="8" s="1"/>
  <c r="T33" i="11"/>
  <c r="AE7" i="10"/>
  <c r="AE47" i="10"/>
  <c r="AE45" i="10"/>
  <c r="AE24" i="10"/>
  <c r="AE18" i="10"/>
  <c r="AE16" i="10"/>
  <c r="AE21" i="10" l="1"/>
  <c r="AE25" i="10" s="1"/>
  <c r="Z222" i="17"/>
  <c r="AA222" i="17"/>
  <c r="Z223" i="17"/>
  <c r="AA223" i="17"/>
  <c r="M224" i="17"/>
  <c r="F224" i="17"/>
  <c r="AE49" i="10"/>
  <c r="AE52" i="10" s="1"/>
  <c r="G223" i="17"/>
  <c r="T223" i="17" s="1"/>
  <c r="Y219" i="17"/>
  <c r="W222" i="17"/>
  <c r="J224" i="17"/>
  <c r="S222" i="17"/>
  <c r="L224" i="17"/>
  <c r="Y223" i="17"/>
  <c r="V222" i="17"/>
  <c r="I224" i="17"/>
  <c r="D224" i="17"/>
  <c r="H224" i="17"/>
  <c r="V223" i="17"/>
  <c r="R222" i="17"/>
  <c r="U220" i="17"/>
  <c r="K222" i="17"/>
  <c r="T222" i="17"/>
  <c r="K204" i="16"/>
  <c r="L33" i="16"/>
  <c r="N33" i="16" s="1"/>
  <c r="M138" i="16"/>
  <c r="M139" i="16" s="1"/>
  <c r="N133" i="16"/>
  <c r="N68" i="16"/>
  <c r="H209" i="16"/>
  <c r="H211" i="16" s="1"/>
  <c r="K217" i="16"/>
  <c r="K220" i="16" s="1"/>
  <c r="I209" i="16"/>
  <c r="I211" i="16" s="1"/>
  <c r="J209" i="16"/>
  <c r="J211" i="16" s="1"/>
  <c r="L209" i="16"/>
  <c r="L211" i="16" s="1"/>
  <c r="G127" i="16"/>
  <c r="G209" i="16"/>
  <c r="G211" i="16" s="1"/>
  <c r="R181" i="16"/>
  <c r="N137" i="16"/>
  <c r="D71" i="16"/>
  <c r="O71" i="16" s="1"/>
  <c r="R144" i="16"/>
  <c r="D211" i="16"/>
  <c r="M211" i="16"/>
  <c r="E127" i="16"/>
  <c r="F206" i="16"/>
  <c r="Q144" i="16"/>
  <c r="I65" i="16"/>
  <c r="G65" i="16"/>
  <c r="I127" i="16"/>
  <c r="R157" i="16"/>
  <c r="E65" i="16"/>
  <c r="P181" i="16"/>
  <c r="E207" i="16"/>
  <c r="E208" i="16" s="1"/>
  <c r="H127" i="16"/>
  <c r="F127" i="16"/>
  <c r="F139" i="16" s="1"/>
  <c r="F204" i="16" s="1"/>
  <c r="D127" i="16"/>
  <c r="D139" i="16" s="1"/>
  <c r="F207" i="16"/>
  <c r="Q157" i="16"/>
  <c r="L127" i="16"/>
  <c r="H65" i="16"/>
  <c r="H72" i="16" s="1"/>
  <c r="L206" i="16"/>
  <c r="H207" i="16"/>
  <c r="L71" i="16"/>
  <c r="W71" i="16" s="1"/>
  <c r="J71" i="16"/>
  <c r="V71" i="16" s="1"/>
  <c r="U68" i="16"/>
  <c r="J138" i="16"/>
  <c r="I206" i="16"/>
  <c r="I207" i="16"/>
  <c r="L207" i="16"/>
  <c r="H206" i="16"/>
  <c r="J207" i="16"/>
  <c r="L138" i="16"/>
  <c r="W138" i="16" s="1"/>
  <c r="G207" i="16"/>
  <c r="G208" i="16" s="1"/>
  <c r="G133" i="16"/>
  <c r="S133" i="16" s="1"/>
  <c r="O37" i="16"/>
  <c r="O181" i="16"/>
  <c r="J33" i="16"/>
  <c r="J65" i="16" s="1"/>
  <c r="V65" i="16" s="1"/>
  <c r="D65" i="16"/>
  <c r="O138" i="16"/>
  <c r="C72" i="16"/>
  <c r="C203" i="16" s="1"/>
  <c r="C214" i="16" s="1"/>
  <c r="O133" i="16"/>
  <c r="I138" i="16"/>
  <c r="F65" i="16"/>
  <c r="R65" i="16" s="1"/>
  <c r="J127" i="16"/>
  <c r="C139" i="16"/>
  <c r="C204" i="16" s="1"/>
  <c r="C215" i="16" s="1"/>
  <c r="E138" i="16"/>
  <c r="P133" i="16"/>
  <c r="J206" i="16"/>
  <c r="E71" i="16"/>
  <c r="P71" i="16" s="1"/>
  <c r="P68" i="16"/>
  <c r="Q133" i="16"/>
  <c r="H138" i="16"/>
  <c r="M72" i="16"/>
  <c r="I71" i="16"/>
  <c r="T68" i="16"/>
  <c r="F209" i="16"/>
  <c r="F211" i="16" s="1"/>
  <c r="G71" i="16"/>
  <c r="R68" i="16"/>
  <c r="Q68" i="16"/>
  <c r="T133" i="16"/>
  <c r="D234" i="8"/>
  <c r="J234" i="8" s="1"/>
  <c r="G231" i="8"/>
  <c r="G232" i="8" s="1"/>
  <c r="I229" i="8"/>
  <c r="H229" i="8"/>
  <c r="G229" i="8"/>
  <c r="F229" i="8"/>
  <c r="E229" i="8"/>
  <c r="D229" i="8"/>
  <c r="C229" i="8"/>
  <c r="J228" i="8"/>
  <c r="J229" i="8" s="1"/>
  <c r="I227" i="8"/>
  <c r="H227" i="8"/>
  <c r="D226" i="8"/>
  <c r="J226" i="8" s="1"/>
  <c r="C226" i="8"/>
  <c r="G224" i="8"/>
  <c r="F224" i="8"/>
  <c r="C224" i="8"/>
  <c r="F223" i="8"/>
  <c r="M222" i="8" s="1"/>
  <c r="E223" i="8"/>
  <c r="E227" i="8" s="1"/>
  <c r="E230" i="8" s="1"/>
  <c r="D223" i="8"/>
  <c r="C223" i="8"/>
  <c r="P221" i="8"/>
  <c r="F222" i="8"/>
  <c r="J222" i="8" s="1"/>
  <c r="K222" i="8" s="1"/>
  <c r="J221" i="8"/>
  <c r="K221" i="8" s="1"/>
  <c r="F220" i="8"/>
  <c r="J220" i="8" s="1"/>
  <c r="C220" i="8"/>
  <c r="F219" i="8"/>
  <c r="D219" i="8"/>
  <c r="C219" i="8"/>
  <c r="F218" i="8"/>
  <c r="J218" i="8" s="1"/>
  <c r="C218" i="8"/>
  <c r="F217" i="8"/>
  <c r="J217" i="8" s="1"/>
  <c r="C217" i="8"/>
  <c r="F216" i="8"/>
  <c r="J216" i="8" s="1"/>
  <c r="C216" i="8"/>
  <c r="J215" i="8"/>
  <c r="K215" i="8" s="1"/>
  <c r="F214" i="8"/>
  <c r="C214" i="8"/>
  <c r="J213" i="8"/>
  <c r="C213" i="8"/>
  <c r="D212" i="8"/>
  <c r="J212" i="8" s="1"/>
  <c r="C212" i="8"/>
  <c r="J211" i="8"/>
  <c r="K211" i="8" s="1"/>
  <c r="O209" i="8"/>
  <c r="J210" i="8"/>
  <c r="C210" i="8"/>
  <c r="O208" i="8"/>
  <c r="L209" i="8"/>
  <c r="J209" i="8"/>
  <c r="K209" i="8" s="1"/>
  <c r="J208" i="8"/>
  <c r="K208" i="8" s="1"/>
  <c r="K213" i="8" l="1"/>
  <c r="J224" i="8"/>
  <c r="K224" i="8" s="1"/>
  <c r="K220" i="8"/>
  <c r="D235" i="8"/>
  <c r="K210" i="8"/>
  <c r="L65" i="16"/>
  <c r="W65" i="16" s="1"/>
  <c r="AE53" i="10"/>
  <c r="G224" i="17"/>
  <c r="U223" i="17"/>
  <c r="L212" i="8"/>
  <c r="L226" i="8"/>
  <c r="F227" i="8"/>
  <c r="F230" i="8" s="1"/>
  <c r="F232" i="8" s="1"/>
  <c r="K217" i="8"/>
  <c r="O221" i="8"/>
  <c r="X222" i="17"/>
  <c r="K224" i="17"/>
  <c r="Y222" i="17"/>
  <c r="N127" i="16"/>
  <c r="N65" i="16"/>
  <c r="N138" i="16"/>
  <c r="S127" i="16"/>
  <c r="N71" i="16"/>
  <c r="K205" i="16"/>
  <c r="K212" i="16" s="1"/>
  <c r="K215" i="16"/>
  <c r="L208" i="16"/>
  <c r="P65" i="16"/>
  <c r="F208" i="16"/>
  <c r="S65" i="16"/>
  <c r="T65" i="16"/>
  <c r="T138" i="16"/>
  <c r="F215" i="16"/>
  <c r="F218" i="16" s="1"/>
  <c r="I139" i="16"/>
  <c r="I204" i="16" s="1"/>
  <c r="I215" i="16" s="1"/>
  <c r="O127" i="16"/>
  <c r="Q127" i="16"/>
  <c r="P127" i="16"/>
  <c r="R127" i="16"/>
  <c r="T127" i="16"/>
  <c r="U65" i="16"/>
  <c r="H208" i="16"/>
  <c r="L72" i="16"/>
  <c r="W72" i="16" s="1"/>
  <c r="U71" i="16"/>
  <c r="L139" i="16"/>
  <c r="W139" i="16" s="1"/>
  <c r="C205" i="16"/>
  <c r="O206" i="16" s="1"/>
  <c r="I208" i="16"/>
  <c r="J208" i="16"/>
  <c r="O65" i="16"/>
  <c r="D72" i="16"/>
  <c r="D203" i="16" s="1"/>
  <c r="G138" i="16"/>
  <c r="R138" i="16" s="1"/>
  <c r="J72" i="16"/>
  <c r="R133" i="16"/>
  <c r="F72" i="16"/>
  <c r="F203" i="16" s="1"/>
  <c r="Q71" i="16"/>
  <c r="Q65" i="16"/>
  <c r="J139" i="16"/>
  <c r="C218" i="16"/>
  <c r="C221" i="16" s="1"/>
  <c r="R71" i="16"/>
  <c r="S71" i="16"/>
  <c r="O139" i="16"/>
  <c r="D204" i="16"/>
  <c r="D215" i="16" s="1"/>
  <c r="C217" i="16"/>
  <c r="C220" i="16" s="1"/>
  <c r="M203" i="16"/>
  <c r="H203" i="16"/>
  <c r="P138" i="16"/>
  <c r="Q138" i="16"/>
  <c r="E139" i="16"/>
  <c r="E72" i="16"/>
  <c r="G72" i="16"/>
  <c r="T71" i="16"/>
  <c r="I72" i="16"/>
  <c r="H139" i="16"/>
  <c r="M204" i="16"/>
  <c r="M215" i="16" s="1"/>
  <c r="H230" i="8"/>
  <c r="K218" i="8"/>
  <c r="G227" i="8"/>
  <c r="G230" i="8" s="1"/>
  <c r="L223" i="8"/>
  <c r="J219" i="8"/>
  <c r="K219" i="8" s="1"/>
  <c r="J223" i="8"/>
  <c r="K223" i="8" s="1"/>
  <c r="I230" i="8"/>
  <c r="L217" i="8"/>
  <c r="K229" i="8"/>
  <c r="K216" i="8"/>
  <c r="K226" i="8"/>
  <c r="C227" i="8"/>
  <c r="D227" i="8"/>
  <c r="D230" i="8" s="1"/>
  <c r="D236" i="8" s="1"/>
  <c r="J214" i="8"/>
  <c r="K214" i="8" s="1"/>
  <c r="K228" i="8"/>
  <c r="J233" i="8"/>
  <c r="K212" i="8"/>
  <c r="L230" i="8" l="1"/>
  <c r="J203" i="16"/>
  <c r="V72" i="16"/>
  <c r="N72" i="16"/>
  <c r="K218" i="16"/>
  <c r="N139" i="16"/>
  <c r="G139" i="16"/>
  <c r="G204" i="16" s="1"/>
  <c r="G215" i="16" s="1"/>
  <c r="O72" i="16"/>
  <c r="T139" i="16"/>
  <c r="C212" i="16"/>
  <c r="C222" i="16" s="1"/>
  <c r="L204" i="16"/>
  <c r="L215" i="16" s="1"/>
  <c r="W215" i="16" s="1"/>
  <c r="U72" i="16"/>
  <c r="S138" i="16"/>
  <c r="L203" i="16"/>
  <c r="J204" i="16"/>
  <c r="J215" i="16" s="1"/>
  <c r="U215" i="16" s="1"/>
  <c r="E204" i="16"/>
  <c r="E215" i="16" s="1"/>
  <c r="P139" i="16"/>
  <c r="Q139" i="16"/>
  <c r="M218" i="16"/>
  <c r="M221" i="16" s="1"/>
  <c r="R72" i="16"/>
  <c r="G203" i="16"/>
  <c r="P72" i="16"/>
  <c r="E203" i="16"/>
  <c r="S72" i="16"/>
  <c r="H214" i="16"/>
  <c r="F221" i="16"/>
  <c r="D218" i="16"/>
  <c r="O218" i="16" s="1"/>
  <c r="O215" i="16"/>
  <c r="J214" i="16"/>
  <c r="M205" i="16"/>
  <c r="M212" i="16" s="1"/>
  <c r="M214" i="16"/>
  <c r="Q72" i="16"/>
  <c r="I218" i="16"/>
  <c r="I221" i="16" s="1"/>
  <c r="F214" i="16"/>
  <c r="F205" i="16"/>
  <c r="F212" i="16" s="1"/>
  <c r="H204" i="16"/>
  <c r="H215" i="16" s="1"/>
  <c r="S139" i="16"/>
  <c r="I203" i="16"/>
  <c r="T72" i="16"/>
  <c r="D205" i="16"/>
  <c r="D214" i="16"/>
  <c r="J227" i="8"/>
  <c r="J230" i="8" s="1"/>
  <c r="C230" i="8"/>
  <c r="R139" i="16" l="1"/>
  <c r="V215" i="16"/>
  <c r="K221" i="16"/>
  <c r="V214" i="16"/>
  <c r="L205" i="16"/>
  <c r="L212" i="16" s="1"/>
  <c r="L214" i="16"/>
  <c r="W214" i="16" s="1"/>
  <c r="J205" i="16"/>
  <c r="J212" i="16" s="1"/>
  <c r="L218" i="16"/>
  <c r="W218" i="16" s="1"/>
  <c r="J218" i="16"/>
  <c r="V218" i="16" s="1"/>
  <c r="M217" i="16"/>
  <c r="M220" i="16" s="1"/>
  <c r="M222" i="16" s="1"/>
  <c r="H218" i="16"/>
  <c r="T218" i="16" s="1"/>
  <c r="S215" i="16"/>
  <c r="I214" i="16"/>
  <c r="U214" i="16" s="1"/>
  <c r="I205" i="16"/>
  <c r="I212" i="16" s="1"/>
  <c r="E218" i="16"/>
  <c r="E221" i="16" s="1"/>
  <c r="P215" i="16"/>
  <c r="Q215" i="16"/>
  <c r="D221" i="16"/>
  <c r="G205" i="16"/>
  <c r="G212" i="16" s="1"/>
  <c r="G214" i="16"/>
  <c r="H205" i="16"/>
  <c r="H212" i="16" s="1"/>
  <c r="F217" i="16"/>
  <c r="J217" i="16"/>
  <c r="H217" i="16"/>
  <c r="O214" i="16"/>
  <c r="D217" i="16"/>
  <c r="O217" i="16" s="1"/>
  <c r="P205" i="16"/>
  <c r="D212" i="16"/>
  <c r="T215" i="16"/>
  <c r="G218" i="16"/>
  <c r="R218" i="16" s="1"/>
  <c r="R215" i="16"/>
  <c r="E214" i="16"/>
  <c r="E205" i="16"/>
  <c r="E212" i="16" s="1"/>
  <c r="K227" i="8"/>
  <c r="K230" i="8"/>
  <c r="S36" i="11"/>
  <c r="S30" i="11"/>
  <c r="S25" i="11"/>
  <c r="S15" i="11"/>
  <c r="S12" i="11"/>
  <c r="S7" i="11"/>
  <c r="V217" i="16" l="1"/>
  <c r="J221" i="16"/>
  <c r="U221" i="16" s="1"/>
  <c r="U218" i="16"/>
  <c r="K222" i="16"/>
  <c r="L221" i="16"/>
  <c r="W221" i="16" s="1"/>
  <c r="L217" i="16"/>
  <c r="W217" i="16" s="1"/>
  <c r="S218" i="16"/>
  <c r="G217" i="16"/>
  <c r="R217" i="16" s="1"/>
  <c r="R214" i="16"/>
  <c r="D220" i="16"/>
  <c r="O220" i="16" s="1"/>
  <c r="G221" i="16"/>
  <c r="P221" i="16"/>
  <c r="E217" i="16"/>
  <c r="P217" i="16" s="1"/>
  <c r="P214" i="16"/>
  <c r="J220" i="16"/>
  <c r="O221" i="16"/>
  <c r="F220" i="16"/>
  <c r="H220" i="16"/>
  <c r="Q221" i="16"/>
  <c r="I217" i="16"/>
  <c r="T217" i="16" s="1"/>
  <c r="T214" i="16"/>
  <c r="Q214" i="16"/>
  <c r="S214" i="16"/>
  <c r="H221" i="16"/>
  <c r="P218" i="16"/>
  <c r="Q218" i="16"/>
  <c r="S18" i="11"/>
  <c r="S21" i="11" s="1"/>
  <c r="S39" i="11"/>
  <c r="S42" i="11" s="1"/>
  <c r="F251" i="8"/>
  <c r="V221" i="16" l="1"/>
  <c r="V220" i="16"/>
  <c r="U217" i="16"/>
  <c r="L220" i="16"/>
  <c r="J222" i="16"/>
  <c r="S221" i="16"/>
  <c r="T221" i="16"/>
  <c r="Q217" i="16"/>
  <c r="R221" i="16"/>
  <c r="I220" i="16"/>
  <c r="U220" i="16" s="1"/>
  <c r="E220" i="16"/>
  <c r="Q220" i="16" s="1"/>
  <c r="G220" i="16"/>
  <c r="R220" i="16" s="1"/>
  <c r="H222" i="16"/>
  <c r="F222" i="16"/>
  <c r="D222" i="16"/>
  <c r="S217" i="16"/>
  <c r="S43" i="11"/>
  <c r="L222" i="16" l="1"/>
  <c r="W220" i="16"/>
  <c r="I222" i="16"/>
  <c r="T220" i="16"/>
  <c r="S220" i="16"/>
  <c r="P220" i="16"/>
  <c r="E222" i="16"/>
  <c r="G222" i="16"/>
  <c r="L4" i="15"/>
  <c r="L5" i="15"/>
  <c r="L6" i="15"/>
  <c r="L7" i="15"/>
  <c r="L8" i="15"/>
  <c r="L9" i="15"/>
  <c r="L10" i="15"/>
  <c r="L13" i="15"/>
  <c r="L14" i="15"/>
  <c r="L16" i="15"/>
  <c r="L17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2" i="15"/>
  <c r="L35" i="15"/>
  <c r="L41" i="15"/>
  <c r="L45" i="15"/>
  <c r="L46" i="15"/>
  <c r="L47" i="15"/>
  <c r="L48" i="15"/>
  <c r="L50" i="15"/>
  <c r="L51" i="15"/>
  <c r="L52" i="15"/>
  <c r="L54" i="15"/>
  <c r="L55" i="15"/>
  <c r="L59" i="15"/>
  <c r="L60" i="15"/>
  <c r="L61" i="15"/>
  <c r="L62" i="15"/>
  <c r="L66" i="15"/>
  <c r="L68" i="15"/>
  <c r="L77" i="15"/>
  <c r="L78" i="15"/>
  <c r="L79" i="15"/>
  <c r="L88" i="15"/>
  <c r="L90" i="15"/>
  <c r="L92" i="15"/>
  <c r="L94" i="15"/>
  <c r="L97" i="15"/>
  <c r="L98" i="15"/>
  <c r="L100" i="15"/>
  <c r="L102" i="15"/>
  <c r="L103" i="15"/>
  <c r="L104" i="15"/>
  <c r="L108" i="15"/>
  <c r="L109" i="15"/>
  <c r="L115" i="15"/>
  <c r="L116" i="15"/>
  <c r="L118" i="15"/>
  <c r="L122" i="15"/>
  <c r="L124" i="15"/>
  <c r="L125" i="15"/>
  <c r="L129" i="15"/>
  <c r="L132" i="15"/>
  <c r="L142" i="15"/>
  <c r="L143" i="15"/>
  <c r="L144" i="15"/>
  <c r="L145" i="15"/>
  <c r="L146" i="15"/>
  <c r="L148" i="15"/>
  <c r="L154" i="15"/>
  <c r="L155" i="15"/>
  <c r="L156" i="15"/>
  <c r="L157" i="15"/>
  <c r="L159" i="15"/>
  <c r="L162" i="15"/>
  <c r="L167" i="15"/>
  <c r="L170" i="15"/>
  <c r="L171" i="15"/>
  <c r="L178" i="15"/>
  <c r="L180" i="15"/>
  <c r="L183" i="15"/>
  <c r="L186" i="15"/>
  <c r="L189" i="15"/>
  <c r="L191" i="15"/>
  <c r="L192" i="15"/>
  <c r="L193" i="15"/>
  <c r="J122" i="15"/>
  <c r="I122" i="15"/>
  <c r="J89" i="15"/>
  <c r="L89" i="15" s="1"/>
  <c r="I89" i="15"/>
  <c r="J112" i="15"/>
  <c r="L112" i="15" s="1"/>
  <c r="I112" i="15"/>
  <c r="J107" i="15"/>
  <c r="L107" i="15" s="1"/>
  <c r="I107" i="15"/>
  <c r="J43" i="15"/>
  <c r="L43" i="15" s="1"/>
  <c r="I80" i="15"/>
  <c r="I76" i="15" s="1"/>
  <c r="I83" i="15"/>
  <c r="I82" i="15" s="1"/>
  <c r="I85" i="15"/>
  <c r="I86" i="15"/>
  <c r="I87" i="15"/>
  <c r="I93" i="15"/>
  <c r="I95" i="15"/>
  <c r="I99" i="15"/>
  <c r="I96" i="15" s="1"/>
  <c r="I101" i="15"/>
  <c r="I106" i="15"/>
  <c r="I110" i="15"/>
  <c r="I114" i="15"/>
  <c r="I117" i="15"/>
  <c r="I119" i="15"/>
  <c r="I121" i="15"/>
  <c r="I123" i="15"/>
  <c r="I130" i="15"/>
  <c r="I133" i="15"/>
  <c r="I134" i="15" s="1"/>
  <c r="J58" i="15"/>
  <c r="L58" i="15" s="1"/>
  <c r="I58" i="15"/>
  <c r="J63" i="15"/>
  <c r="L63" i="15" s="1"/>
  <c r="I63" i="15"/>
  <c r="I127" i="15" s="1"/>
  <c r="I43" i="15"/>
  <c r="J57" i="15"/>
  <c r="L57" i="15" s="1"/>
  <c r="I57" i="15"/>
  <c r="I177" i="15"/>
  <c r="I179" i="15"/>
  <c r="I181" i="15"/>
  <c r="I182" i="15"/>
  <c r="I184" i="15"/>
  <c r="I185" i="15"/>
  <c r="I188" i="15"/>
  <c r="I190" i="15"/>
  <c r="I205" i="15" s="1"/>
  <c r="I147" i="15"/>
  <c r="I149" i="15"/>
  <c r="I151" i="15"/>
  <c r="I152" i="15"/>
  <c r="I158" i="15"/>
  <c r="I160" i="15"/>
  <c r="I161" i="15"/>
  <c r="I163" i="15"/>
  <c r="I164" i="15"/>
  <c r="I165" i="15"/>
  <c r="I166" i="15"/>
  <c r="I169" i="15"/>
  <c r="I3" i="15"/>
  <c r="I12" i="15"/>
  <c r="I15" i="15"/>
  <c r="I31" i="15"/>
  <c r="I34" i="15"/>
  <c r="I36" i="15"/>
  <c r="I37" i="15" s="1"/>
  <c r="I42" i="15"/>
  <c r="I44" i="15"/>
  <c r="I53" i="15"/>
  <c r="I56" i="15"/>
  <c r="I65" i="15"/>
  <c r="I67" i="15" s="1"/>
  <c r="I69" i="15"/>
  <c r="AI47" i="10"/>
  <c r="I91" i="15" l="1"/>
  <c r="I111" i="15"/>
  <c r="I176" i="15"/>
  <c r="I204" i="15" s="1"/>
  <c r="I206" i="15" s="1"/>
  <c r="I84" i="15"/>
  <c r="I105" i="15"/>
  <c r="I128" i="15"/>
  <c r="I131" i="15" s="1"/>
  <c r="I135" i="15" s="1"/>
  <c r="I70" i="15"/>
  <c r="I11" i="15"/>
  <c r="I153" i="15"/>
  <c r="I202" i="15" s="1"/>
  <c r="I141" i="15"/>
  <c r="I201" i="15" s="1"/>
  <c r="I120" i="15"/>
  <c r="I39" i="15"/>
  <c r="I33" i="15"/>
  <c r="AI37" i="10"/>
  <c r="AJ13" i="10"/>
  <c r="AI46" i="10"/>
  <c r="AI45" i="10"/>
  <c r="AI43" i="10"/>
  <c r="AI39" i="10"/>
  <c r="AI40" i="10"/>
  <c r="AI38" i="10"/>
  <c r="AI36" i="10"/>
  <c r="AI35" i="10"/>
  <c r="AI34" i="10"/>
  <c r="AI33" i="10"/>
  <c r="AI32" i="10"/>
  <c r="I64" i="15" l="1"/>
  <c r="I126" i="15"/>
  <c r="I136" i="15" s="1"/>
  <c r="I203" i="15"/>
  <c r="I71" i="15"/>
  <c r="AI8" i="10"/>
  <c r="AI9" i="10"/>
  <c r="I199" i="15" l="1"/>
  <c r="I210" i="15" s="1"/>
  <c r="I198" i="15"/>
  <c r="D266" i="8"/>
  <c r="C252" i="8"/>
  <c r="J164" i="15"/>
  <c r="L164" i="15" s="1"/>
  <c r="J166" i="15"/>
  <c r="L166" i="15" s="1"/>
  <c r="F252" i="8"/>
  <c r="I213" i="15" l="1"/>
  <c r="I200" i="15"/>
  <c r="I207" i="15" s="1"/>
  <c r="I209" i="15"/>
  <c r="C254" i="8"/>
  <c r="F254" i="8"/>
  <c r="J254" i="8" s="1"/>
  <c r="D267" i="8"/>
  <c r="J267" i="8" s="1"/>
  <c r="G264" i="8"/>
  <c r="G265" i="8" s="1"/>
  <c r="I262" i="8"/>
  <c r="H262" i="8"/>
  <c r="G262" i="8"/>
  <c r="F262" i="8"/>
  <c r="E262" i="8"/>
  <c r="D262" i="8"/>
  <c r="C262" i="8"/>
  <c r="J261" i="8"/>
  <c r="J262" i="8" s="1"/>
  <c r="I260" i="8"/>
  <c r="H260" i="8"/>
  <c r="D259" i="8"/>
  <c r="J259" i="8" s="1"/>
  <c r="C259" i="8"/>
  <c r="G258" i="8"/>
  <c r="F258" i="8"/>
  <c r="C258" i="8"/>
  <c r="F257" i="8"/>
  <c r="M255" i="8" s="1"/>
  <c r="E257" i="8"/>
  <c r="E260" i="8" s="1"/>
  <c r="D257" i="8"/>
  <c r="C257" i="8"/>
  <c r="P255" i="8"/>
  <c r="F256" i="8"/>
  <c r="J256" i="8" s="1"/>
  <c r="K256" i="8" s="1"/>
  <c r="J255" i="8"/>
  <c r="K255" i="8" s="1"/>
  <c r="F253" i="8"/>
  <c r="D253" i="8"/>
  <c r="C253" i="8"/>
  <c r="J252" i="8"/>
  <c r="J251" i="8"/>
  <c r="C251" i="8"/>
  <c r="F250" i="8"/>
  <c r="J250" i="8" s="1"/>
  <c r="C250" i="8"/>
  <c r="K250" i="8" s="1"/>
  <c r="G249" i="8"/>
  <c r="F249" i="8"/>
  <c r="C249" i="8"/>
  <c r="F248" i="8"/>
  <c r="C248" i="8"/>
  <c r="J247" i="8"/>
  <c r="C247" i="8"/>
  <c r="D246" i="8"/>
  <c r="J246" i="8" s="1"/>
  <c r="C246" i="8"/>
  <c r="J245" i="8"/>
  <c r="K245" i="8" s="1"/>
  <c r="O243" i="8"/>
  <c r="J244" i="8"/>
  <c r="C244" i="8"/>
  <c r="O242" i="8"/>
  <c r="L243" i="8"/>
  <c r="J243" i="8"/>
  <c r="K243" i="8" s="1"/>
  <c r="J242" i="8"/>
  <c r="K242" i="8" s="1"/>
  <c r="J258" i="8" l="1"/>
  <c r="K258" i="8" s="1"/>
  <c r="G260" i="8"/>
  <c r="G263" i="8" s="1"/>
  <c r="L259" i="8"/>
  <c r="D268" i="8"/>
  <c r="I216" i="15"/>
  <c r="O255" i="8"/>
  <c r="J257" i="8"/>
  <c r="K257" i="8" s="1"/>
  <c r="K247" i="8"/>
  <c r="L246" i="8"/>
  <c r="E263" i="8"/>
  <c r="K259" i="8"/>
  <c r="K251" i="8"/>
  <c r="D260" i="8"/>
  <c r="D263" i="8" s="1"/>
  <c r="H263" i="8"/>
  <c r="I263" i="8"/>
  <c r="I212" i="15"/>
  <c r="K252" i="8"/>
  <c r="K254" i="8"/>
  <c r="F260" i="8"/>
  <c r="F263" i="8" s="1"/>
  <c r="F265" i="8" s="1"/>
  <c r="K262" i="8"/>
  <c r="K246" i="8"/>
  <c r="J249" i="8"/>
  <c r="K249" i="8" s="1"/>
  <c r="C260" i="8"/>
  <c r="L251" i="8"/>
  <c r="J253" i="8"/>
  <c r="K253" i="8" s="1"/>
  <c r="K261" i="8"/>
  <c r="J266" i="8"/>
  <c r="J248" i="8"/>
  <c r="K248" i="8" s="1"/>
  <c r="L257" i="8"/>
  <c r="K244" i="8"/>
  <c r="D269" i="8" l="1"/>
  <c r="L263" i="8"/>
  <c r="I215" i="15"/>
  <c r="I217" i="15" s="1"/>
  <c r="C263" i="8"/>
  <c r="J260" i="8"/>
  <c r="J263" i="8" s="1"/>
  <c r="K260" i="8" l="1"/>
  <c r="K263" i="8"/>
  <c r="O209" i="14" l="1"/>
  <c r="O210" i="14"/>
  <c r="O212" i="14"/>
  <c r="O213" i="14"/>
  <c r="O215" i="14"/>
  <c r="O216" i="14"/>
  <c r="J110" i="15" l="1"/>
  <c r="L110" i="15" s="1"/>
  <c r="L38" i="15"/>
  <c r="J80" i="15"/>
  <c r="J83" i="15"/>
  <c r="J85" i="15"/>
  <c r="L85" i="15" s="1"/>
  <c r="J86" i="15"/>
  <c r="J87" i="15"/>
  <c r="J93" i="15"/>
  <c r="J95" i="15"/>
  <c r="L95" i="15" s="1"/>
  <c r="J99" i="15"/>
  <c r="J101" i="15"/>
  <c r="J106" i="15"/>
  <c r="L106" i="15" s="1"/>
  <c r="J105" i="15"/>
  <c r="J114" i="15"/>
  <c r="L114" i="15" s="1"/>
  <c r="J117" i="15"/>
  <c r="L117" i="15" s="1"/>
  <c r="J119" i="15"/>
  <c r="L119" i="15" s="1"/>
  <c r="J121" i="15"/>
  <c r="L121" i="15" s="1"/>
  <c r="J123" i="15"/>
  <c r="L123" i="15" s="1"/>
  <c r="J130" i="15"/>
  <c r="L130" i="15" s="1"/>
  <c r="J133" i="15"/>
  <c r="J177" i="15"/>
  <c r="L177" i="15" s="1"/>
  <c r="J179" i="15"/>
  <c r="J181" i="15"/>
  <c r="L181" i="15" s="1"/>
  <c r="J182" i="15"/>
  <c r="L182" i="15" s="1"/>
  <c r="J184" i="15"/>
  <c r="L184" i="15" s="1"/>
  <c r="J185" i="15"/>
  <c r="L185" i="15" s="1"/>
  <c r="J188" i="15"/>
  <c r="L188" i="15" s="1"/>
  <c r="J190" i="15"/>
  <c r="J205" i="15" s="1"/>
  <c r="J147" i="15"/>
  <c r="L147" i="15" s="1"/>
  <c r="J149" i="15"/>
  <c r="L149" i="15" s="1"/>
  <c r="J151" i="15"/>
  <c r="J152" i="15"/>
  <c r="L152" i="15" s="1"/>
  <c r="J158" i="15"/>
  <c r="L158" i="15" s="1"/>
  <c r="J160" i="15"/>
  <c r="L160" i="15" s="1"/>
  <c r="J161" i="15"/>
  <c r="L161" i="15" s="1"/>
  <c r="J163" i="15"/>
  <c r="L163" i="15" s="1"/>
  <c r="J165" i="15"/>
  <c r="L165" i="15" s="1"/>
  <c r="J169" i="15"/>
  <c r="L169" i="15" s="1"/>
  <c r="J3" i="15"/>
  <c r="L15" i="15"/>
  <c r="J31" i="15"/>
  <c r="J34" i="15"/>
  <c r="L34" i="15" s="1"/>
  <c r="J36" i="15"/>
  <c r="J42" i="15"/>
  <c r="L42" i="15" s="1"/>
  <c r="J44" i="15"/>
  <c r="L44" i="15" s="1"/>
  <c r="J53" i="15"/>
  <c r="L53" i="15" s="1"/>
  <c r="J56" i="15"/>
  <c r="L56" i="15" s="1"/>
  <c r="J127" i="15"/>
  <c r="J65" i="15"/>
  <c r="L65" i="15" s="1"/>
  <c r="J69" i="15"/>
  <c r="S69" i="15" s="1"/>
  <c r="H3" i="15"/>
  <c r="H12" i="15"/>
  <c r="H15" i="15"/>
  <c r="H31" i="15"/>
  <c r="H34" i="15"/>
  <c r="H36" i="15"/>
  <c r="H37" i="15" s="1"/>
  <c r="H42" i="15"/>
  <c r="H44" i="15"/>
  <c r="H53" i="15"/>
  <c r="H56" i="15"/>
  <c r="H57" i="15"/>
  <c r="H58" i="15"/>
  <c r="H63" i="15"/>
  <c r="H127" i="15" s="1"/>
  <c r="H65" i="15"/>
  <c r="H128" i="15" s="1"/>
  <c r="H69" i="15"/>
  <c r="J4" i="14"/>
  <c r="J5" i="14"/>
  <c r="J6" i="14"/>
  <c r="J7" i="14"/>
  <c r="J8" i="14"/>
  <c r="J9" i="14"/>
  <c r="J10" i="14"/>
  <c r="J13" i="14"/>
  <c r="J14" i="14"/>
  <c r="J15" i="14"/>
  <c r="J16" i="14"/>
  <c r="J17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2" i="14"/>
  <c r="J34" i="14"/>
  <c r="J35" i="14"/>
  <c r="J38" i="14"/>
  <c r="J41" i="14"/>
  <c r="J43" i="14"/>
  <c r="J44" i="14"/>
  <c r="J45" i="14"/>
  <c r="J47" i="14"/>
  <c r="J48" i="14"/>
  <c r="J49" i="14"/>
  <c r="J50" i="14"/>
  <c r="J51" i="14"/>
  <c r="J52" i="14"/>
  <c r="J53" i="14"/>
  <c r="J56" i="14"/>
  <c r="J59" i="14"/>
  <c r="J60" i="14"/>
  <c r="J61" i="14"/>
  <c r="J62" i="14"/>
  <c r="J63" i="14"/>
  <c r="J66" i="14"/>
  <c r="J68" i="14"/>
  <c r="J77" i="14"/>
  <c r="J78" i="14"/>
  <c r="J79" i="14"/>
  <c r="J80" i="14"/>
  <c r="J83" i="14"/>
  <c r="J88" i="14"/>
  <c r="J90" i="14"/>
  <c r="J92" i="14"/>
  <c r="J94" i="14"/>
  <c r="J97" i="14"/>
  <c r="J98" i="14"/>
  <c r="J99" i="14"/>
  <c r="J100" i="14"/>
  <c r="J102" i="14"/>
  <c r="J103" i="14"/>
  <c r="J104" i="14"/>
  <c r="J106" i="14"/>
  <c r="J107" i="14"/>
  <c r="J108" i="14"/>
  <c r="J109" i="14"/>
  <c r="J114" i="14"/>
  <c r="J115" i="14"/>
  <c r="J116" i="14"/>
  <c r="J117" i="14"/>
  <c r="J118" i="14"/>
  <c r="J124" i="14"/>
  <c r="J125" i="14"/>
  <c r="J129" i="14"/>
  <c r="J130" i="14"/>
  <c r="J132" i="14"/>
  <c r="J133" i="14"/>
  <c r="J142" i="14"/>
  <c r="J143" i="14"/>
  <c r="J144" i="14"/>
  <c r="J145" i="14"/>
  <c r="J146" i="14"/>
  <c r="J148" i="14"/>
  <c r="J149" i="14"/>
  <c r="J150" i="14"/>
  <c r="J152" i="14"/>
  <c r="J154" i="14"/>
  <c r="J155" i="14"/>
  <c r="J156" i="14"/>
  <c r="J157" i="14"/>
  <c r="J159" i="14"/>
  <c r="J161" i="14"/>
  <c r="J162" i="14"/>
  <c r="J163" i="14"/>
  <c r="J167" i="14"/>
  <c r="J170" i="14"/>
  <c r="J171" i="14"/>
  <c r="J178" i="14"/>
  <c r="J180" i="14"/>
  <c r="J181" i="14"/>
  <c r="J182" i="14"/>
  <c r="J183" i="14"/>
  <c r="J184" i="14"/>
  <c r="J186" i="14"/>
  <c r="J189" i="14"/>
  <c r="J191" i="14"/>
  <c r="J192" i="14"/>
  <c r="J193" i="14"/>
  <c r="N192" i="15"/>
  <c r="M192" i="15"/>
  <c r="K190" i="15"/>
  <c r="H190" i="15"/>
  <c r="H205" i="15" s="1"/>
  <c r="G190" i="15"/>
  <c r="G205" i="15" s="1"/>
  <c r="F190" i="15"/>
  <c r="F205" i="15" s="1"/>
  <c r="E190" i="15"/>
  <c r="D190" i="15"/>
  <c r="C190" i="15"/>
  <c r="C205" i="15" s="1"/>
  <c r="N188" i="15"/>
  <c r="H188" i="15"/>
  <c r="G188" i="15"/>
  <c r="M188" i="15" s="1"/>
  <c r="F188" i="15"/>
  <c r="E188" i="15"/>
  <c r="D188" i="15"/>
  <c r="C188" i="15"/>
  <c r="N186" i="15"/>
  <c r="H185" i="15"/>
  <c r="G185" i="15"/>
  <c r="F185" i="15"/>
  <c r="E185" i="15"/>
  <c r="D185" i="15"/>
  <c r="H184" i="15"/>
  <c r="G184" i="15"/>
  <c r="F184" i="15"/>
  <c r="E184" i="15"/>
  <c r="D184" i="15"/>
  <c r="C184" i="15"/>
  <c r="N182" i="15"/>
  <c r="H182" i="15"/>
  <c r="G182" i="15"/>
  <c r="F182" i="15"/>
  <c r="E182" i="15"/>
  <c r="D182" i="15"/>
  <c r="H181" i="15"/>
  <c r="G181" i="15"/>
  <c r="F181" i="15"/>
  <c r="E181" i="15"/>
  <c r="D181" i="15"/>
  <c r="H179" i="15"/>
  <c r="G179" i="15"/>
  <c r="F179" i="15"/>
  <c r="E179" i="15"/>
  <c r="D179" i="15"/>
  <c r="H177" i="15"/>
  <c r="G177" i="15"/>
  <c r="F177" i="15"/>
  <c r="E177" i="15"/>
  <c r="D177" i="15"/>
  <c r="C177" i="15"/>
  <c r="K176" i="15"/>
  <c r="H169" i="15"/>
  <c r="G169" i="15"/>
  <c r="F169" i="15"/>
  <c r="E169" i="15"/>
  <c r="H166" i="15"/>
  <c r="G166" i="15"/>
  <c r="H165" i="15"/>
  <c r="G165" i="15"/>
  <c r="F165" i="15"/>
  <c r="E165" i="15"/>
  <c r="D165" i="15"/>
  <c r="D153" i="15" s="1"/>
  <c r="H164" i="15"/>
  <c r="G164" i="15"/>
  <c r="H163" i="15"/>
  <c r="G163" i="15"/>
  <c r="H161" i="15"/>
  <c r="G161" i="15"/>
  <c r="F161" i="15"/>
  <c r="E161" i="15"/>
  <c r="H160" i="15"/>
  <c r="G160" i="15"/>
  <c r="F160" i="15"/>
  <c r="E160" i="15"/>
  <c r="H158" i="15"/>
  <c r="G158" i="15"/>
  <c r="F158" i="15"/>
  <c r="E158" i="15"/>
  <c r="K153" i="15"/>
  <c r="C153" i="15"/>
  <c r="C202" i="15" s="1"/>
  <c r="H152" i="15"/>
  <c r="G152" i="15"/>
  <c r="F152" i="15"/>
  <c r="E152" i="15"/>
  <c r="D152" i="15"/>
  <c r="C152" i="15"/>
  <c r="C141" i="15" s="1"/>
  <c r="C201" i="15" s="1"/>
  <c r="H151" i="15"/>
  <c r="G151" i="15"/>
  <c r="F151" i="15"/>
  <c r="E151" i="15"/>
  <c r="D151" i="15"/>
  <c r="H149" i="15"/>
  <c r="G149" i="15"/>
  <c r="F149" i="15"/>
  <c r="E149" i="15"/>
  <c r="H147" i="15"/>
  <c r="G147" i="15"/>
  <c r="F147" i="15"/>
  <c r="E147" i="15"/>
  <c r="K141" i="15"/>
  <c r="K134" i="15"/>
  <c r="H133" i="15"/>
  <c r="G133" i="15"/>
  <c r="G134" i="15" s="1"/>
  <c r="F133" i="15"/>
  <c r="F134" i="15" s="1"/>
  <c r="E133" i="15"/>
  <c r="E134" i="15" s="1"/>
  <c r="D133" i="15"/>
  <c r="D134" i="15" s="1"/>
  <c r="C133" i="15"/>
  <c r="C134" i="15" s="1"/>
  <c r="N130" i="15"/>
  <c r="H130" i="15"/>
  <c r="G130" i="15"/>
  <c r="M130" i="15" s="1"/>
  <c r="F130" i="15"/>
  <c r="E130" i="15"/>
  <c r="D130" i="15"/>
  <c r="C130" i="15"/>
  <c r="K128" i="15"/>
  <c r="K127" i="15"/>
  <c r="L127" i="15" s="1"/>
  <c r="C127" i="15"/>
  <c r="H123" i="15"/>
  <c r="G123" i="15"/>
  <c r="F123" i="15"/>
  <c r="E123" i="15"/>
  <c r="D123" i="15"/>
  <c r="H122" i="15"/>
  <c r="G122" i="15"/>
  <c r="F122" i="15"/>
  <c r="E122" i="15"/>
  <c r="D122" i="15"/>
  <c r="H121" i="15"/>
  <c r="G121" i="15"/>
  <c r="F121" i="15"/>
  <c r="E121" i="15"/>
  <c r="D121" i="15"/>
  <c r="K120" i="15"/>
  <c r="C120" i="15"/>
  <c r="H119" i="15"/>
  <c r="G119" i="15"/>
  <c r="F119" i="15"/>
  <c r="E119" i="15"/>
  <c r="D119" i="15"/>
  <c r="O117" i="15"/>
  <c r="M117" i="15"/>
  <c r="H117" i="15"/>
  <c r="G117" i="15"/>
  <c r="F117" i="15"/>
  <c r="E117" i="15"/>
  <c r="D117" i="15"/>
  <c r="N117" i="15" s="1"/>
  <c r="H114" i="15"/>
  <c r="G114" i="15"/>
  <c r="F114" i="15"/>
  <c r="E114" i="15"/>
  <c r="H112" i="15"/>
  <c r="G112" i="15"/>
  <c r="F112" i="15"/>
  <c r="E112" i="15"/>
  <c r="D112" i="15"/>
  <c r="K111" i="15"/>
  <c r="C111" i="15"/>
  <c r="H110" i="15"/>
  <c r="G110" i="15"/>
  <c r="F110" i="15"/>
  <c r="E110" i="15"/>
  <c r="H107" i="15"/>
  <c r="G107" i="15"/>
  <c r="F107" i="15"/>
  <c r="E107" i="15"/>
  <c r="H106" i="15"/>
  <c r="G106" i="15"/>
  <c r="F106" i="15"/>
  <c r="E106" i="15"/>
  <c r="K105" i="15"/>
  <c r="D105" i="15"/>
  <c r="C105" i="15"/>
  <c r="K101" i="15"/>
  <c r="L101" i="15" s="1"/>
  <c r="H101" i="15"/>
  <c r="G101" i="15"/>
  <c r="F101" i="15"/>
  <c r="E101" i="15"/>
  <c r="D101" i="15"/>
  <c r="C101" i="15"/>
  <c r="H99" i="15"/>
  <c r="H96" i="15" s="1"/>
  <c r="G99" i="15"/>
  <c r="G96" i="15" s="1"/>
  <c r="F99" i="15"/>
  <c r="F96" i="15" s="1"/>
  <c r="E99" i="15"/>
  <c r="E96" i="15" s="1"/>
  <c r="K96" i="15"/>
  <c r="D96" i="15"/>
  <c r="C96" i="15"/>
  <c r="H95" i="15"/>
  <c r="G95" i="15"/>
  <c r="F95" i="15"/>
  <c r="E95" i="15"/>
  <c r="H93" i="15"/>
  <c r="G93" i="15"/>
  <c r="F93" i="15"/>
  <c r="E93" i="15"/>
  <c r="K91" i="15"/>
  <c r="D91" i="15"/>
  <c r="C91" i="15"/>
  <c r="H89" i="15"/>
  <c r="G89" i="15"/>
  <c r="G87" i="15" s="1"/>
  <c r="F89" i="15"/>
  <c r="F87" i="15" s="1"/>
  <c r="E89" i="15"/>
  <c r="E87" i="15" s="1"/>
  <c r="D89" i="15"/>
  <c r="D87" i="15" s="1"/>
  <c r="K87" i="15"/>
  <c r="C87" i="15"/>
  <c r="H86" i="15"/>
  <c r="G86" i="15"/>
  <c r="F86" i="15"/>
  <c r="E86" i="15"/>
  <c r="D86" i="15"/>
  <c r="D84" i="15" s="1"/>
  <c r="H85" i="15"/>
  <c r="G85" i="15"/>
  <c r="F85" i="15"/>
  <c r="E85" i="15"/>
  <c r="K84" i="15"/>
  <c r="C84" i="15"/>
  <c r="H83" i="15"/>
  <c r="G83" i="15"/>
  <c r="F83" i="15"/>
  <c r="F82" i="15" s="1"/>
  <c r="E83" i="15"/>
  <c r="E82" i="15" s="1"/>
  <c r="D83" i="15"/>
  <c r="D82" i="15" s="1"/>
  <c r="K82" i="15"/>
  <c r="C82" i="15"/>
  <c r="H80" i="15"/>
  <c r="G80" i="15"/>
  <c r="G76" i="15" s="1"/>
  <c r="F80" i="15"/>
  <c r="F76" i="15" s="1"/>
  <c r="E80" i="15"/>
  <c r="E76" i="15" s="1"/>
  <c r="D80" i="15"/>
  <c r="D76" i="15" s="1"/>
  <c r="K76" i="15"/>
  <c r="C76" i="15"/>
  <c r="K69" i="15"/>
  <c r="L69" i="15" s="1"/>
  <c r="G69" i="15"/>
  <c r="F69" i="15"/>
  <c r="E69" i="15"/>
  <c r="D69" i="15"/>
  <c r="C69" i="15"/>
  <c r="K67" i="15"/>
  <c r="G65" i="15"/>
  <c r="G67" i="15" s="1"/>
  <c r="F65" i="15"/>
  <c r="F128" i="15" s="1"/>
  <c r="E65" i="15"/>
  <c r="E128" i="15" s="1"/>
  <c r="D65" i="15"/>
  <c r="D67" i="15" s="1"/>
  <c r="C65" i="15"/>
  <c r="C128" i="15" s="1"/>
  <c r="G63" i="15"/>
  <c r="G127" i="15" s="1"/>
  <c r="F63" i="15"/>
  <c r="F127" i="15" s="1"/>
  <c r="E63" i="15"/>
  <c r="E127" i="15" s="1"/>
  <c r="D63" i="15"/>
  <c r="D127" i="15" s="1"/>
  <c r="M62" i="15"/>
  <c r="G58" i="15"/>
  <c r="F58" i="15"/>
  <c r="E58" i="15"/>
  <c r="D58" i="15"/>
  <c r="G57" i="15"/>
  <c r="F57" i="15"/>
  <c r="E57" i="15"/>
  <c r="D57" i="15"/>
  <c r="C57" i="15"/>
  <c r="G56" i="15"/>
  <c r="F56" i="15"/>
  <c r="E56" i="15"/>
  <c r="D56" i="15"/>
  <c r="C56" i="15"/>
  <c r="G53" i="15"/>
  <c r="F53" i="15"/>
  <c r="E53" i="15"/>
  <c r="D53" i="15"/>
  <c r="C53" i="15"/>
  <c r="G44" i="15"/>
  <c r="F44" i="15"/>
  <c r="E44" i="15"/>
  <c r="D44" i="15"/>
  <c r="G42" i="15"/>
  <c r="F42" i="15"/>
  <c r="E42" i="15"/>
  <c r="D42" i="15"/>
  <c r="C42" i="15"/>
  <c r="K39" i="15"/>
  <c r="C37" i="15"/>
  <c r="C33" i="15" s="1"/>
  <c r="G36" i="15"/>
  <c r="G37" i="15" s="1"/>
  <c r="F36" i="15"/>
  <c r="F37" i="15" s="1"/>
  <c r="E36" i="15"/>
  <c r="E37" i="15" s="1"/>
  <c r="D36" i="15"/>
  <c r="D37" i="15" s="1"/>
  <c r="G34" i="15"/>
  <c r="F34" i="15"/>
  <c r="E34" i="15"/>
  <c r="D34" i="15"/>
  <c r="K33" i="15"/>
  <c r="K31" i="15"/>
  <c r="L31" i="15" s="1"/>
  <c r="G31" i="15"/>
  <c r="F31" i="15"/>
  <c r="E31" i="15"/>
  <c r="D31" i="15"/>
  <c r="C31" i="15"/>
  <c r="G15" i="15"/>
  <c r="F15" i="15"/>
  <c r="E15" i="15"/>
  <c r="D15" i="15"/>
  <c r="G12" i="15"/>
  <c r="F12" i="15"/>
  <c r="E12" i="15"/>
  <c r="D12" i="15"/>
  <c r="K11" i="15"/>
  <c r="C11" i="15"/>
  <c r="K3" i="15"/>
  <c r="G3" i="15"/>
  <c r="F3" i="15"/>
  <c r="E3" i="15"/>
  <c r="D3" i="15"/>
  <c r="C3" i="15"/>
  <c r="H80" i="14"/>
  <c r="H76" i="14" s="1"/>
  <c r="H83" i="14"/>
  <c r="H82" i="14" s="1"/>
  <c r="H85" i="14"/>
  <c r="H86" i="14"/>
  <c r="J86" i="14" s="1"/>
  <c r="H89" i="14"/>
  <c r="J89" i="14" s="1"/>
  <c r="H93" i="14"/>
  <c r="H91" i="14" s="1"/>
  <c r="H95" i="14"/>
  <c r="J95" i="14" s="1"/>
  <c r="H99" i="14"/>
  <c r="H96" i="14" s="1"/>
  <c r="H101" i="14"/>
  <c r="H106" i="14"/>
  <c r="H105" i="14" s="1"/>
  <c r="H107" i="14"/>
  <c r="H110" i="14"/>
  <c r="J110" i="14" s="1"/>
  <c r="H112" i="14"/>
  <c r="H111" i="14" s="1"/>
  <c r="H114" i="14"/>
  <c r="H117" i="14"/>
  <c r="H119" i="14"/>
  <c r="J119" i="14" s="1"/>
  <c r="H121" i="14"/>
  <c r="H122" i="14"/>
  <c r="J122" i="14" s="1"/>
  <c r="H123" i="14"/>
  <c r="J123" i="14" s="1"/>
  <c r="H127" i="14"/>
  <c r="H128" i="14"/>
  <c r="H130" i="14"/>
  <c r="H133" i="14"/>
  <c r="H134" i="14"/>
  <c r="H177" i="14"/>
  <c r="H179" i="14"/>
  <c r="H181" i="14"/>
  <c r="H182" i="14"/>
  <c r="H184" i="14"/>
  <c r="H185" i="14"/>
  <c r="J185" i="14" s="1"/>
  <c r="H188" i="14"/>
  <c r="J188" i="14" s="1"/>
  <c r="H190" i="14"/>
  <c r="H205" i="14" s="1"/>
  <c r="H147" i="14"/>
  <c r="H150" i="14"/>
  <c r="H151" i="14"/>
  <c r="H152" i="14"/>
  <c r="H158" i="14"/>
  <c r="J158" i="14" s="1"/>
  <c r="H160" i="14"/>
  <c r="J160" i="14" s="1"/>
  <c r="H161" i="14"/>
  <c r="H163" i="14"/>
  <c r="H164" i="14"/>
  <c r="J164" i="14" s="1"/>
  <c r="H165" i="14"/>
  <c r="J165" i="14" s="1"/>
  <c r="H166" i="14"/>
  <c r="J166" i="14" s="1"/>
  <c r="H169" i="14"/>
  <c r="J169" i="14" s="1"/>
  <c r="H3" i="14"/>
  <c r="H11" i="14"/>
  <c r="H12" i="14"/>
  <c r="J12" i="14" s="1"/>
  <c r="H15" i="14"/>
  <c r="H31" i="14"/>
  <c r="H34" i="14"/>
  <c r="H36" i="14"/>
  <c r="J36" i="14" s="1"/>
  <c r="H37" i="14"/>
  <c r="J37" i="14" s="1"/>
  <c r="H42" i="14"/>
  <c r="H39" i="14" s="1"/>
  <c r="H44" i="14"/>
  <c r="H53" i="14"/>
  <c r="H56" i="14"/>
  <c r="H57" i="14"/>
  <c r="J57" i="14" s="1"/>
  <c r="H58" i="14"/>
  <c r="J58" i="14" s="1"/>
  <c r="H63" i="14"/>
  <c r="H65" i="14"/>
  <c r="J65" i="14" s="1"/>
  <c r="H67" i="14"/>
  <c r="H70" i="14" s="1"/>
  <c r="H69" i="14"/>
  <c r="D111" i="15" l="1"/>
  <c r="L87" i="15"/>
  <c r="P69" i="15"/>
  <c r="L105" i="15"/>
  <c r="K202" i="15"/>
  <c r="J91" i="15"/>
  <c r="L91" i="15" s="1"/>
  <c r="L93" i="15"/>
  <c r="L82" i="15"/>
  <c r="J84" i="15"/>
  <c r="L84" i="15" s="1"/>
  <c r="L86" i="15"/>
  <c r="L37" i="15"/>
  <c r="L36" i="15"/>
  <c r="J134" i="15"/>
  <c r="S134" i="15" s="1"/>
  <c r="L133" i="15"/>
  <c r="K204" i="15"/>
  <c r="K205" i="15"/>
  <c r="L190" i="15"/>
  <c r="Q69" i="15"/>
  <c r="R69" i="15"/>
  <c r="J67" i="15"/>
  <c r="J82" i="15"/>
  <c r="L83" i="15"/>
  <c r="L76" i="15"/>
  <c r="E105" i="15"/>
  <c r="J128" i="15"/>
  <c r="L128" i="15" s="1"/>
  <c r="J76" i="15"/>
  <c r="L80" i="15"/>
  <c r="L67" i="15"/>
  <c r="J96" i="15"/>
  <c r="L96" i="15" s="1"/>
  <c r="L99" i="15"/>
  <c r="L3" i="15"/>
  <c r="M16" i="15"/>
  <c r="L12" i="15"/>
  <c r="D141" i="15"/>
  <c r="D201" i="15" s="1"/>
  <c r="F11" i="15"/>
  <c r="C176" i="15"/>
  <c r="C204" i="15" s="1"/>
  <c r="H87" i="15"/>
  <c r="N190" i="15"/>
  <c r="E91" i="15"/>
  <c r="F105" i="15"/>
  <c r="H76" i="15"/>
  <c r="G84" i="15"/>
  <c r="E141" i="15"/>
  <c r="E201" i="15" s="1"/>
  <c r="O134" i="15"/>
  <c r="H153" i="15"/>
  <c r="H202" i="15" s="1"/>
  <c r="E33" i="15"/>
  <c r="G33" i="15"/>
  <c r="H67" i="15"/>
  <c r="J141" i="15"/>
  <c r="J201" i="15" s="1"/>
  <c r="E11" i="15"/>
  <c r="E120" i="15"/>
  <c r="E84" i="15"/>
  <c r="E111" i="15"/>
  <c r="D11" i="15"/>
  <c r="G120" i="15"/>
  <c r="F176" i="15"/>
  <c r="F204" i="15" s="1"/>
  <c r="F206" i="15" s="1"/>
  <c r="C131" i="15"/>
  <c r="C135" i="15" s="1"/>
  <c r="H84" i="15"/>
  <c r="H82" i="15"/>
  <c r="G11" i="15"/>
  <c r="J120" i="15"/>
  <c r="L120" i="15" s="1"/>
  <c r="H11" i="15"/>
  <c r="J153" i="15"/>
  <c r="J202" i="15" s="1"/>
  <c r="J11" i="15"/>
  <c r="L11" i="15" s="1"/>
  <c r="J111" i="15"/>
  <c r="L111" i="15" s="1"/>
  <c r="E39" i="15"/>
  <c r="M69" i="15"/>
  <c r="G176" i="15"/>
  <c r="G204" i="15" s="1"/>
  <c r="G206" i="15" s="1"/>
  <c r="F39" i="15"/>
  <c r="K126" i="15"/>
  <c r="D33" i="15"/>
  <c r="F120" i="15"/>
  <c r="H176" i="15"/>
  <c r="H204" i="15" s="1"/>
  <c r="H206" i="15" s="1"/>
  <c r="M182" i="15"/>
  <c r="E131" i="15"/>
  <c r="F91" i="15"/>
  <c r="H105" i="15"/>
  <c r="H111" i="15"/>
  <c r="F153" i="15"/>
  <c r="F202" i="15" s="1"/>
  <c r="H120" i="15"/>
  <c r="C203" i="15"/>
  <c r="F141" i="15"/>
  <c r="F201" i="15" s="1"/>
  <c r="H39" i="15"/>
  <c r="C126" i="15"/>
  <c r="C136" i="15" s="1"/>
  <c r="C199" i="15" s="1"/>
  <c r="C210" i="15" s="1"/>
  <c r="F84" i="15"/>
  <c r="H91" i="15"/>
  <c r="D120" i="15"/>
  <c r="D126" i="15" s="1"/>
  <c r="N134" i="15"/>
  <c r="D176" i="15"/>
  <c r="D204" i="15" s="1"/>
  <c r="J39" i="15"/>
  <c r="L39" i="15" s="1"/>
  <c r="J176" i="15"/>
  <c r="J204" i="15" s="1"/>
  <c r="J206" i="15" s="1"/>
  <c r="D39" i="15"/>
  <c r="C39" i="15"/>
  <c r="C64" i="15" s="1"/>
  <c r="K70" i="15"/>
  <c r="H141" i="15"/>
  <c r="H201" i="15" s="1"/>
  <c r="E153" i="15"/>
  <c r="E202" i="15" s="1"/>
  <c r="E176" i="15"/>
  <c r="E204" i="15" s="1"/>
  <c r="M186" i="15"/>
  <c r="M190" i="15"/>
  <c r="D205" i="15"/>
  <c r="H131" i="14"/>
  <c r="H135" i="14" s="1"/>
  <c r="H153" i="14"/>
  <c r="H202" i="14" s="1"/>
  <c r="J42" i="14"/>
  <c r="H33" i="14"/>
  <c r="H64" i="14" s="1"/>
  <c r="H71" i="14" s="1"/>
  <c r="H198" i="14" s="1"/>
  <c r="H120" i="14"/>
  <c r="H84" i="14"/>
  <c r="H126" i="14" s="1"/>
  <c r="H136" i="14" s="1"/>
  <c r="H199" i="14" s="1"/>
  <c r="H200" i="14" s="1"/>
  <c r="J112" i="14"/>
  <c r="H87" i="14"/>
  <c r="J121" i="14"/>
  <c r="H141" i="14"/>
  <c r="H201" i="14" s="1"/>
  <c r="H176" i="14"/>
  <c r="H204" i="14" s="1"/>
  <c r="H206" i="14" s="1"/>
  <c r="J177" i="14"/>
  <c r="J147" i="14"/>
  <c r="J93" i="14"/>
  <c r="J85" i="14"/>
  <c r="J33" i="15"/>
  <c r="L33" i="15" s="1"/>
  <c r="H33" i="15"/>
  <c r="H134" i="15"/>
  <c r="C206" i="15"/>
  <c r="O69" i="15"/>
  <c r="F131" i="15"/>
  <c r="F135" i="15" s="1"/>
  <c r="K131" i="15"/>
  <c r="M141" i="15"/>
  <c r="G105" i="15"/>
  <c r="G70" i="15"/>
  <c r="F111" i="15"/>
  <c r="P134" i="15"/>
  <c r="D70" i="15"/>
  <c r="H131" i="15"/>
  <c r="F33" i="15"/>
  <c r="G91" i="15"/>
  <c r="G128" i="15"/>
  <c r="G131" i="15" s="1"/>
  <c r="E135" i="15"/>
  <c r="G39" i="15"/>
  <c r="D202" i="15"/>
  <c r="M153" i="15"/>
  <c r="N69" i="15"/>
  <c r="G82" i="15"/>
  <c r="O190" i="15"/>
  <c r="P190" i="15"/>
  <c r="G111" i="15"/>
  <c r="C67" i="15"/>
  <c r="C70" i="15" s="1"/>
  <c r="M134" i="15"/>
  <c r="G141" i="15"/>
  <c r="K201" i="15"/>
  <c r="E205" i="15"/>
  <c r="D128" i="15"/>
  <c r="D131" i="15" s="1"/>
  <c r="N128" i="15"/>
  <c r="K64" i="15"/>
  <c r="E67" i="15"/>
  <c r="F67" i="15"/>
  <c r="P67" i="15" s="1"/>
  <c r="G153" i="15"/>
  <c r="G114" i="14"/>
  <c r="G89" i="14"/>
  <c r="W37" i="11"/>
  <c r="W31" i="11"/>
  <c r="W25" i="11"/>
  <c r="W15" i="11"/>
  <c r="W12" i="11"/>
  <c r="W7" i="11"/>
  <c r="AI42" i="10"/>
  <c r="AI16" i="10"/>
  <c r="AI7" i="10" s="1"/>
  <c r="AI52" i="10"/>
  <c r="AI50" i="10"/>
  <c r="AI26" i="10"/>
  <c r="AI20" i="10"/>
  <c r="AI18" i="10"/>
  <c r="K203" i="15" l="1"/>
  <c r="K206" i="15"/>
  <c r="N141" i="15"/>
  <c r="E126" i="15"/>
  <c r="E136" i="15" s="1"/>
  <c r="K135" i="15"/>
  <c r="J131" i="15"/>
  <c r="M37" i="15"/>
  <c r="Q134" i="15"/>
  <c r="R134" i="15"/>
  <c r="Q131" i="15"/>
  <c r="R131" i="15"/>
  <c r="L176" i="15"/>
  <c r="H70" i="15"/>
  <c r="Q67" i="15"/>
  <c r="R67" i="15"/>
  <c r="L141" i="15"/>
  <c r="J70" i="15"/>
  <c r="S70" i="15" s="1"/>
  <c r="S67" i="15"/>
  <c r="L153" i="15"/>
  <c r="L134" i="15"/>
  <c r="E64" i="15"/>
  <c r="N126" i="15"/>
  <c r="M176" i="15"/>
  <c r="N176" i="15"/>
  <c r="D203" i="15"/>
  <c r="F126" i="15"/>
  <c r="F136" i="15" s="1"/>
  <c r="J126" i="15"/>
  <c r="L126" i="15" s="1"/>
  <c r="H203" i="15"/>
  <c r="O141" i="15"/>
  <c r="G64" i="15"/>
  <c r="K136" i="15"/>
  <c r="D64" i="15"/>
  <c r="D71" i="15" s="1"/>
  <c r="O176" i="15"/>
  <c r="J64" i="15"/>
  <c r="J203" i="15"/>
  <c r="O135" i="15"/>
  <c r="H64" i="15"/>
  <c r="F64" i="15"/>
  <c r="O64" i="15" s="1"/>
  <c r="P176" i="15"/>
  <c r="O153" i="15"/>
  <c r="D206" i="15"/>
  <c r="F203" i="15"/>
  <c r="H126" i="15"/>
  <c r="N153" i="15"/>
  <c r="O131" i="15"/>
  <c r="C71" i="15"/>
  <c r="C198" i="15" s="1"/>
  <c r="C200" i="15" s="1"/>
  <c r="AI31" i="10"/>
  <c r="AI54" i="10" s="1"/>
  <c r="AI57" i="10" s="1"/>
  <c r="H209" i="14"/>
  <c r="H203" i="14"/>
  <c r="H207" i="14" s="1"/>
  <c r="H135" i="15"/>
  <c r="D135" i="15"/>
  <c r="M135" i="15" s="1"/>
  <c r="M131" i="15"/>
  <c r="N131" i="15"/>
  <c r="G71" i="15"/>
  <c r="P153" i="15"/>
  <c r="G202" i="15"/>
  <c r="O67" i="15"/>
  <c r="F70" i="15"/>
  <c r="P70" i="15" s="1"/>
  <c r="E70" i="15"/>
  <c r="N67" i="15"/>
  <c r="M67" i="15"/>
  <c r="C213" i="15"/>
  <c r="C216" i="15" s="1"/>
  <c r="K71" i="15"/>
  <c r="M126" i="15"/>
  <c r="M70" i="15"/>
  <c r="M128" i="15"/>
  <c r="G135" i="15"/>
  <c r="P135" i="15" s="1"/>
  <c r="P131" i="15"/>
  <c r="P141" i="15"/>
  <c r="G201" i="15"/>
  <c r="G126" i="15"/>
  <c r="E203" i="15"/>
  <c r="E206" i="15"/>
  <c r="H210" i="14"/>
  <c r="W40" i="11"/>
  <c r="W43" i="11" s="1"/>
  <c r="W18" i="11"/>
  <c r="W21" i="11" s="1"/>
  <c r="AI23" i="10"/>
  <c r="AI27" i="10" s="1"/>
  <c r="AM41" i="10"/>
  <c r="AM40" i="10"/>
  <c r="AM43" i="10"/>
  <c r="AM42" i="10"/>
  <c r="AM39" i="10"/>
  <c r="AM37" i="10"/>
  <c r="AM38" i="10"/>
  <c r="AM34" i="10"/>
  <c r="AM31" i="10"/>
  <c r="AM30" i="10"/>
  <c r="AM29" i="10"/>
  <c r="AM35" i="10"/>
  <c r="AM28" i="10"/>
  <c r="AM27" i="10"/>
  <c r="AM32" i="10"/>
  <c r="AM26" i="10"/>
  <c r="AM25" i="10"/>
  <c r="O126" i="15" l="1"/>
  <c r="K199" i="15"/>
  <c r="K210" i="15" s="1"/>
  <c r="K213" i="15" s="1"/>
  <c r="K216" i="15" s="1"/>
  <c r="Q126" i="15"/>
  <c r="R126" i="15"/>
  <c r="S131" i="15"/>
  <c r="J135" i="15"/>
  <c r="S135" i="15" s="1"/>
  <c r="N64" i="15"/>
  <c r="L70" i="15"/>
  <c r="Q70" i="15"/>
  <c r="R70" i="15"/>
  <c r="L131" i="15"/>
  <c r="Q135" i="15"/>
  <c r="R135" i="15"/>
  <c r="S126" i="15"/>
  <c r="L135" i="15"/>
  <c r="M64" i="15"/>
  <c r="H71" i="15"/>
  <c r="Q64" i="15"/>
  <c r="R64" i="15"/>
  <c r="P64" i="15"/>
  <c r="J71" i="15"/>
  <c r="L71" i="15" s="1"/>
  <c r="S64" i="15"/>
  <c r="L64" i="15"/>
  <c r="H136" i="15"/>
  <c r="C209" i="15"/>
  <c r="C212" i="15" s="1"/>
  <c r="AI58" i="10"/>
  <c r="H212" i="14"/>
  <c r="H215" i="14"/>
  <c r="G203" i="15"/>
  <c r="N135" i="15"/>
  <c r="D136" i="15"/>
  <c r="N136" i="15" s="1"/>
  <c r="O136" i="15"/>
  <c r="F199" i="15"/>
  <c r="F210" i="15" s="1"/>
  <c r="D198" i="15"/>
  <c r="M71" i="15"/>
  <c r="G136" i="15"/>
  <c r="P126" i="15"/>
  <c r="E199" i="15"/>
  <c r="E210" i="15" s="1"/>
  <c r="K198" i="15"/>
  <c r="N70" i="15"/>
  <c r="E71" i="15"/>
  <c r="G198" i="15"/>
  <c r="O70" i="15"/>
  <c r="F71" i="15"/>
  <c r="P71" i="15" s="1"/>
  <c r="C207" i="15"/>
  <c r="M200" i="15"/>
  <c r="H213" i="14"/>
  <c r="H216" i="14" s="1"/>
  <c r="H217" i="14" s="1"/>
  <c r="W44" i="11"/>
  <c r="AM8" i="10"/>
  <c r="J136" i="15" l="1"/>
  <c r="J199" i="15"/>
  <c r="J210" i="15" s="1"/>
  <c r="S136" i="15"/>
  <c r="L136" i="15"/>
  <c r="H199" i="15"/>
  <c r="H210" i="15" s="1"/>
  <c r="Q136" i="15"/>
  <c r="R136" i="15"/>
  <c r="H198" i="15"/>
  <c r="H209" i="15" s="1"/>
  <c r="Q71" i="15"/>
  <c r="R71" i="15"/>
  <c r="J198" i="15"/>
  <c r="S71" i="15"/>
  <c r="C215" i="15"/>
  <c r="C217" i="15" s="1"/>
  <c r="P136" i="15"/>
  <c r="G199" i="15"/>
  <c r="G210" i="15" s="1"/>
  <c r="O71" i="15"/>
  <c r="F198" i="15"/>
  <c r="D209" i="15"/>
  <c r="G209" i="15"/>
  <c r="K209" i="15"/>
  <c r="K200" i="15"/>
  <c r="K207" i="15" s="1"/>
  <c r="E213" i="15"/>
  <c r="E216" i="15" s="1"/>
  <c r="F213" i="15"/>
  <c r="O213" i="15" s="1"/>
  <c r="O210" i="15"/>
  <c r="D199" i="15"/>
  <c r="D210" i="15" s="1"/>
  <c r="N210" i="15" s="1"/>
  <c r="M136" i="15"/>
  <c r="E198" i="15"/>
  <c r="N71" i="15"/>
  <c r="G165" i="14"/>
  <c r="G163" i="14"/>
  <c r="G161" i="14"/>
  <c r="AA34" i="11"/>
  <c r="AA37" i="11"/>
  <c r="C285" i="8"/>
  <c r="C283" i="8"/>
  <c r="F283" i="8"/>
  <c r="F285" i="8"/>
  <c r="AA38" i="11"/>
  <c r="C287" i="8"/>
  <c r="F287" i="8"/>
  <c r="H200" i="15" l="1"/>
  <c r="H207" i="15" s="1"/>
  <c r="H213" i="15"/>
  <c r="Q210" i="15"/>
  <c r="R210" i="15"/>
  <c r="J213" i="15"/>
  <c r="S210" i="15"/>
  <c r="Q209" i="15"/>
  <c r="R209" i="15"/>
  <c r="H212" i="15"/>
  <c r="J209" i="15"/>
  <c r="J200" i="15"/>
  <c r="J207" i="15" s="1"/>
  <c r="G200" i="15"/>
  <c r="G207" i="15" s="1"/>
  <c r="D200" i="15"/>
  <c r="D207" i="15" s="1"/>
  <c r="F216" i="15"/>
  <c r="D212" i="15"/>
  <c r="M212" i="15" s="1"/>
  <c r="M209" i="15"/>
  <c r="E200" i="15"/>
  <c r="E207" i="15" s="1"/>
  <c r="E209" i="15"/>
  <c r="M210" i="15"/>
  <c r="D213" i="15"/>
  <c r="M213" i="15" s="1"/>
  <c r="F200" i="15"/>
  <c r="F207" i="15" s="1"/>
  <c r="F209" i="15"/>
  <c r="P209" i="15" s="1"/>
  <c r="K212" i="15"/>
  <c r="K215" i="15" s="1"/>
  <c r="K217" i="15" s="1"/>
  <c r="G213" i="15"/>
  <c r="P213" i="15" s="1"/>
  <c r="P210" i="15"/>
  <c r="G212" i="15"/>
  <c r="G164" i="14"/>
  <c r="C286" i="8"/>
  <c r="F286" i="8"/>
  <c r="D215" i="15" l="1"/>
  <c r="M215" i="15" s="1"/>
  <c r="N213" i="15"/>
  <c r="J216" i="15"/>
  <c r="S213" i="15"/>
  <c r="Q213" i="15"/>
  <c r="R213" i="15"/>
  <c r="H216" i="15"/>
  <c r="N200" i="15"/>
  <c r="H215" i="15"/>
  <c r="Q212" i="15"/>
  <c r="R212" i="15"/>
  <c r="J212" i="15"/>
  <c r="S209" i="15"/>
  <c r="G216" i="15"/>
  <c r="P216" i="15" s="1"/>
  <c r="E212" i="15"/>
  <c r="N212" i="15" s="1"/>
  <c r="N209" i="15"/>
  <c r="O209" i="15"/>
  <c r="F212" i="15"/>
  <c r="G215" i="15"/>
  <c r="D216" i="15"/>
  <c r="O216" i="15"/>
  <c r="L192" i="14"/>
  <c r="K192" i="14"/>
  <c r="L188" i="14"/>
  <c r="L186" i="14"/>
  <c r="L182" i="14"/>
  <c r="L130" i="14"/>
  <c r="K62" i="14"/>
  <c r="M63" i="14"/>
  <c r="K30" i="14"/>
  <c r="H217" i="15" l="1"/>
  <c r="O212" i="15"/>
  <c r="J215" i="15"/>
  <c r="J217" i="15" s="1"/>
  <c r="S212" i="15"/>
  <c r="F215" i="15"/>
  <c r="P215" i="15" s="1"/>
  <c r="P212" i="15"/>
  <c r="G217" i="15"/>
  <c r="E215" i="15"/>
  <c r="N215" i="15" s="1"/>
  <c r="M216" i="15"/>
  <c r="D217" i="15"/>
  <c r="N216" i="15"/>
  <c r="AM33" i="10"/>
  <c r="G166" i="14"/>
  <c r="G80" i="14"/>
  <c r="G76" i="14" s="1"/>
  <c r="G83" i="14"/>
  <c r="G85" i="14"/>
  <c r="G86" i="14"/>
  <c r="G93" i="14"/>
  <c r="G95" i="14"/>
  <c r="G99" i="14"/>
  <c r="G96" i="14" s="1"/>
  <c r="G101" i="14"/>
  <c r="G106" i="14"/>
  <c r="G107" i="14"/>
  <c r="G110" i="14"/>
  <c r="G105" i="14" s="1"/>
  <c r="G112" i="14"/>
  <c r="G117" i="14"/>
  <c r="G119" i="14"/>
  <c r="G121" i="14"/>
  <c r="G120" i="14" s="1"/>
  <c r="G122" i="14"/>
  <c r="G123" i="14"/>
  <c r="G130" i="14"/>
  <c r="K130" i="14" s="1"/>
  <c r="G133" i="14"/>
  <c r="G134" i="14"/>
  <c r="N134" i="14" s="1"/>
  <c r="G177" i="14"/>
  <c r="G179" i="14"/>
  <c r="G181" i="14"/>
  <c r="G182" i="14"/>
  <c r="G184" i="14"/>
  <c r="G185" i="14"/>
  <c r="G188" i="14"/>
  <c r="K188" i="14" s="1"/>
  <c r="G190" i="14"/>
  <c r="G147" i="14"/>
  <c r="G150" i="14"/>
  <c r="G151" i="14"/>
  <c r="G152" i="14"/>
  <c r="G158" i="14"/>
  <c r="G160" i="14"/>
  <c r="G169" i="14"/>
  <c r="G3" i="14"/>
  <c r="G12" i="14"/>
  <c r="G15" i="14"/>
  <c r="G31" i="14"/>
  <c r="G34" i="14"/>
  <c r="G36" i="14"/>
  <c r="G42" i="14"/>
  <c r="G44" i="14"/>
  <c r="G53" i="14"/>
  <c r="G56" i="14"/>
  <c r="G57" i="14"/>
  <c r="G58" i="14"/>
  <c r="G63" i="14"/>
  <c r="G65" i="14"/>
  <c r="G67" i="14"/>
  <c r="G69" i="14"/>
  <c r="I190" i="14"/>
  <c r="F190" i="14"/>
  <c r="E190" i="14"/>
  <c r="D190" i="14"/>
  <c r="D205" i="14" s="1"/>
  <c r="C190" i="14"/>
  <c r="C205" i="14" s="1"/>
  <c r="F188" i="14"/>
  <c r="E188" i="14"/>
  <c r="D188" i="14"/>
  <c r="C188" i="14"/>
  <c r="F185" i="14"/>
  <c r="E185" i="14"/>
  <c r="D185" i="14"/>
  <c r="F184" i="14"/>
  <c r="E184" i="14"/>
  <c r="D184" i="14"/>
  <c r="C184" i="14"/>
  <c r="F182" i="14"/>
  <c r="E182" i="14"/>
  <c r="D182" i="14"/>
  <c r="F181" i="14"/>
  <c r="E181" i="14"/>
  <c r="D181" i="14"/>
  <c r="F179" i="14"/>
  <c r="E179" i="14"/>
  <c r="D179" i="14"/>
  <c r="F177" i="14"/>
  <c r="E177" i="14"/>
  <c r="D177" i="14"/>
  <c r="D176" i="14" s="1"/>
  <c r="C177" i="14"/>
  <c r="I176" i="14"/>
  <c r="J176" i="14" s="1"/>
  <c r="F169" i="14"/>
  <c r="E169" i="14"/>
  <c r="F165" i="14"/>
  <c r="E165" i="14"/>
  <c r="D165" i="14"/>
  <c r="F161" i="14"/>
  <c r="E161" i="14"/>
  <c r="F160" i="14"/>
  <c r="E160" i="14"/>
  <c r="F158" i="14"/>
  <c r="E158" i="14"/>
  <c r="I153" i="14"/>
  <c r="D153" i="14"/>
  <c r="D202" i="14" s="1"/>
  <c r="C153" i="14"/>
  <c r="C202" i="14" s="1"/>
  <c r="F152" i="14"/>
  <c r="E152" i="14"/>
  <c r="D152" i="14"/>
  <c r="C152" i="14"/>
  <c r="K152" i="14" s="1"/>
  <c r="F151" i="14"/>
  <c r="E151" i="14"/>
  <c r="D151" i="14"/>
  <c r="D141" i="14" s="1"/>
  <c r="F150" i="14"/>
  <c r="E150" i="14"/>
  <c r="F147" i="14"/>
  <c r="E147" i="14"/>
  <c r="I141" i="14"/>
  <c r="C141" i="14"/>
  <c r="C201" i="14" s="1"/>
  <c r="E134" i="14"/>
  <c r="D134" i="14"/>
  <c r="I134" i="14"/>
  <c r="J134" i="14" s="1"/>
  <c r="F133" i="14"/>
  <c r="F134" i="14" s="1"/>
  <c r="E133" i="14"/>
  <c r="D133" i="14"/>
  <c r="C133" i="14"/>
  <c r="C134" i="14" s="1"/>
  <c r="F130" i="14"/>
  <c r="E130" i="14"/>
  <c r="D130" i="14"/>
  <c r="C130" i="14"/>
  <c r="I128" i="14"/>
  <c r="J128" i="14" s="1"/>
  <c r="I127" i="14"/>
  <c r="J127" i="14" s="1"/>
  <c r="C127" i="14"/>
  <c r="F123" i="14"/>
  <c r="E123" i="14"/>
  <c r="D123" i="14"/>
  <c r="F122" i="14"/>
  <c r="E122" i="14"/>
  <c r="D122" i="14"/>
  <c r="F121" i="14"/>
  <c r="E121" i="14"/>
  <c r="D121" i="14"/>
  <c r="I120" i="14"/>
  <c r="J120" i="14" s="1"/>
  <c r="C120" i="14"/>
  <c r="F119" i="14"/>
  <c r="E119" i="14"/>
  <c r="D119" i="14"/>
  <c r="M117" i="14"/>
  <c r="K117" i="14"/>
  <c r="F117" i="14"/>
  <c r="E117" i="14"/>
  <c r="D117" i="14"/>
  <c r="L117" i="14" s="1"/>
  <c r="F114" i="14"/>
  <c r="E114" i="14"/>
  <c r="F112" i="14"/>
  <c r="E112" i="14"/>
  <c r="D112" i="14"/>
  <c r="I111" i="14"/>
  <c r="J111" i="14" s="1"/>
  <c r="C111" i="14"/>
  <c r="F110" i="14"/>
  <c r="E110" i="14"/>
  <c r="F107" i="14"/>
  <c r="E107" i="14"/>
  <c r="F106" i="14"/>
  <c r="E106" i="14"/>
  <c r="I105" i="14"/>
  <c r="J105" i="14" s="1"/>
  <c r="D105" i="14"/>
  <c r="C105" i="14"/>
  <c r="I101" i="14"/>
  <c r="J101" i="14" s="1"/>
  <c r="F101" i="14"/>
  <c r="E101" i="14"/>
  <c r="D101" i="14"/>
  <c r="C101" i="14"/>
  <c r="F99" i="14"/>
  <c r="F96" i="14" s="1"/>
  <c r="E99" i="14"/>
  <c r="I96" i="14"/>
  <c r="J96" i="14" s="1"/>
  <c r="D96" i="14"/>
  <c r="C96" i="14"/>
  <c r="F95" i="14"/>
  <c r="E95" i="14"/>
  <c r="F93" i="14"/>
  <c r="E93" i="14"/>
  <c r="E91" i="14" s="1"/>
  <c r="I91" i="14"/>
  <c r="J91" i="14" s="1"/>
  <c r="D91" i="14"/>
  <c r="C91" i="14"/>
  <c r="F89" i="14"/>
  <c r="E89" i="14"/>
  <c r="D89" i="14"/>
  <c r="I87" i="14"/>
  <c r="J87" i="14" s="1"/>
  <c r="F87" i="14"/>
  <c r="D87" i="14"/>
  <c r="C87" i="14"/>
  <c r="F86" i="14"/>
  <c r="E86" i="14"/>
  <c r="D86" i="14"/>
  <c r="F85" i="14"/>
  <c r="E85" i="14"/>
  <c r="E84" i="14" s="1"/>
  <c r="I84" i="14"/>
  <c r="J84" i="14" s="1"/>
  <c r="D84" i="14"/>
  <c r="C84" i="14"/>
  <c r="F83" i="14"/>
  <c r="F82" i="14" s="1"/>
  <c r="E83" i="14"/>
  <c r="D83" i="14"/>
  <c r="I82" i="14"/>
  <c r="J82" i="14" s="1"/>
  <c r="D82" i="14"/>
  <c r="C82" i="14"/>
  <c r="F80" i="14"/>
  <c r="F76" i="14" s="1"/>
  <c r="E80" i="14"/>
  <c r="E76" i="14" s="1"/>
  <c r="D80" i="14"/>
  <c r="D76" i="14" s="1"/>
  <c r="I76" i="14"/>
  <c r="J76" i="14" s="1"/>
  <c r="C76" i="14"/>
  <c r="I69" i="14"/>
  <c r="J69" i="14" s="1"/>
  <c r="F69" i="14"/>
  <c r="E69" i="14"/>
  <c r="D69" i="14"/>
  <c r="C69" i="14"/>
  <c r="I67" i="14"/>
  <c r="J67" i="14" s="1"/>
  <c r="F65" i="14"/>
  <c r="F128" i="14" s="1"/>
  <c r="E65" i="14"/>
  <c r="E128" i="14" s="1"/>
  <c r="D65" i="14"/>
  <c r="D128" i="14" s="1"/>
  <c r="C65" i="14"/>
  <c r="C128" i="14" s="1"/>
  <c r="F63" i="14"/>
  <c r="F127" i="14" s="1"/>
  <c r="E63" i="14"/>
  <c r="E127" i="14" s="1"/>
  <c r="D63" i="14"/>
  <c r="D127" i="14" s="1"/>
  <c r="F58" i="14"/>
  <c r="E58" i="14"/>
  <c r="D58" i="14"/>
  <c r="F57" i="14"/>
  <c r="E57" i="14"/>
  <c r="D57" i="14"/>
  <c r="C57" i="14"/>
  <c r="F56" i="14"/>
  <c r="E56" i="14"/>
  <c r="D56" i="14"/>
  <c r="C56" i="14"/>
  <c r="F53" i="14"/>
  <c r="E53" i="14"/>
  <c r="D53" i="14"/>
  <c r="C53" i="14"/>
  <c r="F44" i="14"/>
  <c r="E44" i="14"/>
  <c r="D44" i="14"/>
  <c r="F42" i="14"/>
  <c r="E42" i="14"/>
  <c r="D42" i="14"/>
  <c r="C42" i="14"/>
  <c r="I39" i="14"/>
  <c r="J39" i="14" s="1"/>
  <c r="L37" i="14"/>
  <c r="C37" i="14"/>
  <c r="C33" i="14" s="1"/>
  <c r="F36" i="14"/>
  <c r="F37" i="14" s="1"/>
  <c r="E36" i="14"/>
  <c r="E37" i="14" s="1"/>
  <c r="D36" i="14"/>
  <c r="D37" i="14" s="1"/>
  <c r="F34" i="14"/>
  <c r="E34" i="14"/>
  <c r="D34" i="14"/>
  <c r="D33" i="14" s="1"/>
  <c r="I33" i="14"/>
  <c r="J33" i="14" s="1"/>
  <c r="L31" i="14"/>
  <c r="K31" i="14"/>
  <c r="I31" i="14"/>
  <c r="J31" i="14" s="1"/>
  <c r="F31" i="14"/>
  <c r="E31" i="14"/>
  <c r="D31" i="14"/>
  <c r="C31" i="14"/>
  <c r="L30" i="14"/>
  <c r="L16" i="14"/>
  <c r="F15" i="14"/>
  <c r="E15" i="14"/>
  <c r="D15" i="14"/>
  <c r="F12" i="14"/>
  <c r="F11" i="14" s="1"/>
  <c r="E12" i="14"/>
  <c r="D12" i="14"/>
  <c r="I11" i="14"/>
  <c r="J11" i="14" s="1"/>
  <c r="C11" i="14"/>
  <c r="L10" i="14"/>
  <c r="K10" i="14"/>
  <c r="I3" i="14"/>
  <c r="J3" i="14" s="1"/>
  <c r="F3" i="14"/>
  <c r="E3" i="14"/>
  <c r="D3" i="14"/>
  <c r="C3" i="14"/>
  <c r="E217" i="15" l="1"/>
  <c r="F217" i="15"/>
  <c r="O215" i="15"/>
  <c r="I205" i="14"/>
  <c r="J190" i="14"/>
  <c r="I201" i="14"/>
  <c r="J141" i="14"/>
  <c r="G84" i="14"/>
  <c r="F33" i="14"/>
  <c r="F111" i="14"/>
  <c r="F105" i="14"/>
  <c r="F126" i="14" s="1"/>
  <c r="K186" i="14"/>
  <c r="L69" i="14"/>
  <c r="I202" i="14"/>
  <c r="J153" i="14"/>
  <c r="L152" i="14"/>
  <c r="G176" i="14"/>
  <c r="K182" i="14"/>
  <c r="D67" i="14"/>
  <c r="G127" i="14"/>
  <c r="L63" i="14"/>
  <c r="N69" i="14"/>
  <c r="E205" i="14"/>
  <c r="L190" i="14"/>
  <c r="L134" i="14"/>
  <c r="N190" i="14"/>
  <c r="F205" i="14"/>
  <c r="M190" i="14"/>
  <c r="G70" i="14"/>
  <c r="I131" i="14"/>
  <c r="L128" i="14"/>
  <c r="F67" i="14"/>
  <c r="F70" i="14" s="1"/>
  <c r="C39" i="14"/>
  <c r="C64" i="14" s="1"/>
  <c r="I70" i="14"/>
  <c r="J70" i="14" s="1"/>
  <c r="D111" i="14"/>
  <c r="F176" i="14"/>
  <c r="D39" i="14"/>
  <c r="F84" i="14"/>
  <c r="D120" i="14"/>
  <c r="F153" i="14"/>
  <c r="G11" i="14"/>
  <c r="K16" i="14"/>
  <c r="G87" i="14"/>
  <c r="G82" i="14"/>
  <c r="C126" i="14"/>
  <c r="G91" i="14"/>
  <c r="C203" i="14"/>
  <c r="K69" i="14"/>
  <c r="F91" i="14"/>
  <c r="E120" i="14"/>
  <c r="C131" i="14"/>
  <c r="C135" i="14" s="1"/>
  <c r="E141" i="14"/>
  <c r="E39" i="14"/>
  <c r="F131" i="14"/>
  <c r="F135" i="14" s="1"/>
  <c r="G37" i="14"/>
  <c r="K37" i="14"/>
  <c r="G111" i="14"/>
  <c r="G128" i="14"/>
  <c r="E153" i="14"/>
  <c r="L153" i="14" s="1"/>
  <c r="F39" i="14"/>
  <c r="F120" i="14"/>
  <c r="M134" i="14"/>
  <c r="G39" i="14"/>
  <c r="G141" i="14"/>
  <c r="I64" i="14"/>
  <c r="J64" i="14" s="1"/>
  <c r="G205" i="14"/>
  <c r="G153" i="14"/>
  <c r="I203" i="14"/>
  <c r="K134" i="14"/>
  <c r="D201" i="14"/>
  <c r="D203" i="14" s="1"/>
  <c r="K141" i="14"/>
  <c r="F204" i="14"/>
  <c r="D11" i="14"/>
  <c r="D70" i="14"/>
  <c r="E82" i="14"/>
  <c r="I126" i="14"/>
  <c r="J126" i="14" s="1"/>
  <c r="E131" i="14"/>
  <c r="E33" i="14"/>
  <c r="C67" i="14"/>
  <c r="C70" i="14" s="1"/>
  <c r="F141" i="14"/>
  <c r="M141" i="14" s="1"/>
  <c r="C176" i="14"/>
  <c r="C204" i="14" s="1"/>
  <c r="C206" i="14" s="1"/>
  <c r="D204" i="14"/>
  <c r="D206" i="14" s="1"/>
  <c r="E67" i="14"/>
  <c r="M69" i="14"/>
  <c r="E105" i="14"/>
  <c r="K153" i="14"/>
  <c r="E176" i="14"/>
  <c r="L176" i="14" s="1"/>
  <c r="K190" i="14"/>
  <c r="E87" i="14"/>
  <c r="E111" i="14"/>
  <c r="D131" i="14"/>
  <c r="I204" i="14"/>
  <c r="I206" i="14" s="1"/>
  <c r="E11" i="14"/>
  <c r="E96" i="14"/>
  <c r="AM48" i="10"/>
  <c r="AM46" i="10"/>
  <c r="AM24" i="10"/>
  <c r="AM19" i="10"/>
  <c r="AM13" i="10"/>
  <c r="AM11" i="10"/>
  <c r="AM7" i="10"/>
  <c r="AQ40" i="10"/>
  <c r="AQ39" i="10"/>
  <c r="AQ36" i="10"/>
  <c r="AQ37" i="10"/>
  <c r="AQ35" i="10"/>
  <c r="AQ38" i="10"/>
  <c r="AQ34" i="10"/>
  <c r="AQ33" i="10"/>
  <c r="AQ10" i="10"/>
  <c r="AQ9" i="10"/>
  <c r="AQ8" i="10"/>
  <c r="F110" i="13"/>
  <c r="E110" i="13"/>
  <c r="I135" i="14" l="1"/>
  <c r="J135" i="14" s="1"/>
  <c r="J131" i="14"/>
  <c r="G204" i="14"/>
  <c r="N176" i="14"/>
  <c r="D126" i="14"/>
  <c r="K126" i="14" s="1"/>
  <c r="C136" i="14"/>
  <c r="C199" i="14" s="1"/>
  <c r="C210" i="14" s="1"/>
  <c r="C213" i="14" s="1"/>
  <c r="C216" i="14" s="1"/>
  <c r="G206" i="14"/>
  <c r="F64" i="14"/>
  <c r="F71" i="14" s="1"/>
  <c r="M176" i="14"/>
  <c r="E202" i="14"/>
  <c r="G131" i="14"/>
  <c r="N131" i="14" s="1"/>
  <c r="K128" i="14"/>
  <c r="E201" i="14"/>
  <c r="E203" i="14" s="1"/>
  <c r="L141" i="14"/>
  <c r="N153" i="14"/>
  <c r="G201" i="14"/>
  <c r="N141" i="14"/>
  <c r="F206" i="14"/>
  <c r="N67" i="14"/>
  <c r="F202" i="14"/>
  <c r="M153" i="14"/>
  <c r="C71" i="14"/>
  <c r="C198" i="14" s="1"/>
  <c r="C200" i="14" s="1"/>
  <c r="N70" i="14"/>
  <c r="AM16" i="10"/>
  <c r="AM20" i="10" s="1"/>
  <c r="AM50" i="10"/>
  <c r="AM53" i="10" s="1"/>
  <c r="K67" i="14"/>
  <c r="G126" i="14"/>
  <c r="K70" i="14"/>
  <c r="G33" i="14"/>
  <c r="D64" i="14"/>
  <c r="K64" i="14" s="1"/>
  <c r="I71" i="14"/>
  <c r="J71" i="14" s="1"/>
  <c r="K176" i="14"/>
  <c r="G202" i="14"/>
  <c r="L67" i="14"/>
  <c r="E70" i="14"/>
  <c r="I136" i="14"/>
  <c r="J136" i="14" s="1"/>
  <c r="E204" i="14"/>
  <c r="E206" i="14" s="1"/>
  <c r="E126" i="14"/>
  <c r="M126" i="14" s="1"/>
  <c r="F136" i="14"/>
  <c r="M131" i="14"/>
  <c r="M67" i="14"/>
  <c r="D71" i="14"/>
  <c r="E135" i="14"/>
  <c r="M135" i="14" s="1"/>
  <c r="L131" i="14"/>
  <c r="E64" i="14"/>
  <c r="F201" i="14"/>
  <c r="D135" i="14"/>
  <c r="K131" i="14"/>
  <c r="C288" i="8"/>
  <c r="D301" i="8"/>
  <c r="J301" i="8" s="1"/>
  <c r="D300" i="8"/>
  <c r="G298" i="8"/>
  <c r="G299" i="8" s="1"/>
  <c r="I296" i="8"/>
  <c r="H296" i="8"/>
  <c r="G296" i="8"/>
  <c r="F296" i="8"/>
  <c r="E296" i="8"/>
  <c r="D296" i="8"/>
  <c r="C296" i="8"/>
  <c r="J295" i="8"/>
  <c r="J296" i="8" s="1"/>
  <c r="K296" i="8" s="1"/>
  <c r="I294" i="8"/>
  <c r="I297" i="8" s="1"/>
  <c r="H294" i="8"/>
  <c r="H297" i="8" s="1"/>
  <c r="D293" i="8"/>
  <c r="J293" i="8" s="1"/>
  <c r="C293" i="8"/>
  <c r="G292" i="8"/>
  <c r="F292" i="8"/>
  <c r="C292" i="8"/>
  <c r="F291" i="8"/>
  <c r="M289" i="8" s="1"/>
  <c r="E291" i="8"/>
  <c r="E294" i="8" s="1"/>
  <c r="D291" i="8"/>
  <c r="C291" i="8"/>
  <c r="P289" i="8"/>
  <c r="F290" i="8"/>
  <c r="J290" i="8" s="1"/>
  <c r="K290" i="8" s="1"/>
  <c r="J289" i="8"/>
  <c r="K289" i="8" s="1"/>
  <c r="J288" i="8"/>
  <c r="D287" i="8"/>
  <c r="J287" i="8" s="1"/>
  <c r="J286" i="8"/>
  <c r="K286" i="8" s="1"/>
  <c r="J285" i="8"/>
  <c r="K285" i="8" s="1"/>
  <c r="F284" i="8"/>
  <c r="J284" i="8" s="1"/>
  <c r="C284" i="8"/>
  <c r="G283" i="8"/>
  <c r="G294" i="8" s="1"/>
  <c r="F282" i="8"/>
  <c r="J282" i="8" s="1"/>
  <c r="C282" i="8"/>
  <c r="J281" i="8"/>
  <c r="C281" i="8"/>
  <c r="D280" i="8"/>
  <c r="J280" i="8" s="1"/>
  <c r="C280" i="8"/>
  <c r="J279" i="8"/>
  <c r="K279" i="8" s="1"/>
  <c r="O277" i="8"/>
  <c r="J278" i="8"/>
  <c r="C278" i="8"/>
  <c r="O276" i="8"/>
  <c r="L277" i="8"/>
  <c r="J277" i="8"/>
  <c r="K277" i="8" s="1"/>
  <c r="J276" i="8"/>
  <c r="K276" i="8" s="1"/>
  <c r="AA39" i="11"/>
  <c r="AA33" i="11"/>
  <c r="AA27" i="11"/>
  <c r="AA17" i="11"/>
  <c r="AA12" i="11"/>
  <c r="AA7" i="11"/>
  <c r="J283" i="8" l="1"/>
  <c r="K283" i="8" s="1"/>
  <c r="L291" i="8"/>
  <c r="E297" i="8"/>
  <c r="D302" i="8"/>
  <c r="L293" i="8"/>
  <c r="J291" i="8"/>
  <c r="K291" i="8" s="1"/>
  <c r="K280" i="8"/>
  <c r="J292" i="8"/>
  <c r="J294" i="8" s="1"/>
  <c r="J297" i="8" s="1"/>
  <c r="K284" i="8"/>
  <c r="L280" i="8"/>
  <c r="G297" i="8"/>
  <c r="L285" i="8"/>
  <c r="O289" i="8"/>
  <c r="K282" i="8"/>
  <c r="C209" i="14"/>
  <c r="F203" i="14"/>
  <c r="G203" i="14"/>
  <c r="L64" i="14"/>
  <c r="G135" i="14"/>
  <c r="G136" i="14"/>
  <c r="N126" i="14"/>
  <c r="AM54" i="10"/>
  <c r="K287" i="8"/>
  <c r="G64" i="14"/>
  <c r="N64" i="14" s="1"/>
  <c r="I198" i="14"/>
  <c r="I209" i="14" s="1"/>
  <c r="K135" i="14"/>
  <c r="D136" i="14"/>
  <c r="K71" i="14"/>
  <c r="D198" i="14"/>
  <c r="F199" i="14"/>
  <c r="F210" i="14" s="1"/>
  <c r="C212" i="14"/>
  <c r="C215" i="14" s="1"/>
  <c r="E71" i="14"/>
  <c r="C207" i="14"/>
  <c r="K200" i="14"/>
  <c r="I199" i="14"/>
  <c r="I210" i="14" s="1"/>
  <c r="M64" i="14"/>
  <c r="L70" i="14"/>
  <c r="M70" i="14"/>
  <c r="L126" i="14"/>
  <c r="E136" i="14"/>
  <c r="M136" i="14" s="1"/>
  <c r="L135" i="14"/>
  <c r="F198" i="14"/>
  <c r="K288" i="8"/>
  <c r="K293" i="8"/>
  <c r="C294" i="8"/>
  <c r="K281" i="8"/>
  <c r="D294" i="8"/>
  <c r="D297" i="8" s="1"/>
  <c r="K295" i="8"/>
  <c r="J300" i="8"/>
  <c r="F294" i="8"/>
  <c r="F297" i="8" s="1"/>
  <c r="F299" i="8" s="1"/>
  <c r="K278" i="8"/>
  <c r="AA42" i="11"/>
  <c r="AA45" i="11" s="1"/>
  <c r="AA20" i="11"/>
  <c r="AA23" i="11" s="1"/>
  <c r="F114" i="13"/>
  <c r="E114" i="13"/>
  <c r="F106" i="13"/>
  <c r="E106" i="13"/>
  <c r="F99" i="13"/>
  <c r="E99" i="13"/>
  <c r="F95" i="13"/>
  <c r="E95" i="13"/>
  <c r="F93" i="13"/>
  <c r="E93" i="13"/>
  <c r="F85" i="13"/>
  <c r="E85" i="13"/>
  <c r="F168" i="13"/>
  <c r="F160" i="13"/>
  <c r="J152" i="13"/>
  <c r="E168" i="13"/>
  <c r="J151" i="13"/>
  <c r="K151" i="13"/>
  <c r="E160" i="13"/>
  <c r="F147" i="13"/>
  <c r="E147" i="13"/>
  <c r="K292" i="8" l="1"/>
  <c r="D303" i="8"/>
  <c r="L297" i="8"/>
  <c r="N135" i="14"/>
  <c r="G199" i="14"/>
  <c r="G210" i="14" s="1"/>
  <c r="G213" i="14" s="1"/>
  <c r="N136" i="14"/>
  <c r="N210" i="14"/>
  <c r="G71" i="14"/>
  <c r="N71" i="14" s="1"/>
  <c r="C217" i="14"/>
  <c r="I200" i="14"/>
  <c r="I207" i="14" s="1"/>
  <c r="L71" i="14"/>
  <c r="E198" i="14"/>
  <c r="I212" i="14"/>
  <c r="I215" i="14" s="1"/>
  <c r="D209" i="14"/>
  <c r="F209" i="14"/>
  <c r="F200" i="14"/>
  <c r="F207" i="14" s="1"/>
  <c r="D199" i="14"/>
  <c r="D210" i="14" s="1"/>
  <c r="K136" i="14"/>
  <c r="M71" i="14"/>
  <c r="I213" i="14"/>
  <c r="I216" i="14" s="1"/>
  <c r="E199" i="14"/>
  <c r="E210" i="14" s="1"/>
  <c r="L136" i="14"/>
  <c r="F213" i="14"/>
  <c r="F216" i="14" s="1"/>
  <c r="C297" i="8"/>
  <c r="K297" i="8" s="1"/>
  <c r="K294" i="8"/>
  <c r="AA46" i="11"/>
  <c r="AE43" i="11"/>
  <c r="AE44" i="11"/>
  <c r="C317" i="8"/>
  <c r="F317" i="8"/>
  <c r="D334" i="8"/>
  <c r="C325" i="8"/>
  <c r="F325" i="8"/>
  <c r="M323" i="8" s="1"/>
  <c r="D325" i="8"/>
  <c r="G198" i="14" l="1"/>
  <c r="G216" i="14"/>
  <c r="N213" i="14"/>
  <c r="I217" i="14"/>
  <c r="E213" i="14"/>
  <c r="M213" i="14" s="1"/>
  <c r="L210" i="14"/>
  <c r="E209" i="14"/>
  <c r="M209" i="14" s="1"/>
  <c r="E200" i="14"/>
  <c r="E207" i="14" s="1"/>
  <c r="F212" i="14"/>
  <c r="D213" i="14"/>
  <c r="K213" i="14" s="1"/>
  <c r="K210" i="14"/>
  <c r="D212" i="14"/>
  <c r="K212" i="14" s="1"/>
  <c r="K209" i="14"/>
  <c r="M210" i="14"/>
  <c r="D200" i="14"/>
  <c r="L200" i="14" s="1"/>
  <c r="AE31" i="11"/>
  <c r="N216" i="14" l="1"/>
  <c r="G209" i="14"/>
  <c r="G200" i="14"/>
  <c r="G207" i="14" s="1"/>
  <c r="D216" i="14"/>
  <c r="K216" i="14" s="1"/>
  <c r="D215" i="14"/>
  <c r="K215" i="14" s="1"/>
  <c r="L213" i="14"/>
  <c r="L209" i="14"/>
  <c r="E212" i="14"/>
  <c r="L212" i="14" s="1"/>
  <c r="F215" i="14"/>
  <c r="D207" i="14"/>
  <c r="E216" i="14"/>
  <c r="AE30" i="11"/>
  <c r="AE32" i="11"/>
  <c r="O310" i="8"/>
  <c r="D217" i="14" l="1"/>
  <c r="G212" i="14"/>
  <c r="N212" i="14" s="1"/>
  <c r="G215" i="14"/>
  <c r="G217" i="14" s="1"/>
  <c r="N209" i="14"/>
  <c r="F217" i="14"/>
  <c r="E215" i="14"/>
  <c r="L215" i="14" s="1"/>
  <c r="L216" i="14"/>
  <c r="M216" i="14"/>
  <c r="M212" i="14"/>
  <c r="K188" i="13"/>
  <c r="K175" i="13"/>
  <c r="K128" i="13"/>
  <c r="K130" i="13"/>
  <c r="K131" i="13"/>
  <c r="K134" i="13"/>
  <c r="K135" i="13"/>
  <c r="F112" i="13"/>
  <c r="K64" i="13"/>
  <c r="K67" i="13"/>
  <c r="K69" i="13"/>
  <c r="K70" i="13"/>
  <c r="K71" i="13"/>
  <c r="F63" i="13"/>
  <c r="F58" i="13"/>
  <c r="J188" i="13"/>
  <c r="J175" i="13"/>
  <c r="F159" i="13"/>
  <c r="E159" i="13"/>
  <c r="F157" i="13"/>
  <c r="E157" i="13"/>
  <c r="J134" i="13"/>
  <c r="J135" i="13"/>
  <c r="J131" i="13"/>
  <c r="E112" i="13"/>
  <c r="F107" i="13"/>
  <c r="E107" i="13"/>
  <c r="J64" i="13"/>
  <c r="J67" i="13"/>
  <c r="J69" i="13"/>
  <c r="J70" i="13"/>
  <c r="J71" i="13"/>
  <c r="F149" i="13"/>
  <c r="E149" i="13"/>
  <c r="H49" i="13"/>
  <c r="F76" i="13"/>
  <c r="F80" i="13"/>
  <c r="F82" i="13"/>
  <c r="F83" i="13"/>
  <c r="F86" i="13"/>
  <c r="F84" i="13" s="1"/>
  <c r="F89" i="13"/>
  <c r="F87" i="13" s="1"/>
  <c r="F91" i="13"/>
  <c r="F96" i="13"/>
  <c r="F101" i="13"/>
  <c r="F105" i="13"/>
  <c r="F111" i="13"/>
  <c r="F117" i="13"/>
  <c r="F119" i="13"/>
  <c r="F121" i="13"/>
  <c r="F120" i="13" s="1"/>
  <c r="F122" i="13"/>
  <c r="F123" i="13"/>
  <c r="F127" i="13"/>
  <c r="F131" i="13" s="1"/>
  <c r="F135" i="13" s="1"/>
  <c r="F128" i="13"/>
  <c r="F130" i="13"/>
  <c r="F133" i="13"/>
  <c r="F134" i="13"/>
  <c r="F201" i="13"/>
  <c r="F202" i="13"/>
  <c r="F203" i="13"/>
  <c r="F176" i="13"/>
  <c r="F175" i="13" s="1"/>
  <c r="F178" i="13"/>
  <c r="F180" i="13"/>
  <c r="F181" i="13"/>
  <c r="F183" i="13"/>
  <c r="F184" i="13"/>
  <c r="F187" i="13"/>
  <c r="F188" i="13"/>
  <c r="F150" i="13"/>
  <c r="F141" i="13" s="1"/>
  <c r="F198" i="13" s="1"/>
  <c r="F151" i="13"/>
  <c r="F164" i="13"/>
  <c r="F3" i="13"/>
  <c r="F12" i="13"/>
  <c r="F11" i="13" s="1"/>
  <c r="F15" i="13"/>
  <c r="F31" i="13"/>
  <c r="F34" i="13"/>
  <c r="F36" i="13"/>
  <c r="F37" i="13" s="1"/>
  <c r="F42" i="13"/>
  <c r="F39" i="13" s="1"/>
  <c r="F44" i="13"/>
  <c r="F53" i="13"/>
  <c r="F56" i="13"/>
  <c r="F57" i="13"/>
  <c r="F65" i="13"/>
  <c r="F67" i="13"/>
  <c r="F69" i="13"/>
  <c r="F70" i="13"/>
  <c r="AE37" i="11"/>
  <c r="C316" i="8"/>
  <c r="F316" i="8"/>
  <c r="N215" i="14" l="1"/>
  <c r="M215" i="14"/>
  <c r="E217" i="14"/>
  <c r="F152" i="13"/>
  <c r="F199" i="13" s="1"/>
  <c r="F200" i="13" s="1"/>
  <c r="F126" i="13"/>
  <c r="F64" i="13"/>
  <c r="F71" i="13" s="1"/>
  <c r="F195" i="13" s="1"/>
  <c r="F33" i="13"/>
  <c r="F136" i="13" l="1"/>
  <c r="F206" i="13"/>
  <c r="F209" i="13" s="1"/>
  <c r="F212" i="13" s="1"/>
  <c r="F196" i="13" l="1"/>
  <c r="F207" i="13" l="1"/>
  <c r="F197" i="13"/>
  <c r="F204" i="13" s="1"/>
  <c r="AE28" i="11"/>
  <c r="AE8" i="11"/>
  <c r="AE41" i="11"/>
  <c r="AE9" i="11"/>
  <c r="AE13" i="11"/>
  <c r="D314" i="8"/>
  <c r="J314" i="8" s="1"/>
  <c r="C314" i="8"/>
  <c r="C321" i="8"/>
  <c r="D321" i="8"/>
  <c r="D335" i="8"/>
  <c r="J335" i="8" s="1"/>
  <c r="J334" i="8"/>
  <c r="G332" i="8"/>
  <c r="G333" i="8" s="1"/>
  <c r="I330" i="8"/>
  <c r="H330" i="8"/>
  <c r="G330" i="8"/>
  <c r="F330" i="8"/>
  <c r="E330" i="8"/>
  <c r="D330" i="8"/>
  <c r="C330" i="8"/>
  <c r="J329" i="8"/>
  <c r="K329" i="8" s="1"/>
  <c r="I328" i="8"/>
  <c r="H328" i="8"/>
  <c r="D327" i="8"/>
  <c r="J327" i="8" s="1"/>
  <c r="C327" i="8"/>
  <c r="G326" i="8"/>
  <c r="F326" i="8"/>
  <c r="C326" i="8"/>
  <c r="E325" i="8"/>
  <c r="J325" i="8" s="1"/>
  <c r="P323" i="8"/>
  <c r="F324" i="8"/>
  <c r="J324" i="8" s="1"/>
  <c r="K324" i="8" s="1"/>
  <c r="J323" i="8"/>
  <c r="K323" i="8" s="1"/>
  <c r="J322" i="8"/>
  <c r="K322" i="8" s="1"/>
  <c r="F321" i="8"/>
  <c r="F320" i="8"/>
  <c r="J320" i="8" s="1"/>
  <c r="C320" i="8"/>
  <c r="F319" i="8"/>
  <c r="J319" i="8" s="1"/>
  <c r="C319" i="8"/>
  <c r="F318" i="8"/>
  <c r="J318" i="8" s="1"/>
  <c r="C318" i="8"/>
  <c r="G317" i="8"/>
  <c r="J316" i="8"/>
  <c r="K316" i="8" s="1"/>
  <c r="J315" i="8"/>
  <c r="C315" i="8"/>
  <c r="J313" i="8"/>
  <c r="K313" i="8" s="1"/>
  <c r="O311" i="8"/>
  <c r="O323" i="8" s="1"/>
  <c r="J312" i="8"/>
  <c r="C312" i="8"/>
  <c r="L311" i="8"/>
  <c r="J311" i="8"/>
  <c r="J310" i="8"/>
  <c r="K310" i="8" s="1"/>
  <c r="K315" i="8" l="1"/>
  <c r="L327" i="8"/>
  <c r="K314" i="8"/>
  <c r="C328" i="8"/>
  <c r="C331" i="8" s="1"/>
  <c r="J326" i="8"/>
  <c r="K326" i="8" s="1"/>
  <c r="G328" i="8"/>
  <c r="G331" i="8" s="1"/>
  <c r="K327" i="8"/>
  <c r="F328" i="8"/>
  <c r="F331" i="8" s="1"/>
  <c r="F333" i="8" s="1"/>
  <c r="K318" i="8"/>
  <c r="I331" i="8"/>
  <c r="K320" i="8"/>
  <c r="D328" i="8"/>
  <c r="D331" i="8" s="1"/>
  <c r="K319" i="8"/>
  <c r="K312" i="8"/>
  <c r="H331" i="8"/>
  <c r="F210" i="13"/>
  <c r="J321" i="8"/>
  <c r="K321" i="8" s="1"/>
  <c r="K325" i="8"/>
  <c r="K311" i="8"/>
  <c r="L314" i="8"/>
  <c r="E328" i="8"/>
  <c r="E331" i="8" s="1"/>
  <c r="J330" i="8"/>
  <c r="K330" i="8" s="1"/>
  <c r="L319" i="8"/>
  <c r="L325" i="8"/>
  <c r="D336" i="8"/>
  <c r="J317" i="8"/>
  <c r="AR17" i="10"/>
  <c r="AR13" i="10"/>
  <c r="D337" i="8" l="1"/>
  <c r="F213" i="13"/>
  <c r="J328" i="8"/>
  <c r="J331" i="8" s="1"/>
  <c r="K331" i="8" s="1"/>
  <c r="L331" i="8"/>
  <c r="K317" i="8"/>
  <c r="E37" i="13"/>
  <c r="H37" i="13" s="1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2" i="13"/>
  <c r="H34" i="13"/>
  <c r="H35" i="13"/>
  <c r="H36" i="13"/>
  <c r="H38" i="13"/>
  <c r="H41" i="13"/>
  <c r="H42" i="13"/>
  <c r="H43" i="13"/>
  <c r="H44" i="13"/>
  <c r="H45" i="13"/>
  <c r="H46" i="13"/>
  <c r="H48" i="13"/>
  <c r="H50" i="13"/>
  <c r="H51" i="13"/>
  <c r="H52" i="13"/>
  <c r="H53" i="13"/>
  <c r="H56" i="13"/>
  <c r="H57" i="13"/>
  <c r="H58" i="13"/>
  <c r="H59" i="13"/>
  <c r="H60" i="13"/>
  <c r="H61" i="13"/>
  <c r="H62" i="13"/>
  <c r="H63" i="13"/>
  <c r="H65" i="13"/>
  <c r="H66" i="13"/>
  <c r="H67" i="13"/>
  <c r="H68" i="13"/>
  <c r="H69" i="13"/>
  <c r="H70" i="13"/>
  <c r="H77" i="13"/>
  <c r="H78" i="13"/>
  <c r="H79" i="13"/>
  <c r="H80" i="13"/>
  <c r="H83" i="13"/>
  <c r="H85" i="13"/>
  <c r="H86" i="13"/>
  <c r="H88" i="13"/>
  <c r="H89" i="13"/>
  <c r="H90" i="13"/>
  <c r="H92" i="13"/>
  <c r="H93" i="13"/>
  <c r="H94" i="13"/>
  <c r="H95" i="13"/>
  <c r="H97" i="13"/>
  <c r="H98" i="13"/>
  <c r="H99" i="13"/>
  <c r="H100" i="13"/>
  <c r="H101" i="13"/>
  <c r="H102" i="13"/>
  <c r="H103" i="13"/>
  <c r="H104" i="13"/>
  <c r="H106" i="13"/>
  <c r="H107" i="13"/>
  <c r="H108" i="13"/>
  <c r="H109" i="13"/>
  <c r="H110" i="13"/>
  <c r="H112" i="13"/>
  <c r="H114" i="13"/>
  <c r="H115" i="13"/>
  <c r="H116" i="13"/>
  <c r="H117" i="13"/>
  <c r="H118" i="13"/>
  <c r="H119" i="13"/>
  <c r="H121" i="13"/>
  <c r="H122" i="13"/>
  <c r="H123" i="13"/>
  <c r="H124" i="13"/>
  <c r="H125" i="13"/>
  <c r="H127" i="13"/>
  <c r="H128" i="13"/>
  <c r="H129" i="13"/>
  <c r="H130" i="13"/>
  <c r="H131" i="13"/>
  <c r="H132" i="13"/>
  <c r="H133" i="13"/>
  <c r="H134" i="13"/>
  <c r="H135" i="13"/>
  <c r="H141" i="13"/>
  <c r="H142" i="13"/>
  <c r="H143" i="13"/>
  <c r="H144" i="13"/>
  <c r="H145" i="13"/>
  <c r="H146" i="13"/>
  <c r="H147" i="13"/>
  <c r="H148" i="13"/>
  <c r="H149" i="13"/>
  <c r="H151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8" i="13"/>
  <c r="H169" i="13"/>
  <c r="H170" i="13"/>
  <c r="H175" i="13"/>
  <c r="H176" i="13"/>
  <c r="H177" i="13"/>
  <c r="H179" i="13"/>
  <c r="H180" i="13"/>
  <c r="H181" i="13"/>
  <c r="H182" i="13"/>
  <c r="H183" i="13"/>
  <c r="H184" i="13"/>
  <c r="H185" i="13"/>
  <c r="H187" i="13"/>
  <c r="H188" i="13"/>
  <c r="H189" i="13"/>
  <c r="H190" i="13"/>
  <c r="E80" i="13"/>
  <c r="E76" i="13" s="1"/>
  <c r="E83" i="13"/>
  <c r="E82" i="13" s="1"/>
  <c r="E86" i="13"/>
  <c r="E84" i="13" s="1"/>
  <c r="E89" i="13"/>
  <c r="E87" i="13" s="1"/>
  <c r="E91" i="13"/>
  <c r="E96" i="13"/>
  <c r="E101" i="13"/>
  <c r="E105" i="13"/>
  <c r="E111" i="13"/>
  <c r="H111" i="13" s="1"/>
  <c r="E117" i="13"/>
  <c r="E119" i="13"/>
  <c r="E121" i="13"/>
  <c r="E120" i="13" s="1"/>
  <c r="E122" i="13"/>
  <c r="E123" i="13"/>
  <c r="E127" i="13"/>
  <c r="E131" i="13" s="1"/>
  <c r="E135" i="13" s="1"/>
  <c r="E128" i="13"/>
  <c r="E130" i="13"/>
  <c r="E133" i="13"/>
  <c r="E134" i="13"/>
  <c r="E150" i="13"/>
  <c r="E141" i="13" s="1"/>
  <c r="E151" i="13"/>
  <c r="E164" i="13"/>
  <c r="E152" i="13" s="1"/>
  <c r="E176" i="13"/>
  <c r="E175" i="13" s="1"/>
  <c r="E201" i="13" s="1"/>
  <c r="E203" i="13" s="1"/>
  <c r="E178" i="13"/>
  <c r="E180" i="13"/>
  <c r="E181" i="13"/>
  <c r="E183" i="13"/>
  <c r="E184" i="13"/>
  <c r="E187" i="13"/>
  <c r="E188" i="13"/>
  <c r="E202" i="13"/>
  <c r="E3" i="13"/>
  <c r="E12" i="13"/>
  <c r="E11" i="13" s="1"/>
  <c r="E15" i="13"/>
  <c r="E31" i="13"/>
  <c r="E34" i="13"/>
  <c r="E36" i="13"/>
  <c r="E42" i="13"/>
  <c r="E39" i="13" s="1"/>
  <c r="E44" i="13"/>
  <c r="E53" i="13"/>
  <c r="E56" i="13"/>
  <c r="E57" i="13"/>
  <c r="E58" i="13"/>
  <c r="E63" i="13"/>
  <c r="E65" i="13"/>
  <c r="E67" i="13"/>
  <c r="E69" i="13"/>
  <c r="E70" i="13"/>
  <c r="G202" i="13"/>
  <c r="C201" i="13"/>
  <c r="G188" i="13"/>
  <c r="D188" i="13"/>
  <c r="D202" i="13" s="1"/>
  <c r="C188" i="13"/>
  <c r="C202" i="13" s="1"/>
  <c r="K187" i="13"/>
  <c r="D187" i="13"/>
  <c r="J187" i="13" s="1"/>
  <c r="C187" i="13"/>
  <c r="I187" i="13" s="1"/>
  <c r="K185" i="13"/>
  <c r="J185" i="13"/>
  <c r="D184" i="13"/>
  <c r="D183" i="13"/>
  <c r="C183" i="13"/>
  <c r="I185" i="13" s="1"/>
  <c r="K181" i="13"/>
  <c r="D181" i="13"/>
  <c r="D180" i="13"/>
  <c r="D178" i="13"/>
  <c r="D176" i="13"/>
  <c r="J181" i="13" s="1"/>
  <c r="C176" i="13"/>
  <c r="I181" i="13" s="1"/>
  <c r="G175" i="13"/>
  <c r="G201" i="13" s="1"/>
  <c r="G203" i="13" s="1"/>
  <c r="C175" i="13"/>
  <c r="D164" i="13"/>
  <c r="G152" i="13"/>
  <c r="G199" i="13" s="1"/>
  <c r="C152" i="13"/>
  <c r="C199" i="13" s="1"/>
  <c r="D151" i="13"/>
  <c r="C151" i="13"/>
  <c r="C141" i="13" s="1"/>
  <c r="C198" i="13" s="1"/>
  <c r="D150" i="13"/>
  <c r="G141" i="13"/>
  <c r="G198" i="13" s="1"/>
  <c r="G134" i="13"/>
  <c r="D134" i="13"/>
  <c r="G133" i="13"/>
  <c r="D133" i="13"/>
  <c r="C133" i="13"/>
  <c r="C134" i="13" s="1"/>
  <c r="I134" i="13" s="1"/>
  <c r="G131" i="13"/>
  <c r="G135" i="13" s="1"/>
  <c r="J130" i="13"/>
  <c r="I130" i="13"/>
  <c r="G130" i="13"/>
  <c r="D130" i="13"/>
  <c r="C130" i="13"/>
  <c r="G128" i="13"/>
  <c r="G127" i="13"/>
  <c r="J128" i="13" s="1"/>
  <c r="C127" i="13"/>
  <c r="D123" i="13"/>
  <c r="D122" i="13"/>
  <c r="D121" i="13"/>
  <c r="D120" i="13" s="1"/>
  <c r="G120" i="13"/>
  <c r="H120" i="13" s="1"/>
  <c r="C120" i="13"/>
  <c r="D119" i="13"/>
  <c r="K117" i="13"/>
  <c r="I117" i="13"/>
  <c r="D117" i="13"/>
  <c r="J117" i="13" s="1"/>
  <c r="D112" i="13"/>
  <c r="G111" i="13"/>
  <c r="D111" i="13"/>
  <c r="C111" i="13"/>
  <c r="G105" i="13"/>
  <c r="D105" i="13"/>
  <c r="C105" i="13"/>
  <c r="G101" i="13"/>
  <c r="D101" i="13"/>
  <c r="C101" i="13"/>
  <c r="G96" i="13"/>
  <c r="D96" i="13"/>
  <c r="C96" i="13"/>
  <c r="G91" i="13"/>
  <c r="D91" i="13"/>
  <c r="C91" i="13"/>
  <c r="D89" i="13"/>
  <c r="G87" i="13"/>
  <c r="H87" i="13" s="1"/>
  <c r="D87" i="13"/>
  <c r="C87" i="13"/>
  <c r="D86" i="13"/>
  <c r="D84" i="13" s="1"/>
  <c r="G84" i="13"/>
  <c r="H84" i="13" s="1"/>
  <c r="C84" i="13"/>
  <c r="D83" i="13"/>
  <c r="D82" i="13" s="1"/>
  <c r="G82" i="13"/>
  <c r="H82" i="13" s="1"/>
  <c r="C82" i="13"/>
  <c r="D80" i="13"/>
  <c r="D76" i="13" s="1"/>
  <c r="G76" i="13"/>
  <c r="H76" i="13" s="1"/>
  <c r="C76" i="13"/>
  <c r="D70" i="13"/>
  <c r="G69" i="13"/>
  <c r="G70" i="13" s="1"/>
  <c r="D69" i="13"/>
  <c r="I69" i="13" s="1"/>
  <c r="C69" i="13"/>
  <c r="G67" i="13"/>
  <c r="D67" i="13"/>
  <c r="D65" i="13"/>
  <c r="C65" i="13"/>
  <c r="C128" i="13" s="1"/>
  <c r="D63" i="13"/>
  <c r="D127" i="13" s="1"/>
  <c r="I62" i="13"/>
  <c r="D58" i="13"/>
  <c r="D57" i="13"/>
  <c r="C57" i="13"/>
  <c r="D56" i="13"/>
  <c r="D39" i="13" s="1"/>
  <c r="C56" i="13"/>
  <c r="D53" i="13"/>
  <c r="C53" i="13"/>
  <c r="D44" i="13"/>
  <c r="D42" i="13"/>
  <c r="C42" i="13"/>
  <c r="G39" i="13"/>
  <c r="C39" i="13"/>
  <c r="J37" i="13"/>
  <c r="C37" i="13"/>
  <c r="D36" i="13"/>
  <c r="D37" i="13" s="1"/>
  <c r="D34" i="13"/>
  <c r="D33" i="13" s="1"/>
  <c r="G33" i="13"/>
  <c r="C33" i="13"/>
  <c r="J31" i="13"/>
  <c r="I31" i="13"/>
  <c r="G31" i="13"/>
  <c r="H31" i="13" s="1"/>
  <c r="D31" i="13"/>
  <c r="C31" i="13"/>
  <c r="J30" i="13"/>
  <c r="I30" i="13"/>
  <c r="J16" i="13"/>
  <c r="I16" i="13"/>
  <c r="D15" i="13"/>
  <c r="D12" i="13"/>
  <c r="D11" i="13" s="1"/>
  <c r="G11" i="13"/>
  <c r="C11" i="13"/>
  <c r="J10" i="13"/>
  <c r="I10" i="13"/>
  <c r="G3" i="13"/>
  <c r="H3" i="13" s="1"/>
  <c r="D3" i="13"/>
  <c r="C3" i="13"/>
  <c r="H105" i="13" l="1"/>
  <c r="E198" i="13"/>
  <c r="J141" i="13"/>
  <c r="K141" i="13"/>
  <c r="H96" i="13"/>
  <c r="H91" i="13"/>
  <c r="F214" i="13"/>
  <c r="E199" i="13"/>
  <c r="E200" i="13" s="1"/>
  <c r="H39" i="13"/>
  <c r="C64" i="13"/>
  <c r="H152" i="13"/>
  <c r="K328" i="8"/>
  <c r="E126" i="13"/>
  <c r="E33" i="13"/>
  <c r="G126" i="13"/>
  <c r="C126" i="13"/>
  <c r="D64" i="13"/>
  <c r="I64" i="13" s="1"/>
  <c r="C131" i="13"/>
  <c r="C135" i="13" s="1"/>
  <c r="G200" i="13"/>
  <c r="C200" i="13"/>
  <c r="I128" i="13"/>
  <c r="D126" i="13"/>
  <c r="C203" i="13"/>
  <c r="C67" i="13"/>
  <c r="D141" i="13"/>
  <c r="I37" i="13"/>
  <c r="G64" i="13"/>
  <c r="D128" i="13"/>
  <c r="D175" i="13"/>
  <c r="D152" i="13"/>
  <c r="I188" i="13"/>
  <c r="D368" i="8"/>
  <c r="D369" i="8"/>
  <c r="J369" i="8" s="1"/>
  <c r="C355" i="8"/>
  <c r="D355" i="8"/>
  <c r="G366" i="8"/>
  <c r="G367" i="8" s="1"/>
  <c r="I364" i="8"/>
  <c r="H364" i="8"/>
  <c r="G364" i="8"/>
  <c r="F364" i="8"/>
  <c r="E364" i="8"/>
  <c r="D364" i="8"/>
  <c r="C364" i="8"/>
  <c r="J363" i="8"/>
  <c r="J364" i="8" s="1"/>
  <c r="I362" i="8"/>
  <c r="I365" i="8" s="1"/>
  <c r="H362" i="8"/>
  <c r="D361" i="8"/>
  <c r="J361" i="8" s="1"/>
  <c r="C361" i="8"/>
  <c r="G360" i="8"/>
  <c r="F360" i="8"/>
  <c r="C360" i="8"/>
  <c r="F359" i="8"/>
  <c r="E359" i="8"/>
  <c r="E362" i="8" s="1"/>
  <c r="E365" i="8" s="1"/>
  <c r="C359" i="8"/>
  <c r="P357" i="8"/>
  <c r="F358" i="8"/>
  <c r="J357" i="8"/>
  <c r="K357" i="8" s="1"/>
  <c r="J356" i="8"/>
  <c r="K356" i="8" s="1"/>
  <c r="F355" i="8"/>
  <c r="F354" i="8"/>
  <c r="J354" i="8" s="1"/>
  <c r="C354" i="8"/>
  <c r="F353" i="8"/>
  <c r="J353" i="8" s="1"/>
  <c r="C353" i="8"/>
  <c r="F352" i="8"/>
  <c r="J352" i="8" s="1"/>
  <c r="C352" i="8"/>
  <c r="G351" i="8"/>
  <c r="G362" i="8" s="1"/>
  <c r="F351" i="8"/>
  <c r="C351" i="8"/>
  <c r="J350" i="8"/>
  <c r="K350" i="8" s="1"/>
  <c r="J349" i="8"/>
  <c r="C349" i="8"/>
  <c r="J348" i="8"/>
  <c r="K348" i="8" s="1"/>
  <c r="J347" i="8"/>
  <c r="K347" i="8" s="1"/>
  <c r="O345" i="8"/>
  <c r="O357" i="8" s="1"/>
  <c r="J346" i="8"/>
  <c r="C346" i="8"/>
  <c r="L348" i="8" s="1"/>
  <c r="L345" i="8"/>
  <c r="J345" i="8"/>
  <c r="K345" i="8" s="1"/>
  <c r="J344" i="8"/>
  <c r="H396" i="8"/>
  <c r="I396" i="8"/>
  <c r="L379" i="8"/>
  <c r="C389" i="8"/>
  <c r="D403" i="8"/>
  <c r="G70" i="12"/>
  <c r="G69" i="12"/>
  <c r="G68" i="12"/>
  <c r="G66" i="12"/>
  <c r="G63" i="12"/>
  <c r="H116" i="12"/>
  <c r="I116" i="12"/>
  <c r="G135" i="12"/>
  <c r="G187" i="12"/>
  <c r="G134" i="12"/>
  <c r="G133" i="12"/>
  <c r="G130" i="12"/>
  <c r="G125" i="12"/>
  <c r="F34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5" i="12"/>
  <c r="F36" i="12"/>
  <c r="F37" i="12"/>
  <c r="F38" i="12"/>
  <c r="F39" i="12"/>
  <c r="F41" i="12"/>
  <c r="F42" i="12"/>
  <c r="F43" i="12"/>
  <c r="F44" i="12"/>
  <c r="F45" i="12"/>
  <c r="F46" i="12"/>
  <c r="F48" i="12"/>
  <c r="F49" i="12"/>
  <c r="F50" i="12"/>
  <c r="F51" i="12"/>
  <c r="F52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5" i="12"/>
  <c r="F76" i="12"/>
  <c r="F77" i="12"/>
  <c r="F78" i="12"/>
  <c r="F79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40" i="12"/>
  <c r="F141" i="12"/>
  <c r="F142" i="12"/>
  <c r="F143" i="12"/>
  <c r="F144" i="12"/>
  <c r="F145" i="12"/>
  <c r="F146" i="12"/>
  <c r="F147" i="12"/>
  <c r="F148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7" i="12"/>
  <c r="F168" i="12"/>
  <c r="F169" i="12"/>
  <c r="F174" i="12"/>
  <c r="F175" i="12"/>
  <c r="F176" i="12"/>
  <c r="F180" i="12"/>
  <c r="F181" i="12"/>
  <c r="F182" i="12"/>
  <c r="F183" i="12"/>
  <c r="F184" i="12"/>
  <c r="F186" i="12"/>
  <c r="F187" i="12"/>
  <c r="F188" i="12"/>
  <c r="F189" i="12"/>
  <c r="F3" i="12"/>
  <c r="D44" i="12"/>
  <c r="D55" i="12"/>
  <c r="D56" i="12"/>
  <c r="D79" i="12"/>
  <c r="G151" i="12"/>
  <c r="E127" i="12"/>
  <c r="D122" i="12"/>
  <c r="D121" i="12"/>
  <c r="D120" i="12"/>
  <c r="D118" i="12"/>
  <c r="D116" i="12"/>
  <c r="D111" i="12"/>
  <c r="D88" i="12"/>
  <c r="D86" i="12" s="1"/>
  <c r="D85" i="12"/>
  <c r="D83" i="12" s="1"/>
  <c r="D82" i="12"/>
  <c r="D81" i="12" s="1"/>
  <c r="D75" i="12"/>
  <c r="E151" i="12"/>
  <c r="C151" i="12"/>
  <c r="D163" i="12"/>
  <c r="D151" i="12" s="1"/>
  <c r="I184" i="12"/>
  <c r="I180" i="12"/>
  <c r="H150" i="12"/>
  <c r="H37" i="12"/>
  <c r="D34" i="12"/>
  <c r="H31" i="12"/>
  <c r="G31" i="12"/>
  <c r="H30" i="12"/>
  <c r="G30" i="12"/>
  <c r="H16" i="12"/>
  <c r="D15" i="12"/>
  <c r="D12" i="12"/>
  <c r="H10" i="12"/>
  <c r="G10" i="12"/>
  <c r="D182" i="12"/>
  <c r="D183" i="12"/>
  <c r="D180" i="12"/>
  <c r="D179" i="12"/>
  <c r="D177" i="12"/>
  <c r="D175" i="12"/>
  <c r="D149" i="12"/>
  <c r="D62" i="12"/>
  <c r="D126" i="12" s="1"/>
  <c r="D57" i="12"/>
  <c r="D36" i="12"/>
  <c r="D37" i="12" s="1"/>
  <c r="G37" i="12" s="1"/>
  <c r="D90" i="12"/>
  <c r="D95" i="12"/>
  <c r="D100" i="12"/>
  <c r="D104" i="12"/>
  <c r="D129" i="12"/>
  <c r="G129" i="12" s="1"/>
  <c r="D132" i="12"/>
  <c r="D133" i="12" s="1"/>
  <c r="D186" i="12"/>
  <c r="D187" i="12"/>
  <c r="D201" i="12" s="1"/>
  <c r="D150" i="12"/>
  <c r="D3" i="12"/>
  <c r="D31" i="12"/>
  <c r="D42" i="12"/>
  <c r="D52" i="12"/>
  <c r="D64" i="12"/>
  <c r="D127" i="12" s="1"/>
  <c r="D68" i="12"/>
  <c r="J360" i="8" l="1"/>
  <c r="J351" i="8"/>
  <c r="K351" i="8" s="1"/>
  <c r="K361" i="8"/>
  <c r="L359" i="8"/>
  <c r="H365" i="8"/>
  <c r="K354" i="8"/>
  <c r="G365" i="8"/>
  <c r="K353" i="8"/>
  <c r="E136" i="13"/>
  <c r="J126" i="13"/>
  <c r="K126" i="13"/>
  <c r="G136" i="13"/>
  <c r="H136" i="13" s="1"/>
  <c r="H126" i="13"/>
  <c r="D71" i="13"/>
  <c r="C136" i="13"/>
  <c r="C196" i="13" s="1"/>
  <c r="C207" i="13" s="1"/>
  <c r="K346" i="8"/>
  <c r="K360" i="8"/>
  <c r="F362" i="8"/>
  <c r="F365" i="8" s="1"/>
  <c r="F367" i="8" s="1"/>
  <c r="C362" i="8"/>
  <c r="C365" i="8" s="1"/>
  <c r="D362" i="8"/>
  <c r="D365" i="8" s="1"/>
  <c r="D370" i="8"/>
  <c r="J359" i="8"/>
  <c r="K359" i="8" s="1"/>
  <c r="E64" i="13"/>
  <c r="H33" i="13"/>
  <c r="C210" i="13"/>
  <c r="C213" i="13" s="1"/>
  <c r="G71" i="13"/>
  <c r="I126" i="13"/>
  <c r="D198" i="13"/>
  <c r="I141" i="13"/>
  <c r="G196" i="13"/>
  <c r="G207" i="13" s="1"/>
  <c r="D131" i="13"/>
  <c r="D199" i="13"/>
  <c r="I152" i="13"/>
  <c r="D195" i="13"/>
  <c r="D201" i="13"/>
  <c r="D203" i="13" s="1"/>
  <c r="I175" i="13"/>
  <c r="I67" i="13"/>
  <c r="C70" i="13"/>
  <c r="J368" i="8"/>
  <c r="K352" i="8"/>
  <c r="K364" i="8"/>
  <c r="J358" i="8"/>
  <c r="K358" i="8" s="1"/>
  <c r="K349" i="8"/>
  <c r="J355" i="8"/>
  <c r="K355" i="8" s="1"/>
  <c r="K344" i="8"/>
  <c r="L361" i="8"/>
  <c r="L353" i="8"/>
  <c r="K363" i="8"/>
  <c r="G127" i="12"/>
  <c r="D198" i="12"/>
  <c r="D119" i="12"/>
  <c r="D110" i="12"/>
  <c r="D125" i="12" s="1"/>
  <c r="G16" i="12"/>
  <c r="H184" i="12"/>
  <c r="H180" i="12"/>
  <c r="G150" i="12"/>
  <c r="D11" i="12"/>
  <c r="D33" i="12"/>
  <c r="D140" i="12"/>
  <c r="D66" i="12"/>
  <c r="D69" i="12" s="1"/>
  <c r="D174" i="12"/>
  <c r="D130" i="12"/>
  <c r="D134" i="12" s="1"/>
  <c r="D39" i="12"/>
  <c r="AU69" i="10"/>
  <c r="AU10" i="10"/>
  <c r="AU56" i="10"/>
  <c r="AU54" i="10"/>
  <c r="AU51" i="10"/>
  <c r="AU25" i="10"/>
  <c r="AU50" i="10"/>
  <c r="AU49" i="10"/>
  <c r="AU45" i="10"/>
  <c r="L365" i="8" l="1"/>
  <c r="D371" i="8"/>
  <c r="E196" i="13"/>
  <c r="E207" i="13" s="1"/>
  <c r="J136" i="13"/>
  <c r="K136" i="13"/>
  <c r="D200" i="13"/>
  <c r="E71" i="13"/>
  <c r="H64" i="13"/>
  <c r="I70" i="13"/>
  <c r="C71" i="13"/>
  <c r="D206" i="13"/>
  <c r="D135" i="13"/>
  <c r="I131" i="13"/>
  <c r="G195" i="13"/>
  <c r="G210" i="13"/>
  <c r="G213" i="13" s="1"/>
  <c r="J362" i="8"/>
  <c r="D200" i="12"/>
  <c r="D202" i="12" s="1"/>
  <c r="D197" i="12"/>
  <c r="D199" i="12" s="1"/>
  <c r="D63" i="12"/>
  <c r="D70" i="12" s="1"/>
  <c r="D194" i="12" s="1"/>
  <c r="D205" i="12" s="1"/>
  <c r="D135" i="12"/>
  <c r="D195" i="12" s="1"/>
  <c r="AU64" i="10"/>
  <c r="AV18" i="10"/>
  <c r="AU55" i="10"/>
  <c r="AU42" i="10"/>
  <c r="AU12" i="10"/>
  <c r="AU11" i="10"/>
  <c r="AU8" i="10"/>
  <c r="E210" i="13" l="1"/>
  <c r="K207" i="13"/>
  <c r="E195" i="13"/>
  <c r="H71" i="13"/>
  <c r="I135" i="13"/>
  <c r="D136" i="13"/>
  <c r="D209" i="13"/>
  <c r="C195" i="13"/>
  <c r="I71" i="13"/>
  <c r="G197" i="13"/>
  <c r="G204" i="13" s="1"/>
  <c r="G206" i="13"/>
  <c r="J365" i="8"/>
  <c r="K365" i="8" s="1"/>
  <c r="K362" i="8"/>
  <c r="D208" i="12"/>
  <c r="G205" i="12"/>
  <c r="D196" i="12"/>
  <c r="H196" i="12" s="1"/>
  <c r="D206" i="12"/>
  <c r="G206" i="12" s="1"/>
  <c r="AU60" i="10"/>
  <c r="AU21" i="10"/>
  <c r="AU26" i="10"/>
  <c r="AU47" i="10"/>
  <c r="AU28" i="10"/>
  <c r="AQ45" i="10"/>
  <c r="AQ43" i="10"/>
  <c r="AQ32" i="10"/>
  <c r="AQ27" i="10"/>
  <c r="AQ21" i="10"/>
  <c r="AQ19" i="10"/>
  <c r="AQ7" i="10"/>
  <c r="K210" i="13" l="1"/>
  <c r="E213" i="13"/>
  <c r="K213" i="13" s="1"/>
  <c r="E206" i="13"/>
  <c r="K206" i="13" s="1"/>
  <c r="E197" i="13"/>
  <c r="E204" i="13" s="1"/>
  <c r="D212" i="13"/>
  <c r="I136" i="13"/>
  <c r="D196" i="13"/>
  <c r="C206" i="13"/>
  <c r="C197" i="13"/>
  <c r="G209" i="13"/>
  <c r="G212" i="13" s="1"/>
  <c r="G214" i="13" s="1"/>
  <c r="D211" i="12"/>
  <c r="G211" i="12" s="1"/>
  <c r="G208" i="12"/>
  <c r="D203" i="12"/>
  <c r="D209" i="12"/>
  <c r="AU24" i="10"/>
  <c r="AQ24" i="10"/>
  <c r="AQ28" i="10" s="1"/>
  <c r="AQ47" i="10"/>
  <c r="AQ50" i="10" s="1"/>
  <c r="E187" i="12"/>
  <c r="E201" i="12" s="1"/>
  <c r="C187" i="12"/>
  <c r="C201" i="12" s="1"/>
  <c r="I186" i="12"/>
  <c r="H186" i="12"/>
  <c r="C186" i="12"/>
  <c r="G186" i="12" s="1"/>
  <c r="C182" i="12"/>
  <c r="G184" i="12" s="1"/>
  <c r="C175" i="12"/>
  <c r="G180" i="12" s="1"/>
  <c r="E174" i="12"/>
  <c r="E200" i="12" s="1"/>
  <c r="E198" i="12"/>
  <c r="C198" i="12"/>
  <c r="C150" i="12"/>
  <c r="C140" i="12" s="1"/>
  <c r="E140" i="12"/>
  <c r="E197" i="12" s="1"/>
  <c r="E132" i="12"/>
  <c r="E133" i="12" s="1"/>
  <c r="C132" i="12"/>
  <c r="C133" i="12" s="1"/>
  <c r="E129" i="12"/>
  <c r="H129" i="12" s="1"/>
  <c r="C129" i="12"/>
  <c r="E126" i="12"/>
  <c r="H127" i="12" s="1"/>
  <c r="C126" i="12"/>
  <c r="E119" i="12"/>
  <c r="C119" i="12"/>
  <c r="G116" i="12"/>
  <c r="E110" i="12"/>
  <c r="C110" i="12"/>
  <c r="E104" i="12"/>
  <c r="C104" i="12"/>
  <c r="E100" i="12"/>
  <c r="C100" i="12"/>
  <c r="E95" i="12"/>
  <c r="C95" i="12"/>
  <c r="E90" i="12"/>
  <c r="C90" i="12"/>
  <c r="E86" i="12"/>
  <c r="C86" i="12"/>
  <c r="E83" i="12"/>
  <c r="C83" i="12"/>
  <c r="E81" i="12"/>
  <c r="C81" i="12"/>
  <c r="E75" i="12"/>
  <c r="C75" i="12"/>
  <c r="E68" i="12"/>
  <c r="C68" i="12"/>
  <c r="C64" i="12"/>
  <c r="C66" i="12" s="1"/>
  <c r="G61" i="12"/>
  <c r="C56" i="12"/>
  <c r="C55" i="12"/>
  <c r="C52" i="12"/>
  <c r="C42" i="12"/>
  <c r="C37" i="12"/>
  <c r="C33" i="12" s="1"/>
  <c r="E31" i="12"/>
  <c r="C31" i="12"/>
  <c r="E11" i="12"/>
  <c r="C11" i="12"/>
  <c r="E3" i="12"/>
  <c r="C3" i="12"/>
  <c r="AE46" i="11"/>
  <c r="AE40" i="11"/>
  <c r="AE27" i="11"/>
  <c r="AE17" i="11"/>
  <c r="AE12" i="11"/>
  <c r="AE7" i="11"/>
  <c r="AU41" i="10"/>
  <c r="AU36" i="10"/>
  <c r="AU7" i="10"/>
  <c r="AE20" i="11" l="1"/>
  <c r="AE23" i="11" s="1"/>
  <c r="AE49" i="11"/>
  <c r="AE52" i="11" s="1"/>
  <c r="AQ51" i="10"/>
  <c r="J206" i="13"/>
  <c r="E209" i="13"/>
  <c r="K209" i="13" s="1"/>
  <c r="C204" i="13"/>
  <c r="I197" i="13"/>
  <c r="C209" i="13"/>
  <c r="I209" i="13" s="1"/>
  <c r="I206" i="13"/>
  <c r="D207" i="13"/>
  <c r="J207" i="13" s="1"/>
  <c r="D197" i="13"/>
  <c r="D212" i="12"/>
  <c r="G212" i="12" s="1"/>
  <c r="G209" i="12"/>
  <c r="C197" i="12"/>
  <c r="G140" i="12"/>
  <c r="E33" i="12"/>
  <c r="E39" i="12"/>
  <c r="E66" i="12"/>
  <c r="E69" i="12" s="1"/>
  <c r="E130" i="12"/>
  <c r="E134" i="12" s="1"/>
  <c r="E125" i="12"/>
  <c r="C39" i="12"/>
  <c r="C63" i="12" s="1"/>
  <c r="E202" i="12"/>
  <c r="C125" i="12"/>
  <c r="C69" i="12"/>
  <c r="AU67" i="10"/>
  <c r="AU70" i="10" s="1"/>
  <c r="AU33" i="10"/>
  <c r="AU37" i="10" s="1"/>
  <c r="C199" i="12"/>
  <c r="E199" i="12"/>
  <c r="C174" i="12"/>
  <c r="C127" i="12"/>
  <c r="AE53" i="11" l="1"/>
  <c r="E212" i="13"/>
  <c r="K212" i="13" s="1"/>
  <c r="J209" i="13"/>
  <c r="D204" i="13"/>
  <c r="J197" i="13"/>
  <c r="I207" i="13"/>
  <c r="D210" i="13"/>
  <c r="C212" i="13"/>
  <c r="D213" i="12"/>
  <c r="C200" i="12"/>
  <c r="C202" i="12" s="1"/>
  <c r="G174" i="12"/>
  <c r="E63" i="12"/>
  <c r="E70" i="12" s="1"/>
  <c r="E194" i="12" s="1"/>
  <c r="E205" i="12" s="1"/>
  <c r="E208" i="12" s="1"/>
  <c r="E211" i="12" s="1"/>
  <c r="E135" i="12"/>
  <c r="E195" i="12" s="1"/>
  <c r="E206" i="12" s="1"/>
  <c r="E209" i="12" s="1"/>
  <c r="E212" i="12" s="1"/>
  <c r="C70" i="12"/>
  <c r="C194" i="12" s="1"/>
  <c r="C205" i="12" s="1"/>
  <c r="C130" i="12"/>
  <c r="C134" i="12" s="1"/>
  <c r="C135" i="12" s="1"/>
  <c r="C195" i="12" s="1"/>
  <c r="C206" i="12" s="1"/>
  <c r="C209" i="12" s="1"/>
  <c r="C212" i="12" s="1"/>
  <c r="AU71" i="10"/>
  <c r="L243" i="1"/>
  <c r="C385" i="8"/>
  <c r="C387" i="8"/>
  <c r="F385" i="8"/>
  <c r="F387" i="8"/>
  <c r="G385" i="8"/>
  <c r="I210" i="13" l="1"/>
  <c r="J210" i="13"/>
  <c r="E214" i="13"/>
  <c r="J212" i="13"/>
  <c r="D213" i="13"/>
  <c r="J213" i="13" s="1"/>
  <c r="C214" i="13"/>
  <c r="I212" i="13"/>
  <c r="E196" i="12"/>
  <c r="C196" i="12"/>
  <c r="G196" i="12" s="1"/>
  <c r="C208" i="12"/>
  <c r="C211" i="12" s="1"/>
  <c r="P31" i="1"/>
  <c r="Q31" i="1"/>
  <c r="R31" i="1"/>
  <c r="S31" i="1"/>
  <c r="T31" i="1"/>
  <c r="U31" i="1"/>
  <c r="O31" i="1"/>
  <c r="P16" i="1"/>
  <c r="Q16" i="1"/>
  <c r="R16" i="1"/>
  <c r="S16" i="1"/>
  <c r="T16" i="1"/>
  <c r="U16" i="1"/>
  <c r="O16" i="1"/>
  <c r="P10" i="1"/>
  <c r="Q10" i="1"/>
  <c r="R10" i="1"/>
  <c r="S10" i="1"/>
  <c r="T10" i="1"/>
  <c r="U10" i="1"/>
  <c r="O10" i="1"/>
  <c r="G400" i="8"/>
  <c r="D214" i="13" l="1"/>
  <c r="I213" i="13"/>
  <c r="C203" i="12"/>
  <c r="C213" i="12" s="1"/>
  <c r="E203" i="12"/>
  <c r="E213" i="12" s="1"/>
  <c r="G394" i="8" l="1"/>
  <c r="G396" i="8" s="1"/>
  <c r="C394" i="8"/>
  <c r="F394" i="8"/>
  <c r="C386" i="8" l="1"/>
  <c r="C388" i="8"/>
  <c r="F389" i="8"/>
  <c r="F386" i="8"/>
  <c r="C393" i="8"/>
  <c r="F393" i="8"/>
  <c r="L393" i="8" l="1"/>
  <c r="K234" i="1"/>
  <c r="K203" i="1"/>
  <c r="K151" i="1"/>
  <c r="J151" i="1"/>
  <c r="O141" i="1"/>
  <c r="P141" i="1"/>
  <c r="Q141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P236" i="1" l="1"/>
  <c r="Q236" i="1"/>
  <c r="L181" i="1"/>
  <c r="J402" i="8" l="1"/>
  <c r="G401" i="8"/>
  <c r="G398" i="8"/>
  <c r="F392" i="8"/>
  <c r="F388" i="8"/>
  <c r="F396" i="8" s="1"/>
  <c r="C395" i="8"/>
  <c r="D395" i="8"/>
  <c r="L395" i="8" l="1"/>
  <c r="J388" i="8"/>
  <c r="K388" i="8" s="1"/>
  <c r="G399" i="8"/>
  <c r="J382" i="8" l="1"/>
  <c r="K382" i="8" s="1"/>
  <c r="J403" i="8" l="1"/>
  <c r="D389" i="8"/>
  <c r="D396" i="8" s="1"/>
  <c r="L237" i="1"/>
  <c r="J390" i="8" l="1"/>
  <c r="K390" i="8" s="1"/>
  <c r="J392" i="8"/>
  <c r="K392" i="8" s="1"/>
  <c r="C380" i="8"/>
  <c r="L382" i="8" l="1"/>
  <c r="I250" i="1"/>
  <c r="I267" i="1" s="1"/>
  <c r="I229" i="1"/>
  <c r="I266" i="1" s="1"/>
  <c r="I188" i="1"/>
  <c r="I264" i="1" s="1"/>
  <c r="I169" i="1"/>
  <c r="I263" i="1" s="1"/>
  <c r="I151" i="1"/>
  <c r="I152" i="1"/>
  <c r="I153" i="1"/>
  <c r="I154" i="1"/>
  <c r="I157" i="1"/>
  <c r="I161" i="1"/>
  <c r="I162" i="1" s="1"/>
  <c r="I135" i="1"/>
  <c r="I129" i="1"/>
  <c r="I124" i="1"/>
  <c r="I119" i="1"/>
  <c r="I114" i="1"/>
  <c r="I110" i="1"/>
  <c r="I107" i="1"/>
  <c r="I105" i="1"/>
  <c r="I99" i="1"/>
  <c r="I92" i="1"/>
  <c r="I89" i="1"/>
  <c r="I42" i="1"/>
  <c r="I40" i="1"/>
  <c r="I93" i="1" l="1"/>
  <c r="I265" i="1"/>
  <c r="I158" i="1"/>
  <c r="I163" i="1" s="1"/>
  <c r="I268" i="1"/>
  <c r="I150" i="1"/>
  <c r="I164" i="1" l="1"/>
  <c r="I261" i="1" s="1"/>
  <c r="I272" i="1" s="1"/>
  <c r="I275" i="1" s="1"/>
  <c r="I278" i="1" s="1"/>
  <c r="I34" i="1"/>
  <c r="I32" i="1"/>
  <c r="I11" i="1"/>
  <c r="I3" i="1"/>
  <c r="I85" i="1" l="1"/>
  <c r="I94" i="1" s="1"/>
  <c r="I260" i="1" s="1"/>
  <c r="O379" i="8"/>
  <c r="P391" i="8"/>
  <c r="C383" i="8"/>
  <c r="D404" i="8"/>
  <c r="I398" i="8"/>
  <c r="H398" i="8"/>
  <c r="F398" i="8"/>
  <c r="E398" i="8"/>
  <c r="D398" i="8"/>
  <c r="C398" i="8"/>
  <c r="J397" i="8"/>
  <c r="E393" i="8"/>
  <c r="E396" i="8" s="1"/>
  <c r="J391" i="8"/>
  <c r="K391" i="8" s="1"/>
  <c r="J389" i="8"/>
  <c r="K389" i="8" s="1"/>
  <c r="J387" i="8"/>
  <c r="K387" i="8" s="1"/>
  <c r="J385" i="8"/>
  <c r="K385" i="8" s="1"/>
  <c r="J384" i="8"/>
  <c r="K384" i="8" s="1"/>
  <c r="J378" i="8"/>
  <c r="J383" i="8"/>
  <c r="J380" i="8"/>
  <c r="K380" i="8" s="1"/>
  <c r="J379" i="8"/>
  <c r="K379" i="8" s="1"/>
  <c r="J398" i="8" l="1"/>
  <c r="K398" i="8" s="1"/>
  <c r="K397" i="8"/>
  <c r="K383" i="8"/>
  <c r="C396" i="8"/>
  <c r="C399" i="8" s="1"/>
  <c r="K378" i="8"/>
  <c r="J393" i="8"/>
  <c r="K393" i="8" s="1"/>
  <c r="L387" i="8"/>
  <c r="L399" i="8" s="1"/>
  <c r="I262" i="1"/>
  <c r="I269" i="1" s="1"/>
  <c r="I271" i="1"/>
  <c r="I274" i="1" s="1"/>
  <c r="I277" i="1" s="1"/>
  <c r="H399" i="8"/>
  <c r="I399" i="8"/>
  <c r="F399" i="8"/>
  <c r="F401" i="8" s="1"/>
  <c r="J395" i="8"/>
  <c r="K395" i="8" s="1"/>
  <c r="E399" i="8"/>
  <c r="J381" i="8"/>
  <c r="K381" i="8" s="1"/>
  <c r="J386" i="8"/>
  <c r="K386" i="8" s="1"/>
  <c r="J394" i="8"/>
  <c r="K394" i="8" s="1"/>
  <c r="O391" i="8"/>
  <c r="D399" i="8"/>
  <c r="D405" i="8" s="1"/>
  <c r="J396" i="8" l="1"/>
  <c r="K396" i="8" s="1"/>
  <c r="I279" i="1"/>
  <c r="J399" i="8" l="1"/>
  <c r="K399" i="8" s="1"/>
  <c r="Q241" i="1"/>
  <c r="P241" i="1"/>
  <c r="L231" i="1"/>
  <c r="L151" i="1"/>
  <c r="O81" i="1"/>
  <c r="M86" i="1" l="1"/>
  <c r="N86" i="1"/>
  <c r="L86" i="1"/>
  <c r="M73" i="1"/>
  <c r="N73" i="1"/>
  <c r="L73" i="1"/>
  <c r="M72" i="1"/>
  <c r="N72" i="1"/>
  <c r="L72" i="1"/>
  <c r="M69" i="1"/>
  <c r="N69" i="1"/>
  <c r="L69" i="1"/>
  <c r="M53" i="1" l="1"/>
  <c r="P84" i="1" s="1"/>
  <c r="N53" i="1"/>
  <c r="Q84" i="1" s="1"/>
  <c r="L53" i="1"/>
  <c r="N40" i="1"/>
  <c r="M40" i="1"/>
  <c r="L40" i="1"/>
  <c r="G250" i="1" l="1"/>
  <c r="H250" i="1"/>
  <c r="J250" i="1"/>
  <c r="K250" i="1"/>
  <c r="L250" i="1"/>
  <c r="M250" i="1"/>
  <c r="N250" i="1"/>
  <c r="G229" i="1"/>
  <c r="H229" i="1"/>
  <c r="K229" i="1"/>
  <c r="L229" i="1"/>
  <c r="M229" i="1"/>
  <c r="N229" i="1"/>
  <c r="F229" i="1"/>
  <c r="H188" i="1"/>
  <c r="J188" i="1"/>
  <c r="K188" i="1"/>
  <c r="L188" i="1"/>
  <c r="M188" i="1"/>
  <c r="N188" i="1"/>
  <c r="G169" i="1"/>
  <c r="H169" i="1"/>
  <c r="J169" i="1"/>
  <c r="K169" i="1"/>
  <c r="L169" i="1"/>
  <c r="M169" i="1"/>
  <c r="N169" i="1"/>
  <c r="H42" i="1"/>
  <c r="K42" i="1"/>
  <c r="L42" i="1"/>
  <c r="M42" i="1"/>
  <c r="N42" i="1"/>
  <c r="G34" i="1"/>
  <c r="H34" i="1"/>
  <c r="J34" i="1"/>
  <c r="K34" i="1"/>
  <c r="L34" i="1"/>
  <c r="M34" i="1"/>
  <c r="N34" i="1"/>
  <c r="G32" i="1"/>
  <c r="H32" i="1"/>
  <c r="J32" i="1"/>
  <c r="K32" i="1"/>
  <c r="L32" i="1"/>
  <c r="M32" i="1"/>
  <c r="N32" i="1"/>
  <c r="G11" i="1"/>
  <c r="H11" i="1"/>
  <c r="K11" i="1"/>
  <c r="L11" i="1"/>
  <c r="M11" i="1"/>
  <c r="N11" i="1"/>
  <c r="G3" i="1"/>
  <c r="H3" i="1"/>
  <c r="J3" i="1"/>
  <c r="K3" i="1"/>
  <c r="L3" i="1"/>
  <c r="M3" i="1"/>
  <c r="N3" i="1"/>
  <c r="H85" i="1" l="1"/>
  <c r="K85" i="1"/>
  <c r="M85" i="1"/>
  <c r="N85" i="1"/>
  <c r="L85" i="1"/>
  <c r="O188" i="1" l="1"/>
  <c r="S241" i="1" s="1"/>
  <c r="P243" i="1"/>
  <c r="Q243" i="1"/>
  <c r="P246" i="1" l="1"/>
  <c r="Q246" i="1"/>
  <c r="O241" i="1"/>
  <c r="O236" i="1" l="1"/>
  <c r="O187" i="1" l="1"/>
  <c r="O243" i="1"/>
  <c r="S242" i="1" s="1"/>
  <c r="O246" i="1"/>
  <c r="O13" i="1" l="1"/>
  <c r="L161" i="1"/>
  <c r="M152" i="1"/>
  <c r="N152" i="1"/>
  <c r="L152" i="1"/>
  <c r="O84" i="1" l="1"/>
  <c r="K153" i="1"/>
  <c r="K161" i="1"/>
  <c r="K124" i="1"/>
  <c r="K105" i="1"/>
  <c r="L99" i="1"/>
  <c r="L105" i="1"/>
  <c r="L107" i="1"/>
  <c r="L110" i="1"/>
  <c r="L114" i="1"/>
  <c r="L119" i="1"/>
  <c r="L124" i="1"/>
  <c r="L129" i="1"/>
  <c r="L135" i="1"/>
  <c r="L153" i="1"/>
  <c r="L154" i="1"/>
  <c r="L157" i="1"/>
  <c r="O157" i="1" s="1"/>
  <c r="L162" i="1"/>
  <c r="K263" i="1"/>
  <c r="L263" i="1"/>
  <c r="K264" i="1"/>
  <c r="L264" i="1"/>
  <c r="K267" i="1"/>
  <c r="L267" i="1"/>
  <c r="K89" i="1"/>
  <c r="L89" i="1"/>
  <c r="K92" i="1"/>
  <c r="L92" i="1"/>
  <c r="K107" i="1" l="1"/>
  <c r="K158" i="1"/>
  <c r="O155" i="1"/>
  <c r="K135" i="1"/>
  <c r="K119" i="1"/>
  <c r="K129" i="1"/>
  <c r="K114" i="1"/>
  <c r="K110" i="1"/>
  <c r="K162" i="1"/>
  <c r="K99" i="1"/>
  <c r="L266" i="1"/>
  <c r="L268" i="1" s="1"/>
  <c r="L158" i="1"/>
  <c r="L163" i="1" s="1"/>
  <c r="K266" i="1"/>
  <c r="K268" i="1" s="1"/>
  <c r="L265" i="1"/>
  <c r="K265" i="1"/>
  <c r="L150" i="1"/>
  <c r="K93" i="1"/>
  <c r="K94" i="1" s="1"/>
  <c r="L93" i="1"/>
  <c r="L94" i="1" s="1"/>
  <c r="K163" i="1" l="1"/>
  <c r="L260" i="1"/>
  <c r="L271" i="1" s="1"/>
  <c r="K150" i="1"/>
  <c r="L164" i="1"/>
  <c r="L261" i="1" s="1"/>
  <c r="L272" i="1" s="1"/>
  <c r="K260" i="1"/>
  <c r="K271" i="1" s="1"/>
  <c r="K164" i="1" l="1"/>
  <c r="K261" i="1" s="1"/>
  <c r="K272" i="1" s="1"/>
  <c r="K275" i="1" s="1"/>
  <c r="K278" i="1" s="1"/>
  <c r="K274" i="1"/>
  <c r="K277" i="1" s="1"/>
  <c r="L275" i="1"/>
  <c r="L278" i="1" s="1"/>
  <c r="L274" i="1"/>
  <c r="L277" i="1" s="1"/>
  <c r="L262" i="1"/>
  <c r="K262" i="1" l="1"/>
  <c r="O262" i="1"/>
  <c r="L269" i="1"/>
  <c r="L279" i="1" s="1"/>
  <c r="K269" i="1" l="1"/>
  <c r="K279" i="1" s="1"/>
  <c r="E34" i="1" l="1"/>
  <c r="F34" i="1"/>
  <c r="G196" i="1" l="1"/>
  <c r="G188" i="1" s="1"/>
  <c r="G160" i="1"/>
  <c r="G48" i="1"/>
  <c r="G75" i="1"/>
  <c r="G59" i="1"/>
  <c r="G42" i="1" l="1"/>
  <c r="G85" i="1" s="1"/>
  <c r="C277" i="1" l="1"/>
  <c r="E250" i="1"/>
  <c r="F250" i="1"/>
  <c r="H267" i="1"/>
  <c r="E229" i="1"/>
  <c r="H266" i="1"/>
  <c r="H264" i="1"/>
  <c r="H263" i="1"/>
  <c r="H151" i="1"/>
  <c r="H153" i="1"/>
  <c r="H154" i="1"/>
  <c r="H157" i="1"/>
  <c r="H161" i="1"/>
  <c r="M151" i="1"/>
  <c r="N151" i="1"/>
  <c r="H124" i="1"/>
  <c r="H107" i="1"/>
  <c r="H105" i="1"/>
  <c r="H92" i="1"/>
  <c r="J92" i="1"/>
  <c r="M92" i="1"/>
  <c r="N92" i="1"/>
  <c r="H89" i="1"/>
  <c r="J89" i="1"/>
  <c r="M89" i="1"/>
  <c r="N89" i="1"/>
  <c r="N93" i="1" l="1"/>
  <c r="N94" i="1" s="1"/>
  <c r="H268" i="1"/>
  <c r="H119" i="1"/>
  <c r="H162" i="1"/>
  <c r="H158" i="1"/>
  <c r="H265" i="1"/>
  <c r="H99" i="1"/>
  <c r="M93" i="1"/>
  <c r="M94" i="1" s="1"/>
  <c r="H93" i="1"/>
  <c r="H94" i="1" s="1"/>
  <c r="J93" i="1"/>
  <c r="H114" i="1"/>
  <c r="H110" i="1"/>
  <c r="H135" i="1"/>
  <c r="H129" i="1"/>
  <c r="H163" i="1" l="1"/>
  <c r="H150" i="1"/>
  <c r="H164" i="1" l="1"/>
  <c r="H261" i="1" s="1"/>
  <c r="H272" i="1" s="1"/>
  <c r="H275" i="1" s="1"/>
  <c r="H278" i="1" s="1"/>
  <c r="J42" i="1" l="1"/>
  <c r="M264" i="1" l="1"/>
  <c r="M266" i="1"/>
  <c r="M267" i="1"/>
  <c r="J229" i="1"/>
  <c r="M263" i="1"/>
  <c r="N263" i="1"/>
  <c r="N264" i="1"/>
  <c r="M153" i="1"/>
  <c r="N153" i="1"/>
  <c r="M154" i="1"/>
  <c r="N154" i="1"/>
  <c r="M157" i="1"/>
  <c r="N157" i="1"/>
  <c r="M161" i="1"/>
  <c r="M162" i="1" s="1"/>
  <c r="N161" i="1"/>
  <c r="N162" i="1" s="1"/>
  <c r="M135" i="1"/>
  <c r="N135" i="1"/>
  <c r="M129" i="1"/>
  <c r="N129" i="1"/>
  <c r="M124" i="1"/>
  <c r="N124" i="1"/>
  <c r="M119" i="1"/>
  <c r="N119" i="1"/>
  <c r="M114" i="1"/>
  <c r="N114" i="1"/>
  <c r="M110" i="1"/>
  <c r="N110" i="1"/>
  <c r="M107" i="1"/>
  <c r="N107" i="1"/>
  <c r="M105" i="1"/>
  <c r="N105" i="1"/>
  <c r="M99" i="1"/>
  <c r="N99" i="1"/>
  <c r="H260" i="1"/>
  <c r="H271" i="1" s="1"/>
  <c r="H274" i="1" s="1"/>
  <c r="H277" i="1" s="1"/>
  <c r="M260" i="1" l="1"/>
  <c r="M271" i="1" s="1"/>
  <c r="M274" i="1" s="1"/>
  <c r="M277" i="1" s="1"/>
  <c r="H262" i="1"/>
  <c r="H269" i="1" s="1"/>
  <c r="H279" i="1" s="1"/>
  <c r="M265" i="1"/>
  <c r="N158" i="1"/>
  <c r="N163" i="1" s="1"/>
  <c r="N265" i="1"/>
  <c r="N150" i="1"/>
  <c r="M268" i="1"/>
  <c r="M158" i="1"/>
  <c r="M163" i="1" s="1"/>
  <c r="M150" i="1"/>
  <c r="N164" i="1" l="1"/>
  <c r="N261" i="1" s="1"/>
  <c r="M164" i="1"/>
  <c r="M261" i="1" s="1"/>
  <c r="M272" i="1" s="1"/>
  <c r="M275" i="1" l="1"/>
  <c r="M278" i="1" s="1"/>
  <c r="M262" i="1"/>
  <c r="M269" i="1" l="1"/>
  <c r="M279" i="1" s="1"/>
  <c r="P262" i="1"/>
  <c r="N266" i="1" l="1"/>
  <c r="D229" i="1"/>
  <c r="N267" i="1"/>
  <c r="N272" i="1" s="1"/>
  <c r="N275" i="1" s="1"/>
  <c r="N278" i="1" s="1"/>
  <c r="F188" i="1"/>
  <c r="G124" i="1"/>
  <c r="G110" i="1"/>
  <c r="G107" i="1"/>
  <c r="G105" i="1"/>
  <c r="F42" i="1"/>
  <c r="E42" i="1"/>
  <c r="E92" i="1"/>
  <c r="F92" i="1"/>
  <c r="G92" i="1"/>
  <c r="D92" i="1"/>
  <c r="E135" i="1"/>
  <c r="F135" i="1"/>
  <c r="G135" i="1"/>
  <c r="G99" i="1" l="1"/>
  <c r="G119" i="1"/>
  <c r="N268" i="1"/>
  <c r="G114" i="1"/>
  <c r="F267" i="1"/>
  <c r="F266" i="1"/>
  <c r="F264" i="1"/>
  <c r="F169" i="1"/>
  <c r="F263" i="1" s="1"/>
  <c r="F162" i="1"/>
  <c r="F151" i="1"/>
  <c r="F153" i="1"/>
  <c r="F157" i="1"/>
  <c r="F129" i="1"/>
  <c r="F124" i="1"/>
  <c r="F119" i="1"/>
  <c r="F114" i="1"/>
  <c r="F110" i="1"/>
  <c r="F107" i="1"/>
  <c r="F105" i="1"/>
  <c r="F99" i="1"/>
  <c r="F89" i="1"/>
  <c r="F93" i="1" s="1"/>
  <c r="F32" i="1"/>
  <c r="F11" i="1"/>
  <c r="F3" i="1"/>
  <c r="F265" i="1" l="1"/>
  <c r="F268" i="1"/>
  <c r="F158" i="1"/>
  <c r="F163" i="1" s="1"/>
  <c r="F150" i="1"/>
  <c r="F85" i="1"/>
  <c r="F94" i="1" s="1"/>
  <c r="F260" i="1" s="1"/>
  <c r="F271" i="1" s="1"/>
  <c r="F274" i="1" l="1"/>
  <c r="F277" i="1" s="1"/>
  <c r="F164" i="1"/>
  <c r="F261" i="1" s="1"/>
  <c r="F262" i="1" s="1"/>
  <c r="F269" i="1" s="1"/>
  <c r="F272" i="1" l="1"/>
  <c r="J135" i="1"/>
  <c r="F275" i="1" l="1"/>
  <c r="F278" i="1" s="1"/>
  <c r="F279" i="1" s="1"/>
  <c r="J11" i="1"/>
  <c r="J85" i="1" s="1"/>
  <c r="J94" i="1" s="1"/>
  <c r="C229" i="1" l="1"/>
  <c r="E188" i="1"/>
  <c r="D169" i="1"/>
  <c r="E169" i="1"/>
  <c r="D42" i="1"/>
  <c r="D11" i="1"/>
  <c r="E11" i="1"/>
  <c r="D3" i="1"/>
  <c r="E3" i="1"/>
  <c r="E151" i="1"/>
  <c r="J266" i="1" l="1"/>
  <c r="J267" i="1"/>
  <c r="J263" i="1"/>
  <c r="J264" i="1"/>
  <c r="J99" i="1"/>
  <c r="J105" i="1"/>
  <c r="J107" i="1"/>
  <c r="J110" i="1"/>
  <c r="J114" i="1"/>
  <c r="J119" i="1"/>
  <c r="J124" i="1"/>
  <c r="J129" i="1"/>
  <c r="J153" i="1"/>
  <c r="J154" i="1"/>
  <c r="J157" i="1"/>
  <c r="J161" i="1"/>
  <c r="J162" i="1" s="1"/>
  <c r="G267" i="1"/>
  <c r="E267" i="1"/>
  <c r="D250" i="1"/>
  <c r="D267" i="1" s="1"/>
  <c r="C250" i="1"/>
  <c r="C267" i="1" s="1"/>
  <c r="G266" i="1"/>
  <c r="E266" i="1"/>
  <c r="C266" i="1"/>
  <c r="E264" i="1"/>
  <c r="G263" i="1"/>
  <c r="E263" i="1"/>
  <c r="D263" i="1"/>
  <c r="C169" i="1"/>
  <c r="C263" i="1" s="1"/>
  <c r="G161" i="1"/>
  <c r="G162" i="1" s="1"/>
  <c r="E161" i="1"/>
  <c r="D161" i="1"/>
  <c r="C161" i="1"/>
  <c r="E159" i="1"/>
  <c r="D159" i="1"/>
  <c r="C159" i="1"/>
  <c r="G157" i="1"/>
  <c r="E157" i="1"/>
  <c r="D157" i="1"/>
  <c r="C157" i="1"/>
  <c r="D156" i="1"/>
  <c r="G153" i="1"/>
  <c r="E153" i="1"/>
  <c r="D153" i="1"/>
  <c r="C153" i="1"/>
  <c r="D151" i="1"/>
  <c r="C151" i="1"/>
  <c r="D135" i="1"/>
  <c r="C135" i="1"/>
  <c r="E129" i="1"/>
  <c r="D129" i="1"/>
  <c r="C129" i="1"/>
  <c r="E124" i="1"/>
  <c r="D124" i="1"/>
  <c r="C124" i="1"/>
  <c r="E119" i="1"/>
  <c r="D119" i="1"/>
  <c r="C119" i="1"/>
  <c r="E114" i="1"/>
  <c r="D114" i="1"/>
  <c r="C114" i="1"/>
  <c r="E110" i="1"/>
  <c r="D110" i="1"/>
  <c r="C110" i="1"/>
  <c r="E107" i="1"/>
  <c r="D107" i="1"/>
  <c r="C107" i="1"/>
  <c r="E105" i="1"/>
  <c r="D105" i="1"/>
  <c r="C105" i="1"/>
  <c r="E99" i="1"/>
  <c r="D99" i="1"/>
  <c r="C99" i="1"/>
  <c r="G89" i="1"/>
  <c r="G93" i="1" s="1"/>
  <c r="G94" i="1" s="1"/>
  <c r="E89" i="1"/>
  <c r="E93" i="1" s="1"/>
  <c r="D89" i="1"/>
  <c r="D93" i="1" s="1"/>
  <c r="C89" i="1"/>
  <c r="C93" i="1" s="1"/>
  <c r="G151" i="1"/>
  <c r="C42" i="1"/>
  <c r="D40" i="1"/>
  <c r="D34" i="1" s="1"/>
  <c r="C40" i="1"/>
  <c r="C34" i="1" s="1"/>
  <c r="E32" i="1"/>
  <c r="D32" i="1"/>
  <c r="C32" i="1"/>
  <c r="C26" i="1"/>
  <c r="C11" i="1" s="1"/>
  <c r="C3" i="1"/>
  <c r="D158" i="1" l="1"/>
  <c r="C162" i="1"/>
  <c r="D188" i="1"/>
  <c r="D264" i="1" s="1"/>
  <c r="D265" i="1" s="1"/>
  <c r="C188" i="1"/>
  <c r="C264" i="1" s="1"/>
  <c r="C265" i="1" s="1"/>
  <c r="C158" i="1"/>
  <c r="E158" i="1"/>
  <c r="D150" i="1"/>
  <c r="D162" i="1"/>
  <c r="E268" i="1"/>
  <c r="J265" i="1"/>
  <c r="J150" i="1"/>
  <c r="J268" i="1"/>
  <c r="C85" i="1"/>
  <c r="C94" i="1" s="1"/>
  <c r="C260" i="1" s="1"/>
  <c r="E150" i="1"/>
  <c r="G129" i="1"/>
  <c r="E162" i="1"/>
  <c r="E265" i="1"/>
  <c r="J158" i="1"/>
  <c r="J163" i="1" s="1"/>
  <c r="D85" i="1"/>
  <c r="C150" i="1"/>
  <c r="C268" i="1"/>
  <c r="G268" i="1"/>
  <c r="G158" i="1"/>
  <c r="G163" i="1" s="1"/>
  <c r="E85" i="1"/>
  <c r="J164" i="1" l="1"/>
  <c r="J261" i="1" s="1"/>
  <c r="J272" i="1" s="1"/>
  <c r="J275" i="1" s="1"/>
  <c r="J278" i="1" s="1"/>
  <c r="E163" i="1"/>
  <c r="E164" i="1" s="1"/>
  <c r="E261" i="1" s="1"/>
  <c r="E272" i="1" s="1"/>
  <c r="C163" i="1"/>
  <c r="C164" i="1" s="1"/>
  <c r="C261" i="1" s="1"/>
  <c r="C272" i="1" s="1"/>
  <c r="C275" i="1" s="1"/>
  <c r="D163" i="1"/>
  <c r="D164" i="1" s="1"/>
  <c r="D261" i="1" s="1"/>
  <c r="D272" i="1" s="1"/>
  <c r="G264" i="1"/>
  <c r="G265" i="1" s="1"/>
  <c r="G150" i="1"/>
  <c r="G164" i="1" s="1"/>
  <c r="G261" i="1" s="1"/>
  <c r="G272" i="1" s="1"/>
  <c r="G275" i="1" s="1"/>
  <c r="G278" i="1" s="1"/>
  <c r="G260" i="1"/>
  <c r="G271" i="1" s="1"/>
  <c r="J260" i="1"/>
  <c r="J271" i="1" s="1"/>
  <c r="J274" i="1" s="1"/>
  <c r="J277" i="1" s="1"/>
  <c r="E94" i="1"/>
  <c r="E260" i="1" s="1"/>
  <c r="E271" i="1" s="1"/>
  <c r="D94" i="1"/>
  <c r="D260" i="1" s="1"/>
  <c r="N260" i="1"/>
  <c r="N271" i="1" s="1"/>
  <c r="N274" i="1" s="1"/>
  <c r="N277" i="1" s="1"/>
  <c r="C271" i="1"/>
  <c r="G274" i="1" l="1"/>
  <c r="G277" i="1" s="1"/>
  <c r="D275" i="1"/>
  <c r="D278" i="1" s="1"/>
  <c r="C274" i="1"/>
  <c r="C278" i="1" s="1"/>
  <c r="C279" i="1" s="1"/>
  <c r="E274" i="1"/>
  <c r="E277" i="1" s="1"/>
  <c r="E275" i="1"/>
  <c r="E278" i="1" s="1"/>
  <c r="N262" i="1"/>
  <c r="C262" i="1"/>
  <c r="C269" i="1" s="1"/>
  <c r="D262" i="1"/>
  <c r="J262" i="1"/>
  <c r="J269" i="1" s="1"/>
  <c r="J279" i="1" s="1"/>
  <c r="E262" i="1"/>
  <c r="E269" i="1" s="1"/>
  <c r="G262" i="1"/>
  <c r="G269" i="1" s="1"/>
  <c r="N269" i="1" l="1"/>
  <c r="N279" i="1" s="1"/>
  <c r="Q262" i="1"/>
  <c r="G279" i="1"/>
  <c r="E279" i="1"/>
  <c r="D266" i="1"/>
  <c r="D271" i="1" s="1"/>
  <c r="D274" i="1" l="1"/>
  <c r="D277" i="1" s="1"/>
  <c r="D268" i="1"/>
  <c r="D269" i="1" s="1"/>
  <c r="D279" i="1" l="1"/>
</calcChain>
</file>

<file path=xl/sharedStrings.xml><?xml version="1.0" encoding="utf-8"?>
<sst xmlns="http://schemas.openxmlformats.org/spreadsheetml/2006/main" count="5912" uniqueCount="999">
  <si>
    <t>Bežný rozpočet - príjmy</t>
  </si>
  <si>
    <t>Názov položky</t>
  </si>
  <si>
    <t>skutočnosť 2017</t>
  </si>
  <si>
    <t>skutočnosť 2018</t>
  </si>
  <si>
    <t>daňové príjmy</t>
  </si>
  <si>
    <t>výnos dane pre územnú samosprávu</t>
  </si>
  <si>
    <t>daň z nehnuteľností - pozemky, stavby, byty</t>
  </si>
  <si>
    <t>daň za psa</t>
  </si>
  <si>
    <t>daň za nevýherné hracie prístroje</t>
  </si>
  <si>
    <t>daň z ubytovania</t>
  </si>
  <si>
    <t>daň za užívanie verejného priestranstva</t>
  </si>
  <si>
    <t>MP za zber a odvoz odpadu</t>
  </si>
  <si>
    <t>nedaňové príjmy</t>
  </si>
  <si>
    <t>prenájom pozemkov</t>
  </si>
  <si>
    <t>prenájom hrobového miesta</t>
  </si>
  <si>
    <t>prenájom bytov</t>
  </si>
  <si>
    <t xml:space="preserve">prenájom budov </t>
  </si>
  <si>
    <t xml:space="preserve">prenájom strojov,prístrojov,zariadení </t>
  </si>
  <si>
    <t xml:space="preserve">správne poplatky </t>
  </si>
  <si>
    <t>pokuty, sankcie</t>
  </si>
  <si>
    <t>ostatné príjmy /relácie,kopírovanie,fax,.../</t>
  </si>
  <si>
    <t>príjem za opatrovateľskú službu</t>
  </si>
  <si>
    <t>príjem za služby denného stacionára</t>
  </si>
  <si>
    <t>príjem za separovaný zber</t>
  </si>
  <si>
    <t>poplatok za služby v Dome smútku</t>
  </si>
  <si>
    <t>poplatok za stočné</t>
  </si>
  <si>
    <t>príjem za réžiu v ŠKJ</t>
  </si>
  <si>
    <t>príjem za asistovanú službu Integrovaného obslužného miesta</t>
  </si>
  <si>
    <t>príspevok rodičov na náklady zariadenia MŠ</t>
  </si>
  <si>
    <t>príjem zo stravného v ŠKJ</t>
  </si>
  <si>
    <t>príjem z predaja prebytočného majetku</t>
  </si>
  <si>
    <t>úroky</t>
  </si>
  <si>
    <t>úroky z bankových účtov</t>
  </si>
  <si>
    <t>ostatné príjmy</t>
  </si>
  <si>
    <t>príjem z náhrad poistného plnenia</t>
  </si>
  <si>
    <t>príjem z výťažkov lotérií a hazardných hier</t>
  </si>
  <si>
    <t xml:space="preserve">príjem z dobropisov </t>
  </si>
  <si>
    <t>príjem z vratiek</t>
  </si>
  <si>
    <t>príjem z refundácie za skladníka CO z MV SR</t>
  </si>
  <si>
    <t>granty, dotácie, transfery</t>
  </si>
  <si>
    <t>Granty na kultúrne podujatia</t>
  </si>
  <si>
    <t>Dotácia UPSVR na aktivačnú činnosť</t>
  </si>
  <si>
    <t xml:space="preserve">Dotácia MŽP - zníženie energetickej náročnosti budovy OÚ </t>
  </si>
  <si>
    <t>Dotácia MVSR na údržbu vojnových hrobov</t>
  </si>
  <si>
    <t>Transfer od obcí na SpU opatr.služby</t>
  </si>
  <si>
    <t>Transfer od ZŠ na SpU školstva</t>
  </si>
  <si>
    <t>Transfer od obcí na SpU stavebný</t>
  </si>
  <si>
    <t>Dotácia DPO SR na Dobr.hasič.zbor obce</t>
  </si>
  <si>
    <t>Dotácia z Fondu na podporu umenia - kultúrne projekty</t>
  </si>
  <si>
    <t>Dotácia MV SR na matričnú čin., register obyv., adries</t>
  </si>
  <si>
    <t>Dotácia MDVRR,MŽP na stavebný úrad</t>
  </si>
  <si>
    <t>Dotácia MPSVR na denný stacionár</t>
  </si>
  <si>
    <t>BEŽNÉ PRÍJMY obce:</t>
  </si>
  <si>
    <t>RO</t>
  </si>
  <si>
    <t>Vlastný príjem ZŠ, preplatky</t>
  </si>
  <si>
    <t>Vlastný príjem ŠKD</t>
  </si>
  <si>
    <t>Projekt MŠVVŠ SR - Zvýšenie kvality vzdelávania na ZŠ</t>
  </si>
  <si>
    <t>Bežný príjem RO - Základnej školy Heľpa spolu:</t>
  </si>
  <si>
    <t>Vlastný príjem ZUŠ Heľpa</t>
  </si>
  <si>
    <t>Bežný príjem rozpočtových organizácií spolu:</t>
  </si>
  <si>
    <t>BEŽNÉ PRÍJMY CELKOM:</t>
  </si>
  <si>
    <t>Bežný rozpočet - výdavky</t>
  </si>
  <si>
    <t>01 Všeobecné verejné služby</t>
  </si>
  <si>
    <t>0111</t>
  </si>
  <si>
    <t>Výkonné a zákonodarné orgány (OÚ, OZ, komisie)</t>
  </si>
  <si>
    <t>0112</t>
  </si>
  <si>
    <t>Fin.a rozpoč.záležitosti (HKON,audit,popl,fin.správa, poistné)</t>
  </si>
  <si>
    <t>0131</t>
  </si>
  <si>
    <t>Propagácia, reklama, inzercia (propagač. Predmety, bankovka)</t>
  </si>
  <si>
    <t>0133</t>
  </si>
  <si>
    <t>Všeobec.služby (Matrika,REGOB,evidencie,služby, správa)</t>
  </si>
  <si>
    <t>0160</t>
  </si>
  <si>
    <t>02 Obrana</t>
  </si>
  <si>
    <t>0220</t>
  </si>
  <si>
    <t>03 Verejný poriadok a bezpečnosť</t>
  </si>
  <si>
    <t>0320</t>
  </si>
  <si>
    <t>Ochrana pred požiarmi (Prevádzka dobr.hasič.zboru)</t>
  </si>
  <si>
    <t>0360</t>
  </si>
  <si>
    <t>Bezpečnosť (Kamer.systém, bezpeč.projekt, GDPR)</t>
  </si>
  <si>
    <t>04 Ekonomická oblasť</t>
  </si>
  <si>
    <t>0412</t>
  </si>
  <si>
    <t>Prac.oblasť (Správa prac.záležitostí, BOZP, spolupr.VS)</t>
  </si>
  <si>
    <t>0443</t>
  </si>
  <si>
    <t>Výstavba (Spoločný stavebný úrad, ver.obstarávanie)</t>
  </si>
  <si>
    <t>0451</t>
  </si>
  <si>
    <t>Cestná doprava (Údržba miest.komunikácií,chodníkov,parkovísk)</t>
  </si>
  <si>
    <t>05 Ochrana životného prostredia</t>
  </si>
  <si>
    <t>0510</t>
  </si>
  <si>
    <t>Naklad.s odpadmi (zber,uloženie KO, prevádzka zber.dvora)</t>
  </si>
  <si>
    <t>0520</t>
  </si>
  <si>
    <t>Naklad.s odp.vodami (Prevádzka kanalizácie a ČOV)</t>
  </si>
  <si>
    <t>0540</t>
  </si>
  <si>
    <t>Ochrana prírody a krajiny a výrub drevín</t>
  </si>
  <si>
    <t>0560</t>
  </si>
  <si>
    <t>Ochrana živ.prostr. (Starostlivosť o ŽP, ver.zeleň, potoky, protipovodň.opatrenia,veterinárne služ.)</t>
  </si>
  <si>
    <t>06 Bývanie a občianska vybavenosť</t>
  </si>
  <si>
    <t>0620</t>
  </si>
  <si>
    <t>Rozvoj obcí (Správa verejnoprospeš.zariadení)</t>
  </si>
  <si>
    <t>0640</t>
  </si>
  <si>
    <t>Verejné osvetlenie</t>
  </si>
  <si>
    <t>0660</t>
  </si>
  <si>
    <t>Bývanie a obč.vybavenosť (Byty, zdr.str,klub,mater.centrum)</t>
  </si>
  <si>
    <t>07 Zdravotníctvo</t>
  </si>
  <si>
    <t>0711</t>
  </si>
  <si>
    <t>Lieky</t>
  </si>
  <si>
    <t>0712</t>
  </si>
  <si>
    <t>Zdravotnícky materiál</t>
  </si>
  <si>
    <t>0721</t>
  </si>
  <si>
    <t>Zdravotná starostlivosť (prevent.prehliadky, lek.posúdenie)</t>
  </si>
  <si>
    <t>0740</t>
  </si>
  <si>
    <t>08 Rekreácia, kultúra a náboženstvo</t>
  </si>
  <si>
    <t>0810</t>
  </si>
  <si>
    <t>Rekreač.,šport.služby (prevádzka šport.areálu, ŠK, NDS projekt)</t>
  </si>
  <si>
    <t>0820</t>
  </si>
  <si>
    <t>Správa kult.služieb a zariad. (KUL,MĽK,AMF,podujatia,projekty FPU, múzeum)</t>
  </si>
  <si>
    <t>0830</t>
  </si>
  <si>
    <t>Vysielacie a vydavateľské služby (Rozhlas,noviny)</t>
  </si>
  <si>
    <t>0840</t>
  </si>
  <si>
    <t>Nábož.a spoločen.služby (Domu smútku,cintorín, obrady)</t>
  </si>
  <si>
    <t>0860</t>
  </si>
  <si>
    <t>Spoločenské, kultúrne, športové aktivity obce, projekty mládeže</t>
  </si>
  <si>
    <t>09 Vzdelávanie</t>
  </si>
  <si>
    <t>09111</t>
  </si>
  <si>
    <t>Predprimárne vzdelávanie (Prevádzka MŠ)</t>
  </si>
  <si>
    <t>09211</t>
  </si>
  <si>
    <t>0950</t>
  </si>
  <si>
    <t>Záujmové vzdelávanie (semináre,kurzy,školenia)</t>
  </si>
  <si>
    <t>09601</t>
  </si>
  <si>
    <t>Vedľ.služby v rámci predprimár. vzdel. (ŠKJ pre MŠ)</t>
  </si>
  <si>
    <t>09602</t>
  </si>
  <si>
    <t>Vedľ.služby v rámci primár. vzdel. (ŠKJ pre 1.st.ZŠ)</t>
  </si>
  <si>
    <t>09603</t>
  </si>
  <si>
    <t>09608</t>
  </si>
  <si>
    <t>0980</t>
  </si>
  <si>
    <t>10 Sociálne zabezpečenie</t>
  </si>
  <si>
    <t>1020</t>
  </si>
  <si>
    <t>1040</t>
  </si>
  <si>
    <t>Rodina a deti (Príspevky na deti v HN, osob.príjemca PND)</t>
  </si>
  <si>
    <t>1050</t>
  </si>
  <si>
    <t>Nezamestnanosť (Aktivačná činnosť a programy pre uchádz.o zamestnanie)</t>
  </si>
  <si>
    <t>1070</t>
  </si>
  <si>
    <t>Sociálna pomoc občanom v soc. a hm. núdzi</t>
  </si>
  <si>
    <t>1090</t>
  </si>
  <si>
    <t>Sociálne zabezpečenie pri živel.pohromách, núdz.situáciách</t>
  </si>
  <si>
    <t>BEŽNÉ VÝDAVKY obce:</t>
  </si>
  <si>
    <t>Transfer vlastného príjmu Základnej školy</t>
  </si>
  <si>
    <t>Transfer z projektu MŠVVŠ SR</t>
  </si>
  <si>
    <t>Transfer na rozvojový projekt ZŠ  - spolufinancovanie obce</t>
  </si>
  <si>
    <t>Transfer z rozpočtu obce pre Školský klub detí</t>
  </si>
  <si>
    <t>Transfer vlastného príjmu Školského klubu detí</t>
  </si>
  <si>
    <t>Bežné výdavky Základnej školy spolu:</t>
  </si>
  <si>
    <t>Transfer obce pre Základnú umeleckú školu</t>
  </si>
  <si>
    <t>Transfer vlastného príjmu ZUŠ</t>
  </si>
  <si>
    <t>Bežné výdavky Základnej umeleckej školy:</t>
  </si>
  <si>
    <t>Bežné výdavky rozpočtových organizácií spolu:</t>
  </si>
  <si>
    <t>BEŽNÉ VÝDAVKY SPOLU:</t>
  </si>
  <si>
    <t>Kapitálový rozpočet</t>
  </si>
  <si>
    <t>Kapitálové príjmy</t>
  </si>
  <si>
    <t>predaj pozemkov</t>
  </si>
  <si>
    <t>KT MZP Zníž.energ.náročnosti budovy OcÚ</t>
  </si>
  <si>
    <t xml:space="preserve">KT EF Dobudovanie kanalizácie </t>
  </si>
  <si>
    <t>Kapitálové výdavky</t>
  </si>
  <si>
    <t>Zníž.energet.náročnosti OcÚ</t>
  </si>
  <si>
    <t>Zmena územno-plánovacej dokumentácie</t>
  </si>
  <si>
    <t>0610</t>
  </si>
  <si>
    <t>Nákup pozemkov,budov, objektov na ver. účely</t>
  </si>
  <si>
    <t>Náučný chodník chotárom obce</t>
  </si>
  <si>
    <t>Horehronskomuránska cyklotrasa</t>
  </si>
  <si>
    <t>Finančné operácie</t>
  </si>
  <si>
    <t>príjmové</t>
  </si>
  <si>
    <t>návratné zdroje financovania</t>
  </si>
  <si>
    <t>výdavkové</t>
  </si>
  <si>
    <t>odvod správnych poplatkov za IOM</t>
  </si>
  <si>
    <t>splácanie úveru ŠFRB</t>
  </si>
  <si>
    <t>REKAPITULÁCIA ROZPOČTU</t>
  </si>
  <si>
    <t>príjmy bežného rozpočtu</t>
  </si>
  <si>
    <t>výdavky bežného rozpočtu</t>
  </si>
  <si>
    <t>stav bežného rozpočtu</t>
  </si>
  <si>
    <t>príjmy kapitálového rozpočtu</t>
  </si>
  <si>
    <t>výdavky kapitálového rozpočtu</t>
  </si>
  <si>
    <t>stav kapitálového rozpočtu</t>
  </si>
  <si>
    <t>finančné operácie príjmové</t>
  </si>
  <si>
    <t>finančné operácie výdavkové</t>
  </si>
  <si>
    <t>rozdiel finančných operácií</t>
  </si>
  <si>
    <t>CELKOVÝ  STAV  ROZPOČTU:</t>
  </si>
  <si>
    <t>Vypracovala: Mgr. A. Tkáčiková</t>
  </si>
  <si>
    <t>skutočnosť 2019</t>
  </si>
  <si>
    <t>Rekonštrukcia budovy pošty, hasič.zbrojnice/strecha</t>
  </si>
  <si>
    <t>príjmy z refundácií, vyúčtovanie služieb prenajímaných objektov</t>
  </si>
  <si>
    <t>Dotácia ŠÚ SR na sčítanie obyvateľov, domov, bytov</t>
  </si>
  <si>
    <t>Rekonštrukcia strechy OÚ / zachytávače snehu</t>
  </si>
  <si>
    <t>návratná finančná výpomoc MFSR</t>
  </si>
  <si>
    <t>Verejne prístupná elektrická nabíjacia stanica pre elektromobily</t>
  </si>
  <si>
    <t>Dotácia UPSVR na deti v hm.núdzi (strava,šk.potreby)</t>
  </si>
  <si>
    <t>Dotácia UPSVR na osobitného príjemcu a rod.prídavkov</t>
  </si>
  <si>
    <t>Vedľ.služby v rámci niž.sekund. vzdel. (ŠKJ pre 2.st.ZŠ,dospelí)</t>
  </si>
  <si>
    <t>Všeob.verejné služby (Voľby, sčítanie obyvateľov,domov,bytov)</t>
  </si>
  <si>
    <t>Dobudovanie kanalizačnej siete</t>
  </si>
  <si>
    <t>KT MIRRI Rekonštrukcia denného stacionára</t>
  </si>
  <si>
    <t>Dobudovanie chodníka na ul.Hlavná + st.dozor</t>
  </si>
  <si>
    <t>Projektová dokumentácia pripavovaných inv.akcií</t>
  </si>
  <si>
    <t>skutočnosť 2020</t>
  </si>
  <si>
    <t>Dotácia MVSR na opatrenia Covid19</t>
  </si>
  <si>
    <t>Nákup motorových vozidiel, komunál.techniky, príves.vozík</t>
  </si>
  <si>
    <t>Bleskozvod s uzemnením v telocvični ZŠ</t>
  </si>
  <si>
    <t>Stavebné úpravy telocvične - elektroinštalácia</t>
  </si>
  <si>
    <t>Ochrana, podpora a rozvoj zdravia (prísp. SČK, MOM, celoplošné testovanie)</t>
  </si>
  <si>
    <t>Správa a riadenie vzdelávania, Virtuálna univerzita</t>
  </si>
  <si>
    <t>grant - dobrovoľná zbierka obce na rek.strechy amfiteátra</t>
  </si>
  <si>
    <t>KT MH SR verej.prístup.elektr.nabíjacia stanica pre elektromobily</t>
  </si>
  <si>
    <t>ČOV kompenzátor, čerpadlá, frekvenčný menič</t>
  </si>
  <si>
    <t>Stav.úpravy prístrešku studničky na ul. Tichá</t>
  </si>
  <si>
    <t>Rozšírenie kapacity MŠ</t>
  </si>
  <si>
    <t>Denný stacionár - rekonštrukcia</t>
  </si>
  <si>
    <t>príjem za školné Virtuálna univerzita tretieho veku</t>
  </si>
  <si>
    <t>Dotácia MVSR na terénneho asistenta Covid</t>
  </si>
  <si>
    <t>Projekt UPSVR podpora zamestnanosti ZUŠ za min.r.</t>
  </si>
  <si>
    <t>Bežný príjem RO - Základnej umeleckej školy Heľpa spolu:</t>
  </si>
  <si>
    <t>Doplnenie napojenia predizolovaného potrubia v kotolni st.škola</t>
  </si>
  <si>
    <t>Civilná ochrana (Skladník CO, evidencie, TAC)</t>
  </si>
  <si>
    <t>Staroba (Opatrovateľská služba, SpÚ OSL, projekt,denný stacionár,DC)</t>
  </si>
  <si>
    <t>FNK</t>
  </si>
  <si>
    <t>Názov investície</t>
  </si>
  <si>
    <t>Suma v rozpočte</t>
  </si>
  <si>
    <t>Peň.fond 46</t>
  </si>
  <si>
    <t>kontrola</t>
  </si>
  <si>
    <t>Rozpis rozpočtovej položky KR 0610 - projektová dokumentácia</t>
  </si>
  <si>
    <t>Názov PD</t>
  </si>
  <si>
    <t>Suma v EUR</t>
  </si>
  <si>
    <t>Projektová dokumentácia pre pripravované inv.akcie</t>
  </si>
  <si>
    <t>Rezerva na prípadnú dokumentáciu</t>
  </si>
  <si>
    <t>PPD z peňažného fondu:</t>
  </si>
  <si>
    <t xml:space="preserve">Rekonštrukcia objektu č.589 (spoločenská miestnosť) </t>
  </si>
  <si>
    <t>Spolu kapitálové výdavky:</t>
  </si>
  <si>
    <t>Spolu bežné výdavky:</t>
  </si>
  <si>
    <t>Rezer. fond 46</t>
  </si>
  <si>
    <t xml:space="preserve">Dotácia SFZ projekt MŠ </t>
  </si>
  <si>
    <t>skutočnosť 2021</t>
  </si>
  <si>
    <t>2025 návrh</t>
  </si>
  <si>
    <t>Dotácia MVSR humanit.pomoc Ukrajina</t>
  </si>
  <si>
    <t>predaj kapitálových aktív - sneh.pluh</t>
  </si>
  <si>
    <t>zapojenie zost. Dobrovoľ,zbierky na rekonštrukciu amfiteátra</t>
  </si>
  <si>
    <t>finančné zábezpeky ver.obstarávania, stavby</t>
  </si>
  <si>
    <t>iné príjm.operácie -kurzové rozdiely VU3V</t>
  </si>
  <si>
    <t>iné fin.operácie-kurzové rozdiely VU3V</t>
  </si>
  <si>
    <t>finančné operácie - vrátenie zábezpeky</t>
  </si>
  <si>
    <t>PD rozšírenie ČOV - zmena technológie (vpust)/kanalizácia</t>
  </si>
  <si>
    <t>Nákup komunálnej techniky</t>
  </si>
  <si>
    <t>Dotácia MPSVR na soc.služby mim.odmeny, jednorázové odmeny</t>
  </si>
  <si>
    <t>Dotácia IA MPSVR SR na opatrovateľskú službu I., II.</t>
  </si>
  <si>
    <t>Dotácia MVSR na MOM celoplošné testovanie, testovanie firiem, ŠKJ</t>
  </si>
  <si>
    <t>Transfer na projekt Podpora zamestnanosti ZUŠ, testovanie</t>
  </si>
  <si>
    <t>Celkom:</t>
  </si>
  <si>
    <t>Dotácia MV SR - voľby (Referendum, komunálne, NRSR, prezident,EP)</t>
  </si>
  <si>
    <t>zapojenie zost. fondu prev.údržby,opráv bytov</t>
  </si>
  <si>
    <t>zapojenie nevyčerp.prostr.mr. ŠKJ stravné + dotácia</t>
  </si>
  <si>
    <t>zapojenie nevyčerp.prostr.mr. OSL projekt</t>
  </si>
  <si>
    <t>zapojenie nevyčerp.prostr.mr. MVSR Referendum</t>
  </si>
  <si>
    <t>zapojenie nevyčerp.prostr.mr. FPU projekt</t>
  </si>
  <si>
    <t>fin.operácie - správne poplatky ŠR za IOM</t>
  </si>
  <si>
    <t>príjmy z refundácie - iné náhrady, cent.vyrovnanie</t>
  </si>
  <si>
    <t>Rezačka asfaltu na opravu miestnych komunikácií</t>
  </si>
  <si>
    <t>ZŠ  - zapojenie zostatkov prostriedkov nezúčt.projektu ZKV</t>
  </si>
  <si>
    <t>skutočnosť 2022</t>
  </si>
  <si>
    <t>2026 návrh</t>
  </si>
  <si>
    <t>Dotácia MV SR - voľby (VUC, SAM, NRSR, prezident,EP, referendum)</t>
  </si>
  <si>
    <t>zapojenie fondu na rozvoj obce na investičné akcie</t>
  </si>
  <si>
    <t>Príjmy obce Heľpa celkom:</t>
  </si>
  <si>
    <t>Výdavky obce Heľpa celkom:</t>
  </si>
  <si>
    <t>plnenie rozpočtu OU</t>
  </si>
  <si>
    <t>čerpanie rozpočtu OU</t>
  </si>
  <si>
    <t>príjmy RO - školy</t>
  </si>
  <si>
    <t>výdavky RO - školy</t>
  </si>
  <si>
    <t>Dotácia EF SR na environmentálnu politiku</t>
  </si>
  <si>
    <t>Zníženie svetelného znečistenia (výmena svietidiel ver. osvet.)</t>
  </si>
  <si>
    <t>Výmena vykurovacích telies na zdrav.stredisku</t>
  </si>
  <si>
    <t>Zmena palivovej základne zdravotného strediska</t>
  </si>
  <si>
    <t>Obnova šport.infraštruktúry/stavebné úpravy športového areálu</t>
  </si>
  <si>
    <t>Dotácia MFSR vplyv inflácie na sam.funkcie</t>
  </si>
  <si>
    <t>Dotácia UV SR na miestne občianske preventívne služby</t>
  </si>
  <si>
    <t>Dotácia MHV SR - kompenzácie energie</t>
  </si>
  <si>
    <t>Dotácia MIRRI - riešenie migračných výziev</t>
  </si>
  <si>
    <t>Dotácia UPSVR na Podporu zamestnanosti znevýh.uchádzačov</t>
  </si>
  <si>
    <t>Dotácia UPSVR na Aktivácia znevýh.uchádzačov o zamestnanie</t>
  </si>
  <si>
    <t>BT projekt Podpora pomáhajúcich profesií pre ZŠ - právny subjekt</t>
  </si>
  <si>
    <t>Transfer projekt Podpora pomáhajúcich profesií</t>
  </si>
  <si>
    <t>KT EF Zníženie svetelného znečistenia</t>
  </si>
  <si>
    <t>KT FPŠ - Obnova športovej infraštruktúry</t>
  </si>
  <si>
    <t>splácanie istiny bankového úveru</t>
  </si>
  <si>
    <t>zapojenie nevyčerp.prostr.mr. MPSVR Den.stacionár</t>
  </si>
  <si>
    <t>príjem zo vstupného, kult.činnosti</t>
  </si>
  <si>
    <t>zapoj.nevyčerp.FPŠ Obnova šport.infraštr.</t>
  </si>
  <si>
    <t>Obnova budovy ZŠ</t>
  </si>
  <si>
    <t>zapoj.nevyčerp.EF Zníž.svetel.znečistenia</t>
  </si>
  <si>
    <t>KT Rekonštrukcia objektu č. 589</t>
  </si>
  <si>
    <t>Predkladá: Miroslav Lilko - starosta obce</t>
  </si>
  <si>
    <t>zapoj.nevyčerp.MIRRI Zvýš.kapac.MŠ</t>
  </si>
  <si>
    <t>zapojenie nevyčerp.prostr.mr. ZŠ normatív, energie, UA</t>
  </si>
  <si>
    <t>zapojenie rezervného fondu na prevádzku</t>
  </si>
  <si>
    <t>RP 322</t>
  </si>
  <si>
    <t>RP 453</t>
  </si>
  <si>
    <t>0630</t>
  </si>
  <si>
    <t>Rekonštrukcia objektu-spoločenská miestnosť č.589</t>
  </si>
  <si>
    <t xml:space="preserve"> Obnova budovy ZUŠ</t>
  </si>
  <si>
    <t>zapojenie účel.rezervy na obnovu kanalizácie</t>
  </si>
  <si>
    <t>2027 návrh</t>
  </si>
  <si>
    <t>Transfer RUŠS pre ZUŠ - právny subjekt</t>
  </si>
  <si>
    <t>Transfer RÚŠS pre ZŠ - právny subjekt</t>
  </si>
  <si>
    <t>Dotácia RÚŠS normatív na výchovu,vzdelávanie v MŠ</t>
  </si>
  <si>
    <t>Vedľ.služby nedefinované (SpÚ školstva Polomka)</t>
  </si>
  <si>
    <t>EÚ a ŠR, EF+mr</t>
  </si>
  <si>
    <t>Účel. rezerva 71</t>
  </si>
  <si>
    <t>Dobudovanie kanalizácie I.etapa, Obnova ČOV</t>
  </si>
  <si>
    <t>Vybudovanie vodovodu Teplica II.+ stav.dozor</t>
  </si>
  <si>
    <t>Obnova budovy ZŠ,  autor.dozor</t>
  </si>
  <si>
    <t>zmena rozpočtu</t>
  </si>
  <si>
    <t>Majetkové zdroje 43/72c</t>
  </si>
  <si>
    <t>Poznámka (obj.)</t>
  </si>
  <si>
    <t>PD rekonštrukcia obec.objektov (tržnica,NN prípojka 309)</t>
  </si>
  <si>
    <t xml:space="preserve">Vytýčenie stavieb </t>
  </si>
  <si>
    <t>Obnova šport. Infraštruktúry, st.dozor</t>
  </si>
  <si>
    <t>Vybudovanie verejného vodovodu Teplica 1,2</t>
  </si>
  <si>
    <t>skutočnosť 2023</t>
  </si>
  <si>
    <t xml:space="preserve">Dotácia UPSVR na Podporu zamestnanosti </t>
  </si>
  <si>
    <t>Dotácia inflačná pomoc na soc.služby, stabilizačný príspevok</t>
  </si>
  <si>
    <t>Rekonštrukcia amfiteátra</t>
  </si>
  <si>
    <t>schválený 2024</t>
  </si>
  <si>
    <t>PD rekonštr.elektroinštalácie obec.objektov</t>
  </si>
  <si>
    <t>Nákup techniky zber.dvora</t>
  </si>
  <si>
    <t>Chodník k WC na amfiteátri</t>
  </si>
  <si>
    <t>Turistická infraštruktúra</t>
  </si>
  <si>
    <t>Plán investícií - zdroje financovania v roku 2025</t>
  </si>
  <si>
    <t>Nákup techniky zberného dvora</t>
  </si>
  <si>
    <t>Dobud.kanal.I.etapa L09, ČS3 -Prečerp.stanica ul. Furmanská, Obnova ČOV</t>
  </si>
  <si>
    <t>KT Rekonštrukcia obecných objektov</t>
  </si>
  <si>
    <t>Vodozádržné opatrenia ZUŠ</t>
  </si>
  <si>
    <t>Dotácia MŠSR na Zvýšenie kapacity MŠ</t>
  </si>
  <si>
    <t>Detské ihrisko</t>
  </si>
  <si>
    <t>vratky min.r.</t>
  </si>
  <si>
    <t>FNC kat.</t>
  </si>
  <si>
    <t>Obnova budovy ZŠ (energ.certifikáty, energ.audit)</t>
  </si>
  <si>
    <t>Transfer z RúŠS pre Základnú školu</t>
  </si>
  <si>
    <t>Vybudovanie vodovodu Teplica 1,2</t>
  </si>
  <si>
    <t>upravený 2024-10</t>
  </si>
  <si>
    <t>Dotácia MŽP SR na Nákup techniky zber.dvora</t>
  </si>
  <si>
    <t>Dotácia SIEA Obnova budovy ZŠ</t>
  </si>
  <si>
    <t>Dotácia MŽPSR Vybudovanie vodovodu</t>
  </si>
  <si>
    <t>Dotácia BBSK na kultúrne podujatia</t>
  </si>
  <si>
    <t>KT MŽP Nákup techniky zberného dvora</t>
  </si>
  <si>
    <t>KT MŽP Vodozádržné opatrenia ZUŠ</t>
  </si>
  <si>
    <t>Vodozádržné opatrenia v areáli ZUŠ</t>
  </si>
  <si>
    <t>KT MPSVR Detské ihrisko</t>
  </si>
  <si>
    <t>KT MIRRI Rekonštrukcia amfiteátra</t>
  </si>
  <si>
    <t>KT MIRRI Obnova budovy ZŠ</t>
  </si>
  <si>
    <t>peňažné  fondy</t>
  </si>
  <si>
    <t>KT MŠSR Zvýšenie kapacity MŠ</t>
  </si>
  <si>
    <t>KT MŽP Vybudovanie vodovodu Teplica 1,2</t>
  </si>
  <si>
    <t>Rekonštrukcia obecných objektov</t>
  </si>
  <si>
    <t>Návrh viacročného rozpočtu obce Heľpa na roky 2025-2027 bol vyvesený na úradnej tabuli na pripomienkovanie dňa 29.11.2024</t>
  </si>
  <si>
    <t>Pripomienky OZ k návrhu predloženého viacročného rozpočtu na roky 2025 - 2027 boli zapracované dňa 28.11.2024</t>
  </si>
  <si>
    <t>Pripomienky finančnej komisie k návrhu predloženého viacročného rozpočtu na roky 2025-2027 boli zapracované dňa 28.11.2024.</t>
  </si>
  <si>
    <t>Rozpočet obce Heľpa na rok 2025 bol schválený OZ uz.č. 426/2024 dňa 17.12.2024</t>
  </si>
  <si>
    <t>Rozpočet obce Heľpa na roky 2026-2027 vzalo na vedomie OZ uz.č.426/2024 dňa 17.12.2024</t>
  </si>
  <si>
    <t>Obec Heľpa, Farská 588/2, 976 68 Heľpa</t>
  </si>
  <si>
    <t>Operatívna evidencia</t>
  </si>
  <si>
    <t>Por.č.</t>
  </si>
  <si>
    <t>Uz.č.</t>
  </si>
  <si>
    <t>RO č.</t>
  </si>
  <si>
    <t>zo dňa</t>
  </si>
  <si>
    <t>Rozpočtové opatrenie</t>
  </si>
  <si>
    <t>Zmena v príjmoch      v Eur</t>
  </si>
  <si>
    <t>Zmena vo výdavkoch v Eur</t>
  </si>
  <si>
    <t>1.</t>
  </si>
  <si>
    <t>RO ST č.1</t>
  </si>
  <si>
    <t>§14 ods.2 písm. b), c),d)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</si>
  <si>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</si>
  <si>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</si>
  <si>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</si>
  <si>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</si>
  <si>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</si>
  <si>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</si>
  <si>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</si>
  <si>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</si>
  <si>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</si>
  <si>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</si>
  <si>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</si>
  <si>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</si>
  <si>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</si>
  <si>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</si>
  <si>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</si>
  <si>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</si>
  <si>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</si>
  <si>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</si>
  <si>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</si>
  <si>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Poznámka: </t>
  </si>
  <si>
    <t>§ 14 ods. 2  písm.:</t>
  </si>
  <si>
    <t>a) presun rozpočtovaných prostriedkov v rámci schváleného rozpočtu, pričom sa nemenia celkové príjmy a celkové výdavky,</t>
  </si>
  <si>
    <t>b) povolené prekročenie a viazanie príjmov,</t>
  </si>
  <si>
    <t>c) povolené prekročenie a viazanie výdavkov,</t>
  </si>
  <si>
    <t>d) povolené prekročenie a viazanie finančných operácií.</t>
  </si>
  <si>
    <t>Schválil: Miroslav Lilko - starosta obce</t>
  </si>
  <si>
    <t>V Heľpe 30.1.2025</t>
  </si>
  <si>
    <t>rozpočtových opatrení za rok 2025</t>
  </si>
  <si>
    <t>uskutočnené úpravy v rozpočtových položkách:</t>
  </si>
  <si>
    <t>(zvýšenie/zníženie predchádzajúcej výšky rozpočtu  o uvedenú sumu)</t>
  </si>
  <si>
    <t>PRÍJMY</t>
  </si>
  <si>
    <t xml:space="preserve">Položka </t>
  </si>
  <si>
    <t>Názov</t>
  </si>
  <si>
    <t>Suma v Eur</t>
  </si>
  <si>
    <t>Bežný rozpočet</t>
  </si>
  <si>
    <t xml:space="preserve">Vlastný príjem ZUŠ </t>
  </si>
  <si>
    <t xml:space="preserve">Vlastný príjem ZŠ </t>
  </si>
  <si>
    <t>RO - školy spolu:</t>
  </si>
  <si>
    <t>Obec spolu:</t>
  </si>
  <si>
    <t>VÝDAVKY</t>
  </si>
  <si>
    <t>Názov prvku/projektu</t>
  </si>
  <si>
    <t>Suma</t>
  </si>
  <si>
    <t xml:space="preserve">presun BT pre ZUŠ </t>
  </si>
  <si>
    <t xml:space="preserve">presun BT na Základnú školu </t>
  </si>
  <si>
    <t>+ chýba, - minúť</t>
  </si>
  <si>
    <t>Vypracovala: Mgr. A.Tkáčiková</t>
  </si>
  <si>
    <t>Schválil: Miroslav Lilko</t>
  </si>
  <si>
    <t>Rozpočtové opatrenie starostu obce č. 1/2025</t>
  </si>
  <si>
    <t>Vlastný príjem ZŠ</t>
  </si>
  <si>
    <t>Rozpočtové opatrenie starostu obce č. 2/2025</t>
  </si>
  <si>
    <t>V Heľpe 7.2.2025</t>
  </si>
  <si>
    <t>BT MV SR - odmena skladníka CO</t>
  </si>
  <si>
    <t>Zapoj.nevyčerp.FP BT mr- Podpora OSL</t>
  </si>
  <si>
    <t>Zapoj.nevyčerp.FP BT mr- Den.stacionár na vratku</t>
  </si>
  <si>
    <t>Zapoj.nevyčerp.FP BT mr- OPS na vratku</t>
  </si>
  <si>
    <t>Zapoj.nevyčerp.FP BT mr- ZŠ prevádz.normatív 25</t>
  </si>
  <si>
    <t>Zapoj.nevyčerp.FP KT mr- EF Zníž.svetel.znečist.</t>
  </si>
  <si>
    <t>KT EF Zníž.svetel.znečistenia</t>
  </si>
  <si>
    <t>Zapoj.nevyčerp.FP KT mr- FPŠ - Obnova šport.infraštr.</t>
  </si>
  <si>
    <t>FPŠ Obnova šport.infraštruktúry</t>
  </si>
  <si>
    <t>OPS - vrátenie nevyčerp. FP 24</t>
  </si>
  <si>
    <t>DST - vrátenie nevyčerp. FP 24</t>
  </si>
  <si>
    <t>BT MV SR - register adries</t>
  </si>
  <si>
    <t>BT MV SR - register obyvateľov</t>
  </si>
  <si>
    <t>BT UUPV SR - stavebný poriadok</t>
  </si>
  <si>
    <t>STA - plat</t>
  </si>
  <si>
    <t>prenájom objekov</t>
  </si>
  <si>
    <t>Výťažok konkurz.konanie, cent.vyrovnania</t>
  </si>
  <si>
    <t>BT UPSVR  AČ - PUPN</t>
  </si>
  <si>
    <t>BT RÚŠS - MŠ normatív</t>
  </si>
  <si>
    <t>BT RÚŠS - ZŠ normatív</t>
  </si>
  <si>
    <t>BT RÚŠS - ZŠ lyžiarsky kurz</t>
  </si>
  <si>
    <t>VS - poistné</t>
  </si>
  <si>
    <t>VU3V - materiál</t>
  </si>
  <si>
    <t>VU3V - kurz.rozdiely</t>
  </si>
  <si>
    <t>AČ - náradie, OOPP, poistenie</t>
  </si>
  <si>
    <t>SS - príplatok, poštovné, materiál</t>
  </si>
  <si>
    <t>OSL - vrátenie nevyčerp. FP 24, odmeny</t>
  </si>
  <si>
    <t>Register adries - plat</t>
  </si>
  <si>
    <t>Register obyvateľov - poistné,materiál</t>
  </si>
  <si>
    <t>MATR - plat, poistné, materiál</t>
  </si>
  <si>
    <t>RO - DDS, odmeny</t>
  </si>
  <si>
    <t>CO - DVP skladník</t>
  </si>
  <si>
    <t>MŠ - projekt plat, odmeny, poistné, uč.pomôcky,</t>
  </si>
  <si>
    <t>ŠKJ - DDS, náhrady, energie</t>
  </si>
  <si>
    <t>Zapoj.nevyčerp.FP BT mr- ŠKJ stravné</t>
  </si>
  <si>
    <t>Zapoj.nevyčerp.FP BT mr- UPSVR dotácia strava na vratku</t>
  </si>
  <si>
    <t>Vratka nevyčerp.FP HN strava detí z r.24,potraviny, vybavenie</t>
  </si>
  <si>
    <t>Dobropisy - energie, vyúčtovanie služieb</t>
  </si>
  <si>
    <t>Obec bez rozpočtových organizácií:</t>
  </si>
  <si>
    <t>zmena ST 1</t>
  </si>
  <si>
    <t>skutočnosť 1</t>
  </si>
  <si>
    <t>schválený 2025</t>
  </si>
  <si>
    <t xml:space="preserve">Rozpočet obce Heľpa na rok 2025 bol vyvesený na úradnej tabuli na pripomienkovanie dňa </t>
  </si>
  <si>
    <t xml:space="preserve">Pripomienky finančnej komisie k návrhu úpravy Rozpočtu obce Heľpa na rok 2025 rozpočtovým opatrením č. 1/2025 boli zapracované dňa </t>
  </si>
  <si>
    <t xml:space="preserve">Pripomienky OZ k návrhu úpravy Rozpočtu obce Heľpa na rok 2025 rozpočtovým opatrením č. 1/2025 boli zapracované dňa </t>
  </si>
  <si>
    <t xml:space="preserve">Upravený Rozpočet obce Heľpa na rok 2025 rozpočtovým opatrením č. 1/2025 bol schválený OZ uz.č.  /2025 dňa </t>
  </si>
  <si>
    <t>zapojenie nevyčerp.prostr.mr. ZŠ prev.normatív</t>
  </si>
  <si>
    <t>zapojenie nevyčerp.prostr.mr. MIRRI OPS</t>
  </si>
  <si>
    <t xml:space="preserve">zapojenie rezervného fondu </t>
  </si>
  <si>
    <t>Nákup komunál.techniky</t>
  </si>
  <si>
    <t>Vybudovanie ver.vodovodu Teplica 1,2</t>
  </si>
  <si>
    <t>Obnova šport.infraštruktúry</t>
  </si>
  <si>
    <t>Zvýšenie kapacity MŠ</t>
  </si>
  <si>
    <t>% podiel</t>
  </si>
  <si>
    <t>Heľpa 17.12.2024</t>
  </si>
  <si>
    <t>Zníž.svetel.znečistenia (výmena svietidiel)+ doplnenie</t>
  </si>
  <si>
    <t>Heľpa 30.1.2025</t>
  </si>
  <si>
    <t>zmena OZ 1</t>
  </si>
  <si>
    <t>BT RÚŠS - MŠ nenorm. Vých. a vzdelávanie</t>
  </si>
  <si>
    <t>BT RÚŠS - MŠ nenorm.soc.znevýh.prostr.</t>
  </si>
  <si>
    <t>BT RÚŠS - ZŠ nenormatív.soc.znevýh.prostr.</t>
  </si>
  <si>
    <t>BT RÚŠS - ZŠ nenormatív. Škol.podpor.tím</t>
  </si>
  <si>
    <t>BT RÚŠS - ZŠ nenormatív. vzdel.poukazy</t>
  </si>
  <si>
    <t>Projekt Zvýš.kapaciy MŠ -DVP projekt.manažment</t>
  </si>
  <si>
    <t>Rozpočtové opatrenie OZ č.1/2025</t>
  </si>
  <si>
    <t>Vodozádržné opatrenia ZUŠ- exter.manažment</t>
  </si>
  <si>
    <t>ČOV - energie</t>
  </si>
  <si>
    <t>ŠA - energie</t>
  </si>
  <si>
    <t>KUL - MDD divadelný progrm</t>
  </si>
  <si>
    <t>OU - energie, údržba IS APV</t>
  </si>
  <si>
    <t>Rekonštrukcia amfiteátra+ st.dozor</t>
  </si>
  <si>
    <t>RO OZ č.1</t>
  </si>
  <si>
    <t>§14 ods.2 písm. b), c)</t>
  </si>
  <si>
    <t>RO ST č.2</t>
  </si>
  <si>
    <t>zmena ST 2</t>
  </si>
  <si>
    <t>Dotácia MŽPSR Vyb. Vodozádrž.opatrení ZUŠ</t>
  </si>
  <si>
    <t>Dotácia RÚŠS ne/normatív na vých.vzdelávanie v MŠ</t>
  </si>
  <si>
    <t>VEO - energie</t>
  </si>
  <si>
    <t>Fin.dar - vydanie knihy</t>
  </si>
  <si>
    <t>Fin. dar - Deň učiteľov</t>
  </si>
  <si>
    <t xml:space="preserve">PD - drevenica šport.areál </t>
  </si>
  <si>
    <t>PO - energie</t>
  </si>
  <si>
    <t>Rekonštrukcia amfiteátra+ st.dozor, neopr.výdavky</t>
  </si>
  <si>
    <t>Obnova budovy ZUŠ - exter.proj.manažment</t>
  </si>
  <si>
    <t>KT Rekonštrukcia amfiteátra</t>
  </si>
  <si>
    <t>KT Vodozádržné opatrenia ZUŠ</t>
  </si>
  <si>
    <t>Záujmové vzdelávanie (semináre,kurzy,školenia), Obnova ZUŠ</t>
  </si>
  <si>
    <t>Rozpočtové opatrenie OZ č.2/2025</t>
  </si>
  <si>
    <t>Reakizačná zábezpeka stavby Obnova budovy ZŠ- vrátenie</t>
  </si>
  <si>
    <t>Heľpa 21.3.2025</t>
  </si>
  <si>
    <t>KT PPA - Turistická infraštruktúra</t>
  </si>
  <si>
    <t>V Heľpe 27.2.2025</t>
  </si>
  <si>
    <t>nájom iných objektov</t>
  </si>
  <si>
    <t>príjem z kult.čin., vstupné</t>
  </si>
  <si>
    <t>OU - telekom.technika, prístroje</t>
  </si>
  <si>
    <t>MATR - materiál,údržba softvéru</t>
  </si>
  <si>
    <t>RO - servis,poistenie vozidiel</t>
  </si>
  <si>
    <t>OH - čipy,materiál</t>
  </si>
  <si>
    <t>ČOV - údržba, služby</t>
  </si>
  <si>
    <t>ZD - servis, poistenie vozidiel</t>
  </si>
  <si>
    <t>MŠ - projekt plat,poistné,učeb.prostriedky, exkurzie, výcviky, energie</t>
  </si>
  <si>
    <t>OSL- projekt plat, príplatky</t>
  </si>
  <si>
    <t>Rozpočtové opatrenie starostu obce č. 3/2025</t>
  </si>
  <si>
    <t>V Heľpe 20.3.2025</t>
  </si>
  <si>
    <t>Pripomienky finančnej komisie k návrhu úpravy Rozpočtu obce Heľpa na rok 2025 rozpočtovým opatrením č. 1/2025 boli zapracované dňa 25.2.2025</t>
  </si>
  <si>
    <t>Pripomienky OZ k návrhu úpravy Rozpočtu obce Heľpa na rok 2025 rozpočtovým opatrením č. 1/2025 boli zapracované dňa 21.2.2025</t>
  </si>
  <si>
    <t>Upravený Rozpočet obce Heľpa na rok 2025 rozpočtovým opatrením č. 1/2025 bol schválený OZ uz.č. 473/2025 dňa 27.2.2025</t>
  </si>
  <si>
    <t>zmena OZ 2</t>
  </si>
  <si>
    <t>KT PPA Turistická infraštruktúra</t>
  </si>
  <si>
    <t>realizačná zábezpeka Obnova budovy ZŠ</t>
  </si>
  <si>
    <t xml:space="preserve">Pripomienky finančnej komisie k návrhu úpravy Rozpočtu obce Heľpa na rok 2025 rozpočtovým opatrením č. 2/2025 boli zapracované dňa </t>
  </si>
  <si>
    <t>Pripomienky OZ k návrhu úpravy Rozpočtu obce Heľpa na rok 2025 rozpočtovým opatrením č. 2/2025 boli zapracované dňa 21.3.2025</t>
  </si>
  <si>
    <t>nájom iných objektov, pozemkov</t>
  </si>
  <si>
    <t>CD - poistenie, údržba</t>
  </si>
  <si>
    <t>473/2025</t>
  </si>
  <si>
    <t>RO ST č.3</t>
  </si>
  <si>
    <t>RO OZ č.2</t>
  </si>
  <si>
    <t>§14 ods.2 písm. b), c), d)</t>
  </si>
  <si>
    <t>Heľpa 27.2.2025</t>
  </si>
  <si>
    <t>OH - údržba softvéru, manipulačný poplatok, zber odpadu</t>
  </si>
  <si>
    <t>Rozpočet obce Heľpa na rok 2025 bol vyvesený na úradnej tabuli na pripomienkovanie dňa 21.3.2025</t>
  </si>
  <si>
    <t>Obnova šport. Infraštruktúry, tech.dozor</t>
  </si>
  <si>
    <t>Obnova šport.infraštruktúry - tech.dozor</t>
  </si>
  <si>
    <t>0433</t>
  </si>
  <si>
    <t xml:space="preserve">Externý projektový manažment </t>
  </si>
  <si>
    <t>Externý projektový manažment - Obnova budovy ZUŠ</t>
  </si>
  <si>
    <t>V Heľpe 27.3.2025</t>
  </si>
  <si>
    <t>OU - údržba softvéru, zabezpeč.zariadenia</t>
  </si>
  <si>
    <t>PERS - údržba softvéru,PN</t>
  </si>
  <si>
    <t>FIN - dane, spr.poplatky</t>
  </si>
  <si>
    <t>MATR - poistné,materiál</t>
  </si>
  <si>
    <t>VS - poštovné, materiál</t>
  </si>
  <si>
    <t>RO - plat, energie, poistenie, údržba, PN</t>
  </si>
  <si>
    <t>CO - príplatok, dezinf.materiál</t>
  </si>
  <si>
    <t>GDPR, údržba kamer.systému</t>
  </si>
  <si>
    <t>OPS - prístroje, prídel SF</t>
  </si>
  <si>
    <t>MŠ - energie, internet, telefón,podujatia</t>
  </si>
  <si>
    <t>KUL - kvety</t>
  </si>
  <si>
    <t>KNI - plat, poistné,knihy</t>
  </si>
  <si>
    <t>OSL - plat, DVP</t>
  </si>
  <si>
    <t>AČ - stroje, náradie</t>
  </si>
  <si>
    <t>DST - plat, príplatok, materiál, poistenie</t>
  </si>
  <si>
    <t>DC - energie</t>
  </si>
  <si>
    <t>HN ŠKJ - inter.vybavenie, potraviny</t>
  </si>
  <si>
    <t>Rozpočtové opatrenie starostu obce č. 4/2025</t>
  </si>
  <si>
    <t>náhrada škody na majetku</t>
  </si>
  <si>
    <t>BT BBSK - DFF Kolovrátok</t>
  </si>
  <si>
    <t>MŠ - Podpora integrácie detí z Ukrajiny - uč.pomôcky</t>
  </si>
  <si>
    <t>Rozpočtové opatrenie OZ č.3/2025</t>
  </si>
  <si>
    <t>Realizačná zábezpeka stavby Obnova budovy ZŠ</t>
  </si>
  <si>
    <t>V Heľpe 25.4.2025</t>
  </si>
  <si>
    <t>skutočnosť 3</t>
  </si>
  <si>
    <t>zmena ST 3</t>
  </si>
  <si>
    <t>zmena OZ 3</t>
  </si>
  <si>
    <t>Upravený Rozpočet obce Heľpa na rok 2025 rozpočtovým opatrením č. 2/2025 bol schválený OZ uz.č. 490/2025 dňa 27.3.2025</t>
  </si>
  <si>
    <t>490/2025</t>
  </si>
  <si>
    <t>Rekonštrukcia náučného chodníka -Turistická infraštruktúra</t>
  </si>
  <si>
    <t>Heľpa 5.5..2025</t>
  </si>
  <si>
    <t>V Heľpe 5.5.2025</t>
  </si>
  <si>
    <t>Rekonštrukcia náučného chodníka - Turistická infraštruktúra</t>
  </si>
  <si>
    <t>Refundácie služieb, náhrada škody za kontajnery</t>
  </si>
  <si>
    <t>Prenájom nebyt.priestorov Rehablitácia, nájom iných</t>
  </si>
  <si>
    <t>BT RÚŠS Integrácia detí z Ukrajiny ZŠ</t>
  </si>
  <si>
    <t>BT RÚŠS Integrácia detí z Ukrajiny MŠ</t>
  </si>
  <si>
    <t>BT RÚŠS ZŠ odchodné</t>
  </si>
  <si>
    <t>BT FPU - projekty Knižnica, Naše korene</t>
  </si>
  <si>
    <t>BT OkU starostl.o život.prostredie</t>
  </si>
  <si>
    <t>OU - USB, poistenie, materiál</t>
  </si>
  <si>
    <t>MATR - plat, materiál</t>
  </si>
  <si>
    <t>DPO - údržba voz., materiál</t>
  </si>
  <si>
    <t>OPS - poistenie, materiál</t>
  </si>
  <si>
    <t>PERS - odstupné, odchodné,plat</t>
  </si>
  <si>
    <t>SpU STA - príspevok do úradovne, služby, poštovné</t>
  </si>
  <si>
    <t>ŽP - zeleň náhr.výsadba, prenájom</t>
  </si>
  <si>
    <t>VEO - údržba, prenájom</t>
  </si>
  <si>
    <t xml:space="preserve">RO - energie, PHM, </t>
  </si>
  <si>
    <t>Rozhlas- údržba, prenájom</t>
  </si>
  <si>
    <t>MŠ - učeb.pomôcky, materiál, prepravné</t>
  </si>
  <si>
    <t>ŠKJ - cestovné, energie</t>
  </si>
  <si>
    <t>KUL - FPU projekty - podujatia Knižnica, Naše korene</t>
  </si>
  <si>
    <t>PND - osob.príjemca rod.prídavkov</t>
  </si>
  <si>
    <t xml:space="preserve">BT UPSVR - osob.príjemca PND </t>
  </si>
  <si>
    <t>KUL - BBSK DFF Kolovrátok</t>
  </si>
  <si>
    <t>SS - prísp. nev.poskyt.soc.služieb</t>
  </si>
  <si>
    <t>zmena ST 4</t>
  </si>
  <si>
    <t>Rozpočet obce Heľpa na rok 2025 bol vyvesený na úradnej tabuli na pripomienkovanie dňa 25.4.2025</t>
  </si>
  <si>
    <t xml:space="preserve">Pripomienky finančnej komisie k návrhu úpravy Rozpočtu obce Heľpa na rok 2025 rozpočtovým opatrením č. 3/2025 boli zapracované dňa </t>
  </si>
  <si>
    <t>Pripomienky OZ k návrhu úpravy Rozpočtu obce Heľpa na rok 2025 rozpočtovým opatrením č. 3/2025 boli zapracované dňa 25.4.2025</t>
  </si>
  <si>
    <t>Upravený Rozpočet obce Heľpa na rok 2025 rozpočtovým opatrením č. 2/2025 bol schválený OZ uz.č.490/2025 dňa 27.3.2025</t>
  </si>
  <si>
    <t>Upravený Rozpočet obce Heľpa na rok 2025 rozpočtovým opatrením č. 3/2025 bol schválený OZ uz.č. 503/2025 dňa 5.5.2025</t>
  </si>
  <si>
    <t>RO ST č.4</t>
  </si>
  <si>
    <t>Rozpočtové opatrenie OZ č.4/2025</t>
  </si>
  <si>
    <t>prenájom nebyt priestorov fotoateliér</t>
  </si>
  <si>
    <t>TI - Rekonštrukcia náučného chodníka</t>
  </si>
  <si>
    <t>Rozpočtové opatrenie starostu obce č. 5/2025</t>
  </si>
  <si>
    <t>KUL - FPU projekt DFF Kolovrátok</t>
  </si>
  <si>
    <t>BT FPU - DFF Kolovrátok</t>
  </si>
  <si>
    <t>Modernizácia telocvične</t>
  </si>
  <si>
    <t>KT MCRŠ - Modernizácia telocvične</t>
  </si>
  <si>
    <t>Modernizácia telocvične ZŠ</t>
  </si>
  <si>
    <t>V Heľpe 21.5.2025</t>
  </si>
  <si>
    <t>503/2025</t>
  </si>
  <si>
    <t>RO OZ č.3</t>
  </si>
  <si>
    <t>RO ST č.5</t>
  </si>
  <si>
    <t>RO OZ č.4</t>
  </si>
  <si>
    <t>OSL - plat</t>
  </si>
  <si>
    <t>Heľpa 21.5..2025</t>
  </si>
  <si>
    <t>skutočnosť 4</t>
  </si>
  <si>
    <t>prenájom nebytových priestorov, iných obj.</t>
  </si>
  <si>
    <t>KT PPA Rekonštr.Náuč.chodníka, Tur.infraštruktúra</t>
  </si>
  <si>
    <t>Kul.aktivity, Krajská prehliadka v prednese Jednota dôchodcov</t>
  </si>
  <si>
    <t>zmena OZ 4</t>
  </si>
  <si>
    <t>KT MCRŠ Modernizácia telocvične ZŠ</t>
  </si>
  <si>
    <t>AMF - služby, revízie</t>
  </si>
  <si>
    <t>RO - energie WC, OP587, fotoateliér</t>
  </si>
  <si>
    <t>služby k prenájmu fotoateliér</t>
  </si>
  <si>
    <t>BT EF environ.opatrenia</t>
  </si>
  <si>
    <t>BT MVSR odmena matrika</t>
  </si>
  <si>
    <t>BT RÚŠS MŠ - normatív.FP odmeny</t>
  </si>
  <si>
    <t>BT RÚŠS ZŠ - normatív.FP odmeny</t>
  </si>
  <si>
    <t>zmena ST 5</t>
  </si>
  <si>
    <t>OU - odmeny orig.kompetencie</t>
  </si>
  <si>
    <t>KUL - Deň matiek</t>
  </si>
  <si>
    <t>PERS - poistné, nemoc</t>
  </si>
  <si>
    <t>CIN - poistné, materiál, údržba, prenájom,služby</t>
  </si>
  <si>
    <t>OPS - interiér.vybavenie,stroje, vratky</t>
  </si>
  <si>
    <t>AMF - energie,služby</t>
  </si>
  <si>
    <t>ŽP - materiál, služby</t>
  </si>
  <si>
    <t>MATR - odmena</t>
  </si>
  <si>
    <t>MŠ - odmeny</t>
  </si>
  <si>
    <t>OH - materiál environ.opatrenia</t>
  </si>
  <si>
    <t>Rozpočtové opatrenie starostu obce č. 6/2025</t>
  </si>
  <si>
    <t>BT RÚŠS ZŠ - nenormatív. Edukačné publikácie</t>
  </si>
  <si>
    <t>V Heľpe 16.6.2025</t>
  </si>
  <si>
    <t>Dotácia MFSR odmeny uz.vlády</t>
  </si>
  <si>
    <t>Transfer MFSR pre Školský klub detí</t>
  </si>
  <si>
    <t>Transfer MFSR pre Základnú umeleckú školu</t>
  </si>
  <si>
    <t>Rozpočtové opatrenie OZ č.5/2025</t>
  </si>
  <si>
    <t>V Heľpe 29.5.2025</t>
  </si>
  <si>
    <t>518/2025</t>
  </si>
  <si>
    <t>Rozpočet obce Heľpa na rok 2025 bol vyvesený na úradnej tabuli na pripomienkovanie dňa 23.5.2025</t>
  </si>
  <si>
    <t xml:space="preserve">Pripomienky finančnej komisie k návrhu úpravy Rozpočtu obce Heľpa na rok 2025 rozpočtovým opatrením č. 4/2025 boli zapracované dňa </t>
  </si>
  <si>
    <t>Pripomienky OZ k návrhu úpravy Rozpočtu obce Heľpa na rok 2025 rozpočtovým opatrením č. 4/2025 boli zapracované dňa 23.5.2025</t>
  </si>
  <si>
    <t>Upravený Rozpočet obce Heľpa na rok 2025 rozpočtovým opatrením č. 4/2025 bol schválený OZ uz.č. 518/2025 dňa 29.5.2025</t>
  </si>
  <si>
    <t>zmena OZ 5</t>
  </si>
  <si>
    <t>BT UPSVR - projekt Podpora OSL</t>
  </si>
  <si>
    <t>BT UPSVR - projekt AČ PUPN 3</t>
  </si>
  <si>
    <t>OSL - projekt Podpora OSL plat, poistné</t>
  </si>
  <si>
    <t>CIN - materiál</t>
  </si>
  <si>
    <t>KT MCRŠ Rozvoj cestovného ruchu</t>
  </si>
  <si>
    <t>Zapoj. PF na investičné projekty</t>
  </si>
  <si>
    <t>OH - čipy, materiál</t>
  </si>
  <si>
    <t>CD - príplatky</t>
  </si>
  <si>
    <t>Rozvoj cestovného ruchu - oplotenie amfiteátra</t>
  </si>
  <si>
    <t>zmena ST 6</t>
  </si>
  <si>
    <t>KT MCRŠ Rozvoj cestovného ruchu -Oplotenie amfiteátra</t>
  </si>
  <si>
    <t>Rozvoj cestovného ruchu - Oplotenie amfiteátra</t>
  </si>
  <si>
    <t>Rozpočet obce Heľpa na rok 2025 bol vyvesený na úradnej tabuli na pripomienkovanie dňa 12.6.2025</t>
  </si>
  <si>
    <t>Pripomienky OZ k návrhu úpravy Rozpočtu obce Heľpa na rok 2025 rozpočtovým opatrením č. 5/2025 boli zapracované dňa 12.6.2025</t>
  </si>
  <si>
    <t>RO ST č.6</t>
  </si>
  <si>
    <t>RO OZ č.5</t>
  </si>
  <si>
    <t>Dar ALTO - HDST</t>
  </si>
  <si>
    <t>HDST - škola tanca</t>
  </si>
  <si>
    <t>SpU stavebný - služby</t>
  </si>
  <si>
    <t>PO - technika, materiál, OOPP, servis z dot.</t>
  </si>
  <si>
    <t>Dotácia MO Matica slovenská - transfer, služby</t>
  </si>
  <si>
    <t>V Heľpe 19.6.2025</t>
  </si>
  <si>
    <t>Heľpa 19.6.2025</t>
  </si>
  <si>
    <t>MR - materiál, údržba, prenájom, služby</t>
  </si>
  <si>
    <t>Zvýšenie kapacity MŠ, zdroje</t>
  </si>
  <si>
    <t>ŠK Heľpa - príspevok, materiál, poistenie, služby</t>
  </si>
  <si>
    <t>VEO - materiál,prenájom, služby</t>
  </si>
  <si>
    <t>ZD - poistenie, manažment,služby, zdroje</t>
  </si>
  <si>
    <t>CD - poistenie</t>
  </si>
  <si>
    <t>RO - poistenie, poplatky</t>
  </si>
  <si>
    <t>ŠKJ - prístroje, materiál,plat, DVP, nemoc</t>
  </si>
  <si>
    <t>AMF - materiál, služby</t>
  </si>
  <si>
    <t>ŽP - poistné ZP</t>
  </si>
  <si>
    <t>AČ- projekt PUPN 3 - materiál, OOPP,poistenie</t>
  </si>
  <si>
    <t>537/2025</t>
  </si>
  <si>
    <t>BT MFSR odmeny uz.vlády</t>
  </si>
  <si>
    <t>presun BT pre ZUŠ - odmeny MF</t>
  </si>
  <si>
    <t>presun BT pre ZUŠ -odmeny MF</t>
  </si>
  <si>
    <t>presun BT na Základnú školu, odmeny MF</t>
  </si>
  <si>
    <t>SpU STA - stav.poriadok</t>
  </si>
  <si>
    <t>BT obce stavebný poriadok</t>
  </si>
  <si>
    <t>BT UPUSP stavebný poriadok</t>
  </si>
  <si>
    <t>OU - údržba sotvéru, prenájom, služby, vratka odmeny</t>
  </si>
  <si>
    <t>FIN - bankové poplatky</t>
  </si>
  <si>
    <t>STA-plat, poistné, údržba portálu, materiál, tel, služby,prídel SF</t>
  </si>
  <si>
    <t>ZD - energie, telefón</t>
  </si>
  <si>
    <t>MR- plat, poistné, poplatky</t>
  </si>
  <si>
    <t>MŠ - vodné, pomôcky</t>
  </si>
  <si>
    <t>DST - plat,príplatky,odmeny, poistné</t>
  </si>
  <si>
    <t>Pripomienky finančnej komisie k návrhu úpravy Rozpočtu obce Heľpa na rok 2025 rozpočtovým opatrením č. 5/2025 boli zapracované dňa 19.6.2025</t>
  </si>
  <si>
    <t>Upravený Rozpočet obce Heľpa na rok 2025 rozpočtovým opatrením č. 5/2025 bol schválený OZ uz.č.537/2025 dňa 19.6.2025</t>
  </si>
  <si>
    <t>skutočnosť 6</t>
  </si>
  <si>
    <t>Transfer MFSR odmeny pre Školský klub detí</t>
  </si>
  <si>
    <t>Transfer MFSR odmeny pre Základnú umeleckú školu</t>
  </si>
  <si>
    <t>Náhrada škody za kontajnery</t>
  </si>
  <si>
    <t>Refundácie služieb</t>
  </si>
  <si>
    <t>Rozpočtové opatrenie starostu obce č. 7/2025</t>
  </si>
  <si>
    <t>Správne poplatky stavebný úrad, matrika</t>
  </si>
  <si>
    <t>BT RÚŠS ZŠ normatív</t>
  </si>
  <si>
    <t>BT RÚŠS MŠ normatív</t>
  </si>
  <si>
    <t>BT RÚŠS MŠ nenormatívne-pedagog.asistent</t>
  </si>
  <si>
    <t>BT RÚŠS ZŠ nenormatívne škola v prírode</t>
  </si>
  <si>
    <t>BT RÚŠS ZŠ nenormatívne ped.asistent</t>
  </si>
  <si>
    <t>BT RÚŠS ZŠ nenormatívne Škol.podpor.tím</t>
  </si>
  <si>
    <t>KT RÚŠS ZŠ havária kotolne</t>
  </si>
  <si>
    <t>V Heľpe 29.7.2025</t>
  </si>
  <si>
    <t>OU - materiál, SF</t>
  </si>
  <si>
    <t>DS - plat,poistné,SF, materiál</t>
  </si>
  <si>
    <t>RO - energie,vodné</t>
  </si>
  <si>
    <t xml:space="preserve">Preventívne prehliadky </t>
  </si>
  <si>
    <t>OH - materiál, zber</t>
  </si>
  <si>
    <t>ZD - plat, príplatky</t>
  </si>
  <si>
    <t>MŠ - BT plat, poistné, vybavenie,prístroje, materiál, údržba</t>
  </si>
  <si>
    <t>ŽP - plat, poistné, PHM</t>
  </si>
  <si>
    <t>Protipovodňové opatrenia materiál, služby</t>
  </si>
  <si>
    <t>MATR - MV odmena, poistné, tel.sl.</t>
  </si>
  <si>
    <t>Vodozádrž.opatr. ZUŠ ref.PPD,stavba</t>
  </si>
  <si>
    <t>ZŠ - havária kotolne</t>
  </si>
  <si>
    <t>zmena ST 7</t>
  </si>
  <si>
    <t>Havária kotolne ZŠ</t>
  </si>
  <si>
    <t>Heľpa 29.7.2025</t>
  </si>
  <si>
    <t>RO ST č.7</t>
  </si>
  <si>
    <t>Rozpočtové opatrenie starostu obce č. 8/2025</t>
  </si>
  <si>
    <t>Výnos dane územ.samospráve</t>
  </si>
  <si>
    <t>Správne poplatky stavebný úrad</t>
  </si>
  <si>
    <t>BT UPSVR rod.prídavky</t>
  </si>
  <si>
    <t>BT FPU Doplnenie kniž.fondu</t>
  </si>
  <si>
    <t>OU - poistné</t>
  </si>
  <si>
    <t>RO - vodné, PHM, geom.plány,posudky</t>
  </si>
  <si>
    <t>PO - cestovné,časopisy, prac.odevy,popl.frekvencie</t>
  </si>
  <si>
    <t>OH - poistné, vývoz, zneškod. odpadov</t>
  </si>
  <si>
    <t>ZD - výp.technika,služby,exter.manažment</t>
  </si>
  <si>
    <t>MŠ - materiál,prepravné</t>
  </si>
  <si>
    <t>Zvýšenie kapacity MŠ -RP</t>
  </si>
  <si>
    <t>0960</t>
  </si>
  <si>
    <t>ŠKJ - poistné, stroje, materiál,služby</t>
  </si>
  <si>
    <t>KUL- spolufin.projektov FPU</t>
  </si>
  <si>
    <t>Spoloč.kult,šport.aktivity, FP SZPB</t>
  </si>
  <si>
    <t>VO - materiál, údržba,prenájom</t>
  </si>
  <si>
    <t>DST - plat, vodné,služby</t>
  </si>
  <si>
    <t>Prídavky na deti</t>
  </si>
  <si>
    <t>V Heľpe 19.8.2025</t>
  </si>
  <si>
    <t>RO ST č.8</t>
  </si>
  <si>
    <t>zmena ST 8</t>
  </si>
  <si>
    <t>Obnova budovy ZUŠ,  autor.dozor</t>
  </si>
  <si>
    <t>Rozpočtové opatrenie starostu obce č. 9/2025</t>
  </si>
  <si>
    <t>presun BT pre ZUŠ</t>
  </si>
  <si>
    <t>Reakizačná zábezpeka stavby Obnova budovy ZŠ</t>
  </si>
  <si>
    <t>Zvýšenie kapacity MŠ + autorský dozor</t>
  </si>
  <si>
    <t>Zvýšenie kapacity MŠ autorský dohľad</t>
  </si>
  <si>
    <t>DST - plat, poistné</t>
  </si>
  <si>
    <t>Vybudovanie vodomernej šachty pre WC na AMF</t>
  </si>
  <si>
    <t>zmena OZ 6</t>
  </si>
  <si>
    <t>zmena ST 9</t>
  </si>
  <si>
    <t>Rozpočtové opatrenie OZ č.6/2025</t>
  </si>
  <si>
    <t>KT FPU - Prírodný amfiteáter - komunitný priestor PPD</t>
  </si>
  <si>
    <t>KT MIRRI Obnova budovy ZUŠ</t>
  </si>
  <si>
    <t>Obnova budovy ZUŠ</t>
  </si>
  <si>
    <t xml:space="preserve">fondy </t>
  </si>
  <si>
    <t>zmena</t>
  </si>
  <si>
    <t>z rezervy</t>
  </si>
  <si>
    <t>Výkaz výmer rekonštrukcia športovej infraštruktúry (budovy štoadión)</t>
  </si>
  <si>
    <t>RO ST č.9</t>
  </si>
  <si>
    <t>RO OZ č.6</t>
  </si>
  <si>
    <t>V Heľpe 25.9.2025</t>
  </si>
  <si>
    <t>OPS - plat, poistné, materiál,vybavenie</t>
  </si>
  <si>
    <t>Havarijný stav plynovej kotolne ZŠ</t>
  </si>
  <si>
    <t>DF</t>
  </si>
  <si>
    <t>ČOV technické zariadenia, PPD</t>
  </si>
  <si>
    <t>Dobudovanie kanalizácie I.etapa</t>
  </si>
  <si>
    <t>MŠ výmena strešnej krytiny, úprava výdajne stravy</t>
  </si>
  <si>
    <t>Modernizácia športovej infraštruktúry</t>
  </si>
  <si>
    <t>Zníž.svetel.znečistenia (výmena svietidiel, dopln.r.25)</t>
  </si>
  <si>
    <t>Zníž.svetel.znečistenia (výmena svietidiel, dopln. r.24)</t>
  </si>
  <si>
    <t>Zníž.svetel.znečistenia (výmena svietidiel r.25+ doplnenie)</t>
  </si>
  <si>
    <t>Zelená infraštr.-Komunitná záhrada</t>
  </si>
  <si>
    <t>Zelená infraštruktúra - Komunitná záhrada</t>
  </si>
  <si>
    <t>KT EF Zelená infraštruktúra-Komunitná záhrada</t>
  </si>
  <si>
    <t>KT FPŠ Modernizácia šport.infraštruktúry</t>
  </si>
  <si>
    <t>KT EF Zníž.svetel.znečistenia (výmena svietidiel 25)</t>
  </si>
  <si>
    <t>KT EF Obnova budovy ZUŠ</t>
  </si>
  <si>
    <t>OSL - plat, poistné</t>
  </si>
  <si>
    <t>RO - svetelný pútač, údržba budov</t>
  </si>
  <si>
    <t>FPU PPD - Prírodný amfiteáter - komunitný priestor</t>
  </si>
  <si>
    <t>Nákup budov</t>
  </si>
  <si>
    <t>ČOV - PPD, technické zariadenia, kanalizácia</t>
  </si>
  <si>
    <t>Obnova šport.infraštruktúry, tech.dozor</t>
  </si>
  <si>
    <t xml:space="preserve">FPU PPD - Prírodný amfiteáter - komunitný priestor </t>
  </si>
  <si>
    <t>Heľpa 25.9.2025</t>
  </si>
  <si>
    <t>Vybud.vodomernej šachty, prípojky pre WC amfiteáter</t>
  </si>
  <si>
    <t>príjem z refundácie vyúčt.služieb</t>
  </si>
  <si>
    <t>BT MF SR odmeny OK</t>
  </si>
  <si>
    <t>Dotácia MIRRI SR na miestne občianske preventívne služby</t>
  </si>
  <si>
    <t>BT MIRRI Obč.poriad.služba</t>
  </si>
  <si>
    <t>OU - odmeny MF OK, služby, cestovné</t>
  </si>
  <si>
    <t>FIN- plat,príplatky,poistné</t>
  </si>
  <si>
    <t>PERS - plat, poistné</t>
  </si>
  <si>
    <t>VS- materiál, SF</t>
  </si>
  <si>
    <t>CIN - PHM, údržba</t>
  </si>
  <si>
    <t>RO- PHM, údržba, nájom zariad.</t>
  </si>
  <si>
    <t>PO- náradie, materiál, OOPP, servis, služby</t>
  </si>
  <si>
    <t>CO - plat, príplatky, oistné</t>
  </si>
  <si>
    <t>CD - poistenie, SF</t>
  </si>
  <si>
    <t>OH - plat, príplatky</t>
  </si>
  <si>
    <t>ZD - plat, príplatky, poistenie, služby</t>
  </si>
  <si>
    <t>MŠ, PA - plat, poistné</t>
  </si>
  <si>
    <t>KUL -kvety, súťaže</t>
  </si>
  <si>
    <t>zdr.prehliadky PO, OSL</t>
  </si>
  <si>
    <t>HN - MŠ fin.príspevok, potraviny</t>
  </si>
  <si>
    <t>KT FPU PPD Prírodný amfiteáter-komunitný priestor</t>
  </si>
  <si>
    <t>KT EF Zelená infraštruktúra- Komunitná záhrada</t>
  </si>
  <si>
    <t>KT RÚŠS Havarijný stav plynovej kotolne ZŠ</t>
  </si>
  <si>
    <t xml:space="preserve">PPD - Prírodný amfiteáter - komunitný priestor </t>
  </si>
  <si>
    <t>Dobud.kanalizácie,Obnova ČOV</t>
  </si>
  <si>
    <t>Zelená infraštruktúra-Komunitná záhrada</t>
  </si>
  <si>
    <t>0641</t>
  </si>
  <si>
    <t>Zníženie svetelného znečistenia (výmena svietidiel ver. osvet.24)</t>
  </si>
  <si>
    <t>Zníženie svetelného znečistenia (výmena svietidiel ver. osvet.25)</t>
  </si>
  <si>
    <t>Modernizácia šport.infraštruktúry</t>
  </si>
  <si>
    <t>Vybud.vodomernej šachty, prípojky k objektu WC na  amfiteátri</t>
  </si>
  <si>
    <t>Upravený Rozpočet obce Heľpa na rok 2025 rozpočtovým opatrením č. 6/2025 bol schválený OZ uz.č. 574/2025 dňa 25.9.2025</t>
  </si>
  <si>
    <t>574/2025</t>
  </si>
  <si>
    <t>skutočnosť 9</t>
  </si>
  <si>
    <t>Pripomienky OZ k návrhu úpravy Rozpočtu obce Heľpa na rok 2025 rozpočtovým opatrením č. 6/2025 boli zapracované dňa 19.9.2025</t>
  </si>
  <si>
    <t>Pripomienky finančnej komisie k návrhu úpravy Rozpočtu obce Heľpa na rok 2025 rozpočtovým opatrením č. 6/2025 boli zapracované dňa 18.9.2025</t>
  </si>
  <si>
    <t>Rozpočet obce Heľpa na rok 2025 bol vyvesený na úradnej tabuli na pripomienkovanie dňa 18.9.2025</t>
  </si>
  <si>
    <t>Rozpočtové opatrenie starostu obce č. 10/2025</t>
  </si>
  <si>
    <t>RO ST č.10</t>
  </si>
  <si>
    <t>V Heľpe 23.10.2025</t>
  </si>
  <si>
    <t>peň. dar pre DHZO</t>
  </si>
  <si>
    <t>BT RÚŠS ZŠ mimoriadne výsledky žiakov</t>
  </si>
  <si>
    <t>BT RÚŠS ZŠ nenorm.na škol.podpor.tím</t>
  </si>
  <si>
    <t>BT RÚŠS ZŠ nenorm.na špec.zvýš.taríf OK - ŠKD</t>
  </si>
  <si>
    <t>BT RÚŠS nenorm.na špec.zvýš.taríf OK - ŠKJ</t>
  </si>
  <si>
    <t>BT RÚŠS nenorm.na špec.zvýš.taríf OK - ZUŠ</t>
  </si>
  <si>
    <t>VS - plat, materiál, nemoc</t>
  </si>
  <si>
    <t>OPS - prístroje, OOPP</t>
  </si>
  <si>
    <t>OH - príplatky, PHM, poplatky</t>
  </si>
  <si>
    <t>ČOV - plat,príplatky</t>
  </si>
  <si>
    <t>ZD - plat, príplatky, poistné, materiál, PHM, poistenie, poplatky, nemoc</t>
  </si>
  <si>
    <t>ŠKJ - plat, poistné, prístroje, náhrady</t>
  </si>
  <si>
    <t>KUL - Mikuláš. Silvester</t>
  </si>
  <si>
    <t>KNI - energie, internet</t>
  </si>
  <si>
    <t>ŽP - materiál, posudky</t>
  </si>
  <si>
    <t>OSL - poistné, DVP</t>
  </si>
  <si>
    <t>MŠ plat, poistné, prístroje, materiál,pomôcky,údržba</t>
  </si>
  <si>
    <t>Rozpočtové opatrenie OZ č.7/2025</t>
  </si>
  <si>
    <t>Rek.Náuč.chodníka -Turistická infraštruktúra</t>
  </si>
  <si>
    <t>OU - cestovné, interr.vyb, výp.technika, materiál, servis, poistenie, nemoc</t>
  </si>
  <si>
    <t>DS - inter.vybavenie, prístroje</t>
  </si>
  <si>
    <t>PO- plat, príplatky, dar-materiál, frekvencie, služby</t>
  </si>
  <si>
    <t>CD - servis, údržba</t>
  </si>
  <si>
    <t>Rozpočtové opatrenie starostu obce č. 11/2025</t>
  </si>
  <si>
    <t>BT RÚŠS ZŠ nenorm.na vzdel.poukazy</t>
  </si>
  <si>
    <t>zmena ST 10</t>
  </si>
  <si>
    <t>Transfer RÚŠS pre ZUŠ - právny subjekt</t>
  </si>
  <si>
    <t>Dotácia RÚŠS nenormatív zvýš.plat.taríf ŠKJ</t>
  </si>
  <si>
    <t>Vedľ.služby v rámci niž.sekund. vzdel. (ŠKJ pre 2.st.ZŠ,dospelí,BT)</t>
  </si>
  <si>
    <t>Transfer MFSR odmeny, BT RÚŠS zvýš.plat.taríf pre Školský klub detí</t>
  </si>
  <si>
    <t xml:space="preserve">Transfer MFSR odmeny pre ZUŠ, BT RÚŠS zvýš.plat.taríf </t>
  </si>
  <si>
    <t>Transfer RÚŠS zvýš.plat.taríf pre Školský klub detí</t>
  </si>
  <si>
    <t>Transfer RÚŠS zvýš.plat.taríf pre ZUŠ</t>
  </si>
  <si>
    <t>skutočnosť 10</t>
  </si>
  <si>
    <t>zmena OZ 7</t>
  </si>
  <si>
    <t>CD - údržba miest.komunikácií</t>
  </si>
  <si>
    <t>RO - pasportizácia budov, DVP</t>
  </si>
  <si>
    <t>RO OZ č.7</t>
  </si>
  <si>
    <t>BT UPSVR FP na opatr.službu</t>
  </si>
  <si>
    <t>V Heľpe 20.11.2025</t>
  </si>
  <si>
    <t>Heľpa 20.11.2025</t>
  </si>
  <si>
    <t>Pripomienky OZ k návrhu úpravy Rozpočtu obce Heľpa na rok 2025 rozpočtovým opatrením č. 7/2025 boli zapracované dňa 14.11.2025</t>
  </si>
  <si>
    <t>Pripomienky finančnej komisie k návrhu úpravy Rozpočtu obce Heľpa na rok 2025 rozpočtovým opatrením č. 7/2025 boli zapracované dňa 6.11.2025</t>
  </si>
  <si>
    <t>Rozpočet obce Heľpa na rok 2025 bol vyvesený na úradnej tabuli na pripomienkovanie dňa 4.11.2025</t>
  </si>
  <si>
    <t>BT RÚŠS ZŠ nenorm.na vzdel.SZP</t>
  </si>
  <si>
    <t>BT RÚŠS MŠ nenorm.na výchovu a vzdelávanie</t>
  </si>
  <si>
    <t>V Heľpe 25.11.2025</t>
  </si>
  <si>
    <t>BT RÚŠS ZŠ nenorm.na vakcíny PK+OK</t>
  </si>
  <si>
    <t>BT MIRRI Rek.amfiteátra</t>
  </si>
  <si>
    <t>Fašiangy, Vianoce, Kolovrátok, Deň detí, knižnica</t>
  </si>
  <si>
    <t>Rozpočtové opatrenie OZ č.8/2025</t>
  </si>
  <si>
    <t>RO ST č.11</t>
  </si>
  <si>
    <t>RO OZ č.8</t>
  </si>
  <si>
    <t>zmena ST 11</t>
  </si>
  <si>
    <t>Dotácia MIRRI Rekonštrukcia amfiteátra - manažment</t>
  </si>
  <si>
    <t>598/2025</t>
  </si>
  <si>
    <t>Upravený Rozpočet obce Heľpa na rok 2025 rozpočtovým opatrením č. 7/2025 bol schválený OZ uz.č. 598/2025 dňa 20.11.2025</t>
  </si>
  <si>
    <t>Pripomienky OZ k návrhu úpravy Rozpočtu obce Heľpa na rok 2025 rozpočtovým opatrením č. 8/2025 boli zapracované dňa 4.12.2025</t>
  </si>
  <si>
    <t>Rozpočet obce Heľpa na rok 2025 bol vyvesený na úradnej tabuli na pripomienkovanie dňa 4.12.2025</t>
  </si>
  <si>
    <t>zmena OZ 8</t>
  </si>
  <si>
    <t>Heľpa 12.12.2025</t>
  </si>
  <si>
    <t>OU - poistné, poštovné, cestovné</t>
  </si>
  <si>
    <t>OZ - odmena, poistné, ceny obce</t>
  </si>
  <si>
    <t>FIN - plat, poistné, cestovné,materiál, služby, príspevky</t>
  </si>
  <si>
    <t>VS - plat, odmeny, poistné</t>
  </si>
  <si>
    <t>PERS - plat, príplatky, poistné</t>
  </si>
  <si>
    <t>CIN - PHM</t>
  </si>
  <si>
    <t>ZS - štiepka, údržba</t>
  </si>
  <si>
    <t>RO - príplatky, odmeny, energie, poštovné, telekom.služby</t>
  </si>
  <si>
    <t>STA - príplatky, poistné</t>
  </si>
  <si>
    <t>PO - dar-materiál, služby, servis</t>
  </si>
  <si>
    <t>OPS - materiál, OOPP</t>
  </si>
  <si>
    <t>CD - materiál, dopr.značky</t>
  </si>
  <si>
    <t>OH - plat, odmeny, služby</t>
  </si>
  <si>
    <t>ČOV - plat, príplatky, poistné, stroje, materiál, OOPP, údržba, služby</t>
  </si>
  <si>
    <t>ZD - plat, príplatky, poistenie, manažment</t>
  </si>
  <si>
    <t>MŠ - učeb.pomôcky, plat, odmeny,cestovné, štiepka</t>
  </si>
  <si>
    <t>ŠKJ - príplatky, odmeny,</t>
  </si>
  <si>
    <t>KUL - plat, príplatky, odmeny</t>
  </si>
  <si>
    <t>AMF - energie, projekt-exter.proj.manažment</t>
  </si>
  <si>
    <t>AČ - plat, odmeny</t>
  </si>
  <si>
    <t>DST - plat, príplatky, odmeny, štiepka, príspevky</t>
  </si>
  <si>
    <t>SS - plat, príplatky, odmeny, poistné</t>
  </si>
  <si>
    <t>Rozpočtové opatrenie starostu obce č. 12/2025</t>
  </si>
  <si>
    <t>V Heľpe 12.12.2025</t>
  </si>
  <si>
    <t>RO ST č.12</t>
  </si>
  <si>
    <t>Vybud.vodomernej šachty, prípojky, zvod.systém pre WC amfiteáter</t>
  </si>
  <si>
    <t>Modern.ver.osvetlenia (výmena svietidiel, dopln.r.25)</t>
  </si>
  <si>
    <t>Daň z nehn.-pozemky, stavby</t>
  </si>
  <si>
    <t>Relácie v MR, kopírovanie</t>
  </si>
  <si>
    <t>Poplatok za opatrovateľskú službu</t>
  </si>
  <si>
    <t>Vstupné za kultúrne podujatia</t>
  </si>
  <si>
    <t>Poplatok za MŠ</t>
  </si>
  <si>
    <t>Poplatok za virt.univerzitu tretieho veku</t>
  </si>
  <si>
    <t>Vyúčtovanie služieb z prenájmu</t>
  </si>
  <si>
    <t>Granty</t>
  </si>
  <si>
    <t>BT osob.príj.rod.prídavkov</t>
  </si>
  <si>
    <t>BT MIRRI Obnova budovy ZŠ</t>
  </si>
  <si>
    <t>BT MŠ normatív, integrácia</t>
  </si>
  <si>
    <t>BT ZŠ prevádzkový normatív 26</t>
  </si>
  <si>
    <t>FP soc.služby - stabilizačný</t>
  </si>
  <si>
    <t>Projektová dokumentácia</t>
  </si>
  <si>
    <t>CD - sypač</t>
  </si>
  <si>
    <t>ZŠ Obnova budovy</t>
  </si>
  <si>
    <t>Havar.stav.plyn.kotolne</t>
  </si>
  <si>
    <t>Vybud.vodozádrž.opatrení ZUŠ</t>
  </si>
  <si>
    <t>OU - plat,príplatky,odmeny,materiál,poistenie,údržba,prenájom</t>
  </si>
  <si>
    <t>FIN - plat,služby</t>
  </si>
  <si>
    <t>PERS - plat, príplatky,poistné,nemoc</t>
  </si>
  <si>
    <t>CIN - príplatky, PHM</t>
  </si>
  <si>
    <t>RO - plat,príplatky,poistné,energie,materiál,OOPP,servis,služby</t>
  </si>
  <si>
    <t>STA - plat,poistné,poštovné,služby,materiál, SF</t>
  </si>
  <si>
    <t>PO - materiál dary</t>
  </si>
  <si>
    <t>OPS - poistné,energie,stroje,materiál,služby,OOPP</t>
  </si>
  <si>
    <t>OH - zber, zneškodňovanie odpadov</t>
  </si>
  <si>
    <t>ČOV - vodné, telefón</t>
  </si>
  <si>
    <t>ZD - servis,poistenie</t>
  </si>
  <si>
    <t>ZŠ .en.certifikáty, energ.audit</t>
  </si>
  <si>
    <t>MŠ - plat,poistné,energie,telefón,int.vybav,výp.technika,prístroje,materiál,pomôcky, služby,podujatia,náhrady,SF</t>
  </si>
  <si>
    <t>ŠKJ - plat,poistné,  štiepka, voda, materiál, PHM, náhrady, stravovanie</t>
  </si>
  <si>
    <t>VU3V - materiál, služby</t>
  </si>
  <si>
    <t>KUL - spolufin.projektov FPU</t>
  </si>
  <si>
    <t>AMF - energie, materiál</t>
  </si>
  <si>
    <t>VEO - materiál, prenájom</t>
  </si>
  <si>
    <t>OSL - poistné</t>
  </si>
  <si>
    <t>HN - dot. strav.materiál, potraviny</t>
  </si>
  <si>
    <t>Prídavky na dieťa -osob.príjemca</t>
  </si>
  <si>
    <t>DST - plat, príplatky,materiál, OOPP, PHM, náhrady</t>
  </si>
  <si>
    <t>DC - štiepka, palivá</t>
  </si>
  <si>
    <t>SS - poistné, stabilizačný príspevok</t>
  </si>
  <si>
    <t>Technika pre cestnú údržbu - sypač</t>
  </si>
  <si>
    <t>Technika pre cestnú údržbu</t>
  </si>
  <si>
    <t>Modernizácia ver.osvetlenia (výmena svietidiel ver. osvet.25)</t>
  </si>
  <si>
    <t>skutočnosť 12</t>
  </si>
  <si>
    <t>zmena ST 12</t>
  </si>
  <si>
    <t>Dotácia MPSVR stabilizačný príspevok na soc.služby</t>
  </si>
  <si>
    <t>KT EF Modernizácia verejného osvetlenia</t>
  </si>
  <si>
    <t>Upravený Rozpočet obce Heľpa na rok 2025 rozpočtovým opatrením č. 8/2025 bol schválený OZ uz.č. 627/2025 dňa 12.12.2025</t>
  </si>
  <si>
    <t>627/2025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</si>
</sst>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E_U_R_-;\-* #,##0.00\ _E_U_R_-;_-* &quot;-&quot;??\ _E_U_R_-;_-@_-"/>
    <numFmt numFmtId="165" formatCode="#,##0\ &quot;€&quot;"/>
  </numFmts>
  <fonts count="64" x14ac:knownFonts="1">
    <font>
      <sz val="11"/>
      <color theme="1"/>
      <name val="Calibri"/>
      <family val="2"/>
      <scheme val="minor"/>
    </font>
    <font>
      <b/>
      <sz val="14"/>
      <name val="Bookman Old Style"/>
      <family val="1"/>
    </font>
    <font>
      <sz val="11"/>
      <name val="Calibri"/>
      <family val="2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0"/>
      <name val="Arial CE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color theme="1"/>
      <name val="Arial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sz val="14"/>
      <name val="Bookman Old Style"/>
      <family val="1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3" tint="0.59999389629810485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i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8" tint="0.79998168889431442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 CE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name val="Arial CE"/>
    </font>
    <font>
      <b/>
      <sz val="12"/>
      <name val="Arial CE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 CE"/>
    </font>
    <font>
      <b/>
      <sz val="9"/>
      <name val="Arial CE"/>
    </font>
    <font>
      <sz val="11"/>
      <color theme="3" tint="0.79998168889431442"/>
      <name val="Calibri"/>
      <family val="2"/>
      <scheme val="minor"/>
    </font>
    <font>
      <b/>
      <sz val="8"/>
      <name val="Arial CE"/>
      <family val="2"/>
      <charset val="238"/>
    </font>
    <font>
      <i/>
      <sz val="8"/>
      <color theme="3" tint="0.59999389629810485"/>
      <name val="Arial"/>
      <family val="2"/>
      <charset val="238"/>
    </font>
    <font>
      <i/>
      <sz val="8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7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0" fontId="5" fillId="0" borderId="0"/>
    <xf numFmtId="9" fontId="21" fillId="0" borderId="0" applyFont="0" applyFill="0" applyBorder="0" applyAlignment="0" applyProtection="0"/>
  </cellStyleXfs>
  <cellXfs count="941">
    <xf numFmtId="0" fontId="0" fillId="0" borderId="0" xfId="0"/>
    <xf numFmtId="0" fontId="2" fillId="0" borderId="0" xfId="0" applyFont="1"/>
    <xf numFmtId="3" fontId="3" fillId="2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3" fontId="5" fillId="0" borderId="12" xfId="0" applyNumberFormat="1" applyFont="1" applyFill="1" applyBorder="1"/>
    <xf numFmtId="3" fontId="6" fillId="0" borderId="13" xfId="0" applyNumberFormat="1" applyFont="1" applyFill="1" applyBorder="1"/>
    <xf numFmtId="3" fontId="4" fillId="0" borderId="13" xfId="0" applyNumberFormat="1" applyFont="1" applyFill="1" applyBorder="1"/>
    <xf numFmtId="0" fontId="2" fillId="0" borderId="14" xfId="0" applyFont="1" applyFill="1" applyBorder="1"/>
    <xf numFmtId="0" fontId="2" fillId="0" borderId="15" xfId="0" applyFont="1" applyBorder="1"/>
    <xf numFmtId="3" fontId="5" fillId="0" borderId="16" xfId="0" applyNumberFormat="1" applyFont="1" applyBorder="1"/>
    <xf numFmtId="3" fontId="2" fillId="0" borderId="9" xfId="0" applyNumberFormat="1" applyFont="1" applyBorder="1"/>
    <xf numFmtId="3" fontId="2" fillId="0" borderId="9" xfId="0" applyNumberFormat="1" applyFont="1" applyFill="1" applyBorder="1"/>
    <xf numFmtId="0" fontId="2" fillId="0" borderId="17" xfId="0" applyFont="1" applyFill="1" applyBorder="1"/>
    <xf numFmtId="0" fontId="2" fillId="0" borderId="18" xfId="0" applyFont="1" applyBorder="1"/>
    <xf numFmtId="3" fontId="5" fillId="0" borderId="19" xfId="0" applyNumberFormat="1" applyFont="1" applyBorder="1"/>
    <xf numFmtId="3" fontId="2" fillId="0" borderId="20" xfId="0" applyNumberFormat="1" applyFont="1" applyBorder="1"/>
    <xf numFmtId="3" fontId="2" fillId="0" borderId="20" xfId="0" applyNumberFormat="1" applyFont="1" applyFill="1" applyBorder="1"/>
    <xf numFmtId="0" fontId="2" fillId="0" borderId="21" xfId="0" applyFont="1" applyFill="1" applyBorder="1"/>
    <xf numFmtId="0" fontId="2" fillId="0" borderId="22" xfId="0" applyFont="1" applyBorder="1"/>
    <xf numFmtId="3" fontId="5" fillId="0" borderId="23" xfId="0" applyNumberFormat="1" applyFont="1" applyBorder="1"/>
    <xf numFmtId="3" fontId="2" fillId="0" borderId="24" xfId="0" applyNumberFormat="1" applyFont="1" applyBorder="1"/>
    <xf numFmtId="3" fontId="2" fillId="0" borderId="24" xfId="0" applyNumberFormat="1" applyFont="1" applyFill="1" applyBorder="1"/>
    <xf numFmtId="0" fontId="2" fillId="0" borderId="25" xfId="0" applyFont="1" applyFill="1" applyBorder="1"/>
    <xf numFmtId="0" fontId="2" fillId="0" borderId="26" xfId="0" applyFont="1" applyBorder="1"/>
    <xf numFmtId="3" fontId="5" fillId="0" borderId="27" xfId="0" applyNumberFormat="1" applyFont="1" applyBorder="1"/>
    <xf numFmtId="3" fontId="6" fillId="0" borderId="6" xfId="0" applyNumberFormat="1" applyFont="1" applyBorder="1"/>
    <xf numFmtId="3" fontId="6" fillId="0" borderId="6" xfId="0" applyNumberFormat="1" applyFont="1" applyFill="1" applyBorder="1"/>
    <xf numFmtId="3" fontId="2" fillId="0" borderId="0" xfId="0" applyNumberFormat="1" applyFont="1"/>
    <xf numFmtId="0" fontId="2" fillId="0" borderId="28" xfId="0" applyFont="1" applyFill="1" applyBorder="1"/>
    <xf numFmtId="0" fontId="2" fillId="0" borderId="29" xfId="0" applyFont="1" applyBorder="1"/>
    <xf numFmtId="3" fontId="5" fillId="0" borderId="30" xfId="0" applyNumberFormat="1" applyFont="1" applyBorder="1"/>
    <xf numFmtId="3" fontId="2" fillId="0" borderId="5" xfId="0" applyNumberFormat="1" applyFont="1" applyBorder="1"/>
    <xf numFmtId="3" fontId="2" fillId="0" borderId="5" xfId="0" applyNumberFormat="1" applyFont="1" applyFill="1" applyBorder="1"/>
    <xf numFmtId="3" fontId="7" fillId="0" borderId="24" xfId="0" applyNumberFormat="1" applyFont="1" applyFill="1" applyBorder="1"/>
    <xf numFmtId="3" fontId="5" fillId="0" borderId="23" xfId="0" applyNumberFormat="1" applyFont="1" applyFill="1" applyBorder="1"/>
    <xf numFmtId="0" fontId="2" fillId="0" borderId="10" xfId="0" applyFont="1" applyFill="1" applyBorder="1"/>
    <xf numFmtId="0" fontId="2" fillId="0" borderId="11" xfId="0" applyFont="1" applyBorder="1"/>
    <xf numFmtId="3" fontId="5" fillId="0" borderId="12" xfId="0" applyNumberFormat="1" applyFont="1" applyBorder="1"/>
    <xf numFmtId="3" fontId="2" fillId="0" borderId="13" xfId="0" applyNumberFormat="1" applyFont="1" applyBorder="1"/>
    <xf numFmtId="3" fontId="2" fillId="0" borderId="13" xfId="0" applyNumberFormat="1" applyFont="1" applyFill="1" applyBorder="1"/>
    <xf numFmtId="3" fontId="6" fillId="0" borderId="9" xfId="0" applyNumberFormat="1" applyFont="1" applyBorder="1"/>
    <xf numFmtId="3" fontId="6" fillId="0" borderId="9" xfId="0" applyNumberFormat="1" applyFont="1" applyFill="1" applyBorder="1"/>
    <xf numFmtId="3" fontId="2" fillId="0" borderId="31" xfId="0" applyNumberFormat="1" applyFont="1" applyBorder="1"/>
    <xf numFmtId="0" fontId="2" fillId="0" borderId="32" xfId="0" applyFont="1" applyFill="1" applyBorder="1"/>
    <xf numFmtId="0" fontId="2" fillId="0" borderId="33" xfId="0" applyFont="1" applyBorder="1"/>
    <xf numFmtId="3" fontId="2" fillId="0" borderId="23" xfId="0" applyNumberFormat="1" applyFont="1" applyBorder="1"/>
    <xf numFmtId="3" fontId="2" fillId="0" borderId="31" xfId="0" applyNumberFormat="1" applyFont="1" applyFill="1" applyBorder="1"/>
    <xf numFmtId="0" fontId="2" fillId="0" borderId="34" xfId="0" applyFont="1" applyBorder="1"/>
    <xf numFmtId="3" fontId="2" fillId="0" borderId="6" xfId="0" applyNumberFormat="1" applyFont="1" applyBorder="1"/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2" fillId="0" borderId="10" xfId="0" applyFont="1" applyBorder="1"/>
    <xf numFmtId="0" fontId="4" fillId="0" borderId="35" xfId="0" applyFont="1" applyFill="1" applyBorder="1" applyAlignment="1">
      <alignment horizontal="right"/>
    </xf>
    <xf numFmtId="0" fontId="4" fillId="0" borderId="18" xfId="0" applyFont="1" applyFill="1" applyBorder="1" applyAlignment="1">
      <alignment horizontal="left"/>
    </xf>
    <xf numFmtId="3" fontId="5" fillId="0" borderId="19" xfId="0" applyNumberFormat="1" applyFont="1" applyFill="1" applyBorder="1" applyAlignment="1">
      <alignment horizontal="right"/>
    </xf>
    <xf numFmtId="3" fontId="4" fillId="0" borderId="20" xfId="0" applyNumberFormat="1" applyFont="1" applyFill="1" applyBorder="1" applyAlignment="1">
      <alignment horizontal="right"/>
    </xf>
    <xf numFmtId="3" fontId="6" fillId="0" borderId="20" xfId="0" applyNumberFormat="1" applyFont="1" applyFill="1" applyBorder="1" applyAlignment="1">
      <alignment horizontal="right"/>
    </xf>
    <xf numFmtId="0" fontId="4" fillId="0" borderId="36" xfId="0" applyFont="1" applyFill="1" applyBorder="1" applyAlignment="1">
      <alignment horizontal="right"/>
    </xf>
    <xf numFmtId="0" fontId="4" fillId="0" borderId="22" xfId="0" applyFont="1" applyFill="1" applyBorder="1" applyAlignment="1">
      <alignment horizontal="left"/>
    </xf>
    <xf numFmtId="3" fontId="5" fillId="0" borderId="23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3" fontId="6" fillId="0" borderId="24" xfId="0" applyNumberFormat="1" applyFont="1" applyFill="1" applyBorder="1" applyAlignment="1">
      <alignment horizontal="right"/>
    </xf>
    <xf numFmtId="3" fontId="5" fillId="0" borderId="23" xfId="0" applyNumberFormat="1" applyFont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3" fontId="7" fillId="0" borderId="24" xfId="0" applyNumberFormat="1" applyFont="1" applyFill="1" applyBorder="1" applyAlignment="1">
      <alignment horizontal="right"/>
    </xf>
    <xf numFmtId="0" fontId="3" fillId="2" borderId="14" xfId="0" applyFont="1" applyFill="1" applyBorder="1"/>
    <xf numFmtId="0" fontId="4" fillId="2" borderId="15" xfId="0" applyFont="1" applyFill="1" applyBorder="1"/>
    <xf numFmtId="0" fontId="8" fillId="0" borderId="21" xfId="0" applyFont="1" applyFill="1" applyBorder="1"/>
    <xf numFmtId="3" fontId="8" fillId="0" borderId="24" xfId="0" applyNumberFormat="1" applyFont="1" applyFill="1" applyBorder="1"/>
    <xf numFmtId="0" fontId="8" fillId="0" borderId="17" xfId="0" applyFont="1" applyFill="1" applyBorder="1"/>
    <xf numFmtId="3" fontId="8" fillId="0" borderId="20" xfId="0" applyNumberFormat="1" applyFont="1" applyFill="1" applyBorder="1"/>
    <xf numFmtId="0" fontId="4" fillId="0" borderId="17" xfId="0" applyFont="1" applyFill="1" applyBorder="1"/>
    <xf numFmtId="0" fontId="4" fillId="0" borderId="22" xfId="0" applyFont="1" applyBorder="1"/>
    <xf numFmtId="3" fontId="5" fillId="0" borderId="20" xfId="0" applyNumberFormat="1" applyFont="1" applyFill="1" applyBorder="1"/>
    <xf numFmtId="0" fontId="8" fillId="0" borderId="25" xfId="0" applyFont="1" applyFill="1" applyBorder="1"/>
    <xf numFmtId="3" fontId="8" fillId="0" borderId="6" xfId="0" applyNumberFormat="1" applyFont="1" applyFill="1" applyBorder="1"/>
    <xf numFmtId="0" fontId="4" fillId="0" borderId="18" xfId="0" applyFont="1" applyBorder="1"/>
    <xf numFmtId="0" fontId="4" fillId="0" borderId="25" xfId="0" applyFont="1" applyFill="1" applyBorder="1"/>
    <xf numFmtId="0" fontId="4" fillId="0" borderId="26" xfId="0" applyFont="1" applyBorder="1"/>
    <xf numFmtId="3" fontId="2" fillId="0" borderId="6" xfId="0" applyNumberFormat="1" applyFont="1" applyFill="1" applyBorder="1"/>
    <xf numFmtId="3" fontId="2" fillId="0" borderId="42" xfId="0" applyNumberFormat="1" applyFont="1" applyFill="1" applyBorder="1"/>
    <xf numFmtId="0" fontId="8" fillId="0" borderId="39" xfId="0" applyFont="1" applyFill="1" applyBorder="1"/>
    <xf numFmtId="3" fontId="7" fillId="0" borderId="20" xfId="0" applyNumberFormat="1" applyFont="1" applyFill="1" applyBorder="1"/>
    <xf numFmtId="0" fontId="4" fillId="0" borderId="21" xfId="0" applyFont="1" applyFill="1" applyBorder="1"/>
    <xf numFmtId="0" fontId="4" fillId="0" borderId="38" xfId="0" applyFont="1" applyBorder="1"/>
    <xf numFmtId="0" fontId="9" fillId="2" borderId="14" xfId="0" applyFont="1" applyFill="1" applyBorder="1"/>
    <xf numFmtId="3" fontId="9" fillId="2" borderId="9" xfId="0" applyNumberFormat="1" applyFont="1" applyFill="1" applyBorder="1" applyAlignment="1">
      <alignment horizontal="right"/>
    </xf>
    <xf numFmtId="0" fontId="6" fillId="4" borderId="17" xfId="0" applyFont="1" applyFill="1" applyBorder="1"/>
    <xf numFmtId="0" fontId="6" fillId="4" borderId="18" xfId="0" applyFont="1" applyFill="1" applyBorder="1"/>
    <xf numFmtId="3" fontId="6" fillId="4" borderId="20" xfId="0" applyNumberFormat="1" applyFont="1" applyFill="1" applyBorder="1" applyAlignment="1">
      <alignment horizontal="right"/>
    </xf>
    <xf numFmtId="0" fontId="6" fillId="4" borderId="21" xfId="0" applyFont="1" applyFill="1" applyBorder="1"/>
    <xf numFmtId="3" fontId="6" fillId="4" borderId="24" xfId="0" applyNumberFormat="1" applyFont="1" applyFill="1" applyBorder="1" applyAlignment="1">
      <alignment horizontal="right"/>
    </xf>
    <xf numFmtId="0" fontId="6" fillId="4" borderId="32" xfId="0" applyFont="1" applyFill="1" applyBorder="1"/>
    <xf numFmtId="0" fontId="6" fillId="4" borderId="33" xfId="0" applyFont="1" applyFill="1" applyBorder="1"/>
    <xf numFmtId="3" fontId="6" fillId="4" borderId="31" xfId="0" applyNumberFormat="1" applyFont="1" applyFill="1" applyBorder="1" applyAlignment="1">
      <alignment horizontal="right"/>
    </xf>
    <xf numFmtId="3" fontId="10" fillId="4" borderId="9" xfId="0" applyNumberFormat="1" applyFont="1" applyFill="1" applyBorder="1" applyAlignment="1">
      <alignment horizontal="right"/>
    </xf>
    <xf numFmtId="0" fontId="6" fillId="4" borderId="40" xfId="0" applyFont="1" applyFill="1" applyBorder="1"/>
    <xf numFmtId="0" fontId="6" fillId="4" borderId="44" xfId="0" applyFont="1" applyFill="1" applyBorder="1"/>
    <xf numFmtId="3" fontId="6" fillId="4" borderId="42" xfId="0" applyNumberFormat="1" applyFont="1" applyFill="1" applyBorder="1" applyAlignment="1">
      <alignment horizontal="right"/>
    </xf>
    <xf numFmtId="3" fontId="9" fillId="4" borderId="9" xfId="0" applyNumberFormat="1" applyFont="1" applyFill="1" applyBorder="1" applyAlignment="1">
      <alignment horizontal="right"/>
    </xf>
    <xf numFmtId="0" fontId="2" fillId="0" borderId="0" xfId="0" applyFont="1" applyFill="1"/>
    <xf numFmtId="0" fontId="9" fillId="0" borderId="0" xfId="0" applyFont="1" applyFill="1" applyBorder="1"/>
    <xf numFmtId="0" fontId="4" fillId="0" borderId="0" xfId="0" applyFont="1" applyFill="1" applyBorder="1"/>
    <xf numFmtId="3" fontId="9" fillId="0" borderId="0" xfId="0" applyNumberFormat="1" applyFont="1" applyFill="1" applyBorder="1" applyAlignment="1">
      <alignment horizontal="left"/>
    </xf>
    <xf numFmtId="0" fontId="3" fillId="5" borderId="14" xfId="0" applyFont="1" applyFill="1" applyBorder="1"/>
    <xf numFmtId="0" fontId="3" fillId="5" borderId="47" xfId="0" applyFont="1" applyFill="1" applyBorder="1"/>
    <xf numFmtId="3" fontId="3" fillId="5" borderId="16" xfId="0" applyNumberFormat="1" applyFont="1" applyFill="1" applyBorder="1" applyAlignment="1">
      <alignment horizontal="right"/>
    </xf>
    <xf numFmtId="3" fontId="3" fillId="5" borderId="8" xfId="0" applyNumberFormat="1" applyFont="1" applyFill="1" applyBorder="1" applyAlignment="1">
      <alignment horizontal="right"/>
    </xf>
    <xf numFmtId="3" fontId="3" fillId="5" borderId="9" xfId="0" applyNumberFormat="1" applyFont="1" applyFill="1" applyBorder="1" applyAlignment="1">
      <alignment horizontal="right"/>
    </xf>
    <xf numFmtId="49" fontId="2" fillId="0" borderId="17" xfId="0" applyNumberFormat="1" applyFont="1" applyBorder="1" applyAlignment="1">
      <alignment horizontal="right"/>
    </xf>
    <xf numFmtId="3" fontId="5" fillId="0" borderId="19" xfId="0" applyNumberFormat="1" applyFont="1" applyBorder="1" applyAlignment="1">
      <alignment horizontal="right"/>
    </xf>
    <xf numFmtId="3" fontId="6" fillId="0" borderId="48" xfId="0" applyNumberFormat="1" applyFont="1" applyBorder="1" applyAlignment="1">
      <alignment horizontal="right"/>
    </xf>
    <xf numFmtId="3" fontId="6" fillId="0" borderId="19" xfId="0" applyNumberFormat="1" applyFont="1" applyFill="1" applyBorder="1" applyAlignment="1">
      <alignment horizontal="right"/>
    </xf>
    <xf numFmtId="49" fontId="2" fillId="0" borderId="21" xfId="0" applyNumberFormat="1" applyFont="1" applyBorder="1" applyAlignment="1">
      <alignment horizontal="right"/>
    </xf>
    <xf numFmtId="0" fontId="4" fillId="0" borderId="37" xfId="0" applyFont="1" applyBorder="1"/>
    <xf numFmtId="3" fontId="6" fillId="0" borderId="49" xfId="0" applyNumberFormat="1" applyFont="1" applyBorder="1" applyAlignment="1">
      <alignment horizontal="right"/>
    </xf>
    <xf numFmtId="3" fontId="6" fillId="0" borderId="23" xfId="0" applyNumberFormat="1" applyFont="1" applyFill="1" applyBorder="1" applyAlignment="1">
      <alignment horizontal="right"/>
    </xf>
    <xf numFmtId="49" fontId="2" fillId="0" borderId="21" xfId="0" applyNumberFormat="1" applyFont="1" applyFill="1" applyBorder="1" applyAlignment="1">
      <alignment horizontal="right"/>
    </xf>
    <xf numFmtId="3" fontId="6" fillId="0" borderId="49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right"/>
    </xf>
    <xf numFmtId="0" fontId="4" fillId="0" borderId="34" xfId="0" applyFont="1" applyFill="1" applyBorder="1"/>
    <xf numFmtId="3" fontId="5" fillId="0" borderId="1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4" fillId="0" borderId="13" xfId="0" applyNumberFormat="1" applyFont="1" applyFill="1" applyBorder="1" applyAlignment="1">
      <alignment horizontal="right"/>
    </xf>
    <xf numFmtId="0" fontId="3" fillId="5" borderId="7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49" fontId="2" fillId="0" borderId="40" xfId="0" applyNumberFormat="1" applyFont="1" applyFill="1" applyBorder="1" applyAlignment="1">
      <alignment horizontal="right"/>
    </xf>
    <xf numFmtId="3" fontId="6" fillId="0" borderId="50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>
      <alignment horizontal="right"/>
    </xf>
    <xf numFmtId="3" fontId="6" fillId="0" borderId="51" xfId="0" applyNumberFormat="1" applyFont="1" applyFill="1" applyBorder="1" applyAlignment="1">
      <alignment horizontal="right"/>
    </xf>
    <xf numFmtId="49" fontId="4" fillId="0" borderId="28" xfId="0" applyNumberFormat="1" applyFont="1" applyFill="1" applyBorder="1" applyAlignment="1">
      <alignment horizontal="right"/>
    </xf>
    <xf numFmtId="0" fontId="4" fillId="0" borderId="45" xfId="0" applyFont="1" applyFill="1" applyBorder="1" applyAlignment="1">
      <alignment horizontal="left"/>
    </xf>
    <xf numFmtId="3" fontId="4" fillId="0" borderId="30" xfId="0" applyNumberFormat="1" applyFont="1" applyFill="1" applyBorder="1" applyAlignment="1">
      <alignment horizontal="right"/>
    </xf>
    <xf numFmtId="3" fontId="6" fillId="0" borderId="45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49" fontId="4" fillId="0" borderId="4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3" fontId="4" fillId="0" borderId="1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0" fontId="2" fillId="5" borderId="47" xfId="0" applyFont="1" applyFill="1" applyBorder="1"/>
    <xf numFmtId="49" fontId="4" fillId="0" borderId="17" xfId="0" applyNumberFormat="1" applyFont="1" applyFill="1" applyBorder="1" applyAlignment="1">
      <alignment horizontal="right"/>
    </xf>
    <xf numFmtId="0" fontId="4" fillId="0" borderId="38" xfId="0" applyFont="1" applyFill="1" applyBorder="1" applyAlignment="1">
      <alignment horizontal="left"/>
    </xf>
    <xf numFmtId="3" fontId="4" fillId="0" borderId="48" xfId="0" applyNumberFormat="1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right"/>
    </xf>
    <xf numFmtId="3" fontId="4" fillId="0" borderId="49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/>
    </xf>
    <xf numFmtId="3" fontId="4" fillId="0" borderId="49" xfId="0" applyNumberFormat="1" applyFont="1" applyFill="1" applyBorder="1" applyAlignment="1">
      <alignment horizontal="right"/>
    </xf>
    <xf numFmtId="3" fontId="4" fillId="0" borderId="23" xfId="0" applyNumberFormat="1" applyFont="1" applyFill="1" applyBorder="1" applyAlignment="1">
      <alignment horizontal="right"/>
    </xf>
    <xf numFmtId="49" fontId="2" fillId="0" borderId="28" xfId="0" applyNumberFormat="1" applyFont="1" applyFill="1" applyBorder="1" applyAlignment="1">
      <alignment horizontal="right"/>
    </xf>
    <xf numFmtId="0" fontId="4" fillId="0" borderId="52" xfId="0" applyFont="1" applyBorder="1"/>
    <xf numFmtId="3" fontId="11" fillId="0" borderId="30" xfId="0" applyNumberFormat="1" applyFont="1" applyBorder="1" applyAlignment="1">
      <alignment horizontal="right"/>
    </xf>
    <xf numFmtId="3" fontId="4" fillId="0" borderId="45" xfId="0" applyNumberFormat="1" applyFont="1" applyBorder="1" applyAlignment="1">
      <alignment horizontal="right"/>
    </xf>
    <xf numFmtId="3" fontId="4" fillId="0" borderId="30" xfId="0" applyNumberFormat="1" applyFont="1" applyBorder="1" applyAlignment="1">
      <alignment horizontal="right"/>
    </xf>
    <xf numFmtId="3" fontId="11" fillId="0" borderId="23" xfId="0" applyNumberFormat="1" applyFont="1" applyBorder="1" applyAlignment="1">
      <alignment horizontal="right"/>
    </xf>
    <xf numFmtId="0" fontId="4" fillId="0" borderId="41" xfId="0" applyFont="1" applyBorder="1"/>
    <xf numFmtId="3" fontId="11" fillId="0" borderId="53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53" xfId="0" applyNumberFormat="1" applyFont="1" applyBorder="1" applyAlignment="1">
      <alignment horizontal="right"/>
    </xf>
    <xf numFmtId="3" fontId="4" fillId="0" borderId="53" xfId="0" applyNumberFormat="1" applyFont="1" applyFill="1" applyBorder="1" applyAlignment="1">
      <alignment horizontal="right"/>
    </xf>
    <xf numFmtId="49" fontId="2" fillId="0" borderId="25" xfId="0" applyNumberFormat="1" applyFont="1" applyFill="1" applyBorder="1" applyAlignment="1">
      <alignment horizontal="right"/>
    </xf>
    <xf numFmtId="0" fontId="4" fillId="0" borderId="39" xfId="0" applyFont="1" applyBorder="1"/>
    <xf numFmtId="3" fontId="11" fillId="0" borderId="27" xfId="0" applyNumberFormat="1" applyFont="1" applyBorder="1" applyAlignment="1">
      <alignment horizontal="right"/>
    </xf>
    <xf numFmtId="3" fontId="4" fillId="0" borderId="46" xfId="0" applyNumberFormat="1" applyFont="1" applyBorder="1" applyAlignment="1">
      <alignment horizontal="right"/>
    </xf>
    <xf numFmtId="3" fontId="4" fillId="0" borderId="27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49" fontId="4" fillId="0" borderId="21" xfId="0" applyNumberFormat="1" applyFont="1" applyFill="1" applyBorder="1" applyAlignment="1">
      <alignment horizontal="right"/>
    </xf>
    <xf numFmtId="49" fontId="4" fillId="0" borderId="25" xfId="0" applyNumberFormat="1" applyFont="1" applyFill="1" applyBorder="1" applyAlignment="1">
      <alignment horizontal="right"/>
    </xf>
    <xf numFmtId="3" fontId="5" fillId="0" borderId="27" xfId="0" applyNumberFormat="1" applyFont="1" applyFill="1" applyBorder="1" applyAlignment="1">
      <alignment horizontal="right"/>
    </xf>
    <xf numFmtId="3" fontId="4" fillId="0" borderId="46" xfId="0" applyNumberFormat="1" applyFont="1" applyFill="1" applyBorder="1" applyAlignment="1">
      <alignment horizontal="right"/>
    </xf>
    <xf numFmtId="3" fontId="4" fillId="0" borderId="27" xfId="0" applyNumberFormat="1" applyFont="1" applyFill="1" applyBorder="1" applyAlignment="1">
      <alignment horizontal="right"/>
    </xf>
    <xf numFmtId="0" fontId="3" fillId="5" borderId="54" xfId="0" applyFont="1" applyFill="1" applyBorder="1"/>
    <xf numFmtId="0" fontId="2" fillId="5" borderId="55" xfId="0" applyFont="1" applyFill="1" applyBorder="1"/>
    <xf numFmtId="3" fontId="3" fillId="5" borderId="50" xfId="0" applyNumberFormat="1" applyFont="1" applyFill="1" applyBorder="1" applyAlignment="1">
      <alignment horizontal="right"/>
    </xf>
    <xf numFmtId="3" fontId="3" fillId="5" borderId="4" xfId="0" applyNumberFormat="1" applyFont="1" applyFill="1" applyBorder="1" applyAlignment="1">
      <alignment horizontal="right"/>
    </xf>
    <xf numFmtId="3" fontId="5" fillId="0" borderId="30" xfId="0" applyNumberFormat="1" applyFont="1" applyBorder="1" applyAlignment="1">
      <alignment horizontal="right"/>
    </xf>
    <xf numFmtId="0" fontId="4" fillId="0" borderId="45" xfId="0" applyFont="1" applyBorder="1"/>
    <xf numFmtId="3" fontId="4" fillId="0" borderId="5" xfId="0" applyNumberFormat="1" applyFont="1" applyBorder="1" applyAlignment="1">
      <alignment horizontal="right"/>
    </xf>
    <xf numFmtId="0" fontId="4" fillId="0" borderId="49" xfId="0" applyFont="1" applyBorder="1"/>
    <xf numFmtId="3" fontId="6" fillId="0" borderId="23" xfId="0" applyNumberFormat="1" applyFont="1" applyBorder="1" applyAlignment="1">
      <alignment horizontal="right"/>
    </xf>
    <xf numFmtId="3" fontId="6" fillId="0" borderId="24" xfId="0" applyNumberFormat="1" applyFont="1" applyBorder="1" applyAlignment="1">
      <alignment horizontal="right"/>
    </xf>
    <xf numFmtId="3" fontId="5" fillId="0" borderId="27" xfId="0" applyNumberFormat="1" applyFont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49" fontId="4" fillId="0" borderId="10" xfId="0" applyNumberFormat="1" applyFont="1" applyFill="1" applyBorder="1" applyAlignment="1">
      <alignment horizontal="right"/>
    </xf>
    <xf numFmtId="0" fontId="4" fillId="0" borderId="34" xfId="0" applyFont="1" applyBorder="1"/>
    <xf numFmtId="0" fontId="4" fillId="0" borderId="12" xfId="0" applyFont="1" applyBorder="1"/>
    <xf numFmtId="0" fontId="4" fillId="0" borderId="2" xfId="0" applyFont="1" applyBorder="1"/>
    <xf numFmtId="3" fontId="4" fillId="0" borderId="13" xfId="0" applyNumberFormat="1" applyFont="1" applyBorder="1" applyAlignment="1">
      <alignment horizontal="right"/>
    </xf>
    <xf numFmtId="49" fontId="3" fillId="5" borderId="10" xfId="0" applyNumberFormat="1" applyFont="1" applyFill="1" applyBorder="1" applyAlignment="1">
      <alignment horizontal="left"/>
    </xf>
    <xf numFmtId="0" fontId="3" fillId="5" borderId="34" xfId="0" applyFont="1" applyFill="1" applyBorder="1"/>
    <xf numFmtId="3" fontId="3" fillId="5" borderId="12" xfId="0" applyNumberFormat="1" applyFont="1" applyFill="1" applyBorder="1" applyAlignment="1">
      <alignment horizontal="right"/>
    </xf>
    <xf numFmtId="3" fontId="3" fillId="5" borderId="2" xfId="0" applyNumberFormat="1" applyFont="1" applyFill="1" applyBorder="1" applyAlignment="1">
      <alignment horizontal="right"/>
    </xf>
    <xf numFmtId="49" fontId="2" fillId="0" borderId="17" xfId="0" applyNumberFormat="1" applyFont="1" applyFill="1" applyBorder="1" applyAlignment="1">
      <alignment horizontal="right"/>
    </xf>
    <xf numFmtId="0" fontId="4" fillId="0" borderId="38" xfId="0" applyFont="1" applyFill="1" applyBorder="1"/>
    <xf numFmtId="3" fontId="6" fillId="0" borderId="48" xfId="0" applyNumberFormat="1" applyFont="1" applyFill="1" applyBorder="1" applyAlignment="1">
      <alignment horizontal="right"/>
    </xf>
    <xf numFmtId="3" fontId="4" fillId="0" borderId="48" xfId="0" applyNumberFormat="1" applyFont="1" applyBorder="1" applyAlignment="1">
      <alignment horizontal="right"/>
    </xf>
    <xf numFmtId="49" fontId="4" fillId="0" borderId="56" xfId="0" applyNumberFormat="1" applyFont="1" applyFill="1" applyBorder="1" applyAlignment="1">
      <alignment horizontal="right"/>
    </xf>
    <xf numFmtId="0" fontId="4" fillId="0" borderId="52" xfId="0" applyFont="1" applyFill="1" applyBorder="1" applyAlignment="1">
      <alignment horizontal="left"/>
    </xf>
    <xf numFmtId="0" fontId="4" fillId="0" borderId="30" xfId="0" applyFont="1" applyFill="1" applyBorder="1" applyAlignment="1">
      <alignment horizontal="right"/>
    </xf>
    <xf numFmtId="0" fontId="4" fillId="0" borderId="45" xfId="0" applyFont="1" applyFill="1" applyBorder="1" applyAlignment="1">
      <alignment horizontal="right"/>
    </xf>
    <xf numFmtId="3" fontId="6" fillId="0" borderId="30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49" fontId="4" fillId="0" borderId="36" xfId="0" applyNumberFormat="1" applyFont="1" applyFill="1" applyBorder="1" applyAlignment="1">
      <alignment horizontal="right"/>
    </xf>
    <xf numFmtId="0" fontId="4" fillId="0" borderId="37" xfId="0" applyFont="1" applyFill="1" applyBorder="1" applyAlignment="1">
      <alignment horizontal="left"/>
    </xf>
    <xf numFmtId="49" fontId="4" fillId="0" borderId="57" xfId="0" applyNumberFormat="1" applyFont="1" applyFill="1" applyBorder="1" applyAlignment="1">
      <alignment horizontal="right"/>
    </xf>
    <xf numFmtId="3" fontId="5" fillId="0" borderId="58" xfId="0" applyNumberFormat="1" applyFont="1" applyFill="1" applyBorder="1" applyAlignment="1">
      <alignment horizontal="right"/>
    </xf>
    <xf numFmtId="3" fontId="4" fillId="0" borderId="59" xfId="0" applyNumberFormat="1" applyFont="1" applyFill="1" applyBorder="1" applyAlignment="1">
      <alignment horizontal="right"/>
    </xf>
    <xf numFmtId="3" fontId="4" fillId="0" borderId="58" xfId="0" applyNumberFormat="1" applyFont="1" applyFill="1" applyBorder="1" applyAlignment="1">
      <alignment horizontal="right"/>
    </xf>
    <xf numFmtId="3" fontId="4" fillId="0" borderId="31" xfId="0" applyNumberFormat="1" applyFont="1" applyFill="1" applyBorder="1" applyAlignment="1">
      <alignment horizontal="right"/>
    </xf>
    <xf numFmtId="0" fontId="9" fillId="5" borderId="54" xfId="0" applyFont="1" applyFill="1" applyBorder="1"/>
    <xf numFmtId="3" fontId="9" fillId="5" borderId="50" xfId="0" applyNumberFormat="1" applyFont="1" applyFill="1" applyBorder="1" applyAlignment="1">
      <alignment horizontal="right"/>
    </xf>
    <xf numFmtId="3" fontId="9" fillId="5" borderId="4" xfId="0" applyNumberFormat="1" applyFont="1" applyFill="1" applyBorder="1" applyAlignment="1">
      <alignment horizontal="right"/>
    </xf>
    <xf numFmtId="3" fontId="9" fillId="5" borderId="51" xfId="0" applyNumberFormat="1" applyFont="1" applyFill="1" applyBorder="1" applyAlignment="1">
      <alignment horizontal="right"/>
    </xf>
    <xf numFmtId="0" fontId="6" fillId="6" borderId="52" xfId="0" applyFont="1" applyFill="1" applyBorder="1"/>
    <xf numFmtId="3" fontId="6" fillId="6" borderId="30" xfId="0" applyNumberFormat="1" applyFont="1" applyFill="1" applyBorder="1" applyAlignment="1">
      <alignment horizontal="right"/>
    </xf>
    <xf numFmtId="3" fontId="6" fillId="6" borderId="45" xfId="0" applyNumberFormat="1" applyFont="1" applyFill="1" applyBorder="1" applyAlignment="1">
      <alignment horizontal="right"/>
    </xf>
    <xf numFmtId="3" fontId="6" fillId="6" borderId="5" xfId="0" applyNumberFormat="1" applyFont="1" applyFill="1" applyBorder="1" applyAlignment="1">
      <alignment horizontal="right"/>
    </xf>
    <xf numFmtId="49" fontId="6" fillId="6" borderId="36" xfId="0" applyNumberFormat="1" applyFont="1" applyFill="1" applyBorder="1" applyAlignment="1">
      <alignment horizontal="right"/>
    </xf>
    <xf numFmtId="0" fontId="6" fillId="6" borderId="37" xfId="0" applyFont="1" applyFill="1" applyBorder="1"/>
    <xf numFmtId="3" fontId="6" fillId="6" borderId="23" xfId="0" applyNumberFormat="1" applyFont="1" applyFill="1" applyBorder="1" applyAlignment="1">
      <alignment horizontal="right"/>
    </xf>
    <xf numFmtId="3" fontId="6" fillId="6" borderId="49" xfId="0" applyNumberFormat="1" applyFont="1" applyFill="1" applyBorder="1" applyAlignment="1">
      <alignment horizontal="right"/>
    </xf>
    <xf numFmtId="3" fontId="6" fillId="6" borderId="24" xfId="0" applyNumberFormat="1" applyFont="1" applyFill="1" applyBorder="1" applyAlignment="1">
      <alignment horizontal="right"/>
    </xf>
    <xf numFmtId="0" fontId="6" fillId="6" borderId="39" xfId="0" applyFont="1" applyFill="1" applyBorder="1"/>
    <xf numFmtId="3" fontId="6" fillId="6" borderId="27" xfId="0" applyNumberFormat="1" applyFont="1" applyFill="1" applyBorder="1" applyAlignment="1">
      <alignment horizontal="right"/>
    </xf>
    <xf numFmtId="3" fontId="6" fillId="6" borderId="46" xfId="0" applyNumberFormat="1" applyFont="1" applyFill="1" applyBorder="1" applyAlignment="1">
      <alignment horizontal="right"/>
    </xf>
    <xf numFmtId="3" fontId="6" fillId="6" borderId="6" xfId="0" applyNumberFormat="1" applyFont="1" applyFill="1" applyBorder="1" applyAlignment="1">
      <alignment horizontal="right"/>
    </xf>
    <xf numFmtId="49" fontId="6" fillId="6" borderId="35" xfId="0" applyNumberFormat="1" applyFont="1" applyFill="1" applyBorder="1" applyAlignment="1">
      <alignment horizontal="right"/>
    </xf>
    <xf numFmtId="0" fontId="6" fillId="6" borderId="38" xfId="0" applyFont="1" applyFill="1" applyBorder="1"/>
    <xf numFmtId="3" fontId="6" fillId="6" borderId="19" xfId="0" applyNumberFormat="1" applyFont="1" applyFill="1" applyBorder="1" applyAlignment="1">
      <alignment horizontal="right"/>
    </xf>
    <xf numFmtId="3" fontId="6" fillId="6" borderId="48" xfId="0" applyNumberFormat="1" applyFont="1" applyFill="1" applyBorder="1" applyAlignment="1">
      <alignment horizontal="right"/>
    </xf>
    <xf numFmtId="3" fontId="6" fillId="6" borderId="20" xfId="0" applyNumberFormat="1" applyFont="1" applyFill="1" applyBorder="1" applyAlignment="1">
      <alignment horizontal="right"/>
    </xf>
    <xf numFmtId="3" fontId="3" fillId="7" borderId="16" xfId="0" applyNumberFormat="1" applyFont="1" applyFill="1" applyBorder="1" applyAlignment="1">
      <alignment horizontal="right"/>
    </xf>
    <xf numFmtId="3" fontId="3" fillId="7" borderId="8" xfId="0" applyNumberFormat="1" applyFont="1" applyFill="1" applyBorder="1" applyAlignment="1">
      <alignment horizontal="right"/>
    </xf>
    <xf numFmtId="3" fontId="3" fillId="7" borderId="9" xfId="0" applyNumberFormat="1" applyFont="1" applyFill="1" applyBorder="1" applyAlignment="1">
      <alignment horizontal="right"/>
    </xf>
    <xf numFmtId="49" fontId="4" fillId="4" borderId="56" xfId="0" applyNumberFormat="1" applyFont="1" applyFill="1" applyBorder="1" applyAlignment="1">
      <alignment horizontal="right"/>
    </xf>
    <xf numFmtId="0" fontId="6" fillId="4" borderId="52" xfId="0" applyFont="1" applyFill="1" applyBorder="1"/>
    <xf numFmtId="3" fontId="6" fillId="4" borderId="30" xfId="0" applyNumberFormat="1" applyFont="1" applyFill="1" applyBorder="1" applyAlignment="1">
      <alignment horizontal="right"/>
    </xf>
    <xf numFmtId="3" fontId="6" fillId="4" borderId="45" xfId="0" applyNumberFormat="1" applyFont="1" applyFill="1" applyBorder="1" applyAlignment="1">
      <alignment horizontal="right"/>
    </xf>
    <xf numFmtId="3" fontId="6" fillId="4" borderId="5" xfId="0" applyNumberFormat="1" applyFont="1" applyFill="1" applyBorder="1" applyAlignment="1">
      <alignment horizontal="right"/>
    </xf>
    <xf numFmtId="49" fontId="4" fillId="4" borderId="35" xfId="0" applyNumberFormat="1" applyFont="1" applyFill="1" applyBorder="1" applyAlignment="1">
      <alignment horizontal="right"/>
    </xf>
    <xf numFmtId="0" fontId="6" fillId="4" borderId="38" xfId="0" applyFont="1" applyFill="1" applyBorder="1"/>
    <xf numFmtId="3" fontId="6" fillId="4" borderId="19" xfId="0" applyNumberFormat="1" applyFont="1" applyFill="1" applyBorder="1" applyAlignment="1">
      <alignment horizontal="right"/>
    </xf>
    <xf numFmtId="3" fontId="6" fillId="4" borderId="48" xfId="0" applyNumberFormat="1" applyFont="1" applyFill="1" applyBorder="1" applyAlignment="1">
      <alignment horizontal="right"/>
    </xf>
    <xf numFmtId="3" fontId="10" fillId="4" borderId="50" xfId="0" applyNumberFormat="1" applyFont="1" applyFill="1" applyBorder="1" applyAlignment="1">
      <alignment horizontal="right"/>
    </xf>
    <xf numFmtId="3" fontId="10" fillId="4" borderId="4" xfId="0" applyNumberFormat="1" applyFont="1" applyFill="1" applyBorder="1" applyAlignment="1">
      <alignment horizontal="right"/>
    </xf>
    <xf numFmtId="3" fontId="10" fillId="4" borderId="51" xfId="0" applyNumberFormat="1" applyFont="1" applyFill="1" applyBorder="1" applyAlignment="1">
      <alignment horizontal="right"/>
    </xf>
    <xf numFmtId="3" fontId="3" fillId="8" borderId="16" xfId="0" applyNumberFormat="1" applyFont="1" applyFill="1" applyBorder="1" applyAlignment="1">
      <alignment horizontal="right"/>
    </xf>
    <xf numFmtId="3" fontId="3" fillId="8" borderId="8" xfId="0" applyNumberFormat="1" applyFont="1" applyFill="1" applyBorder="1" applyAlignment="1">
      <alignment horizontal="right"/>
    </xf>
    <xf numFmtId="3" fontId="3" fillId="8" borderId="9" xfId="0" applyNumberFormat="1" applyFont="1" applyFill="1" applyBorder="1" applyAlignment="1">
      <alignment horizontal="right"/>
    </xf>
    <xf numFmtId="0" fontId="9" fillId="5" borderId="14" xfId="0" applyFont="1" applyFill="1" applyBorder="1"/>
    <xf numFmtId="3" fontId="9" fillId="5" borderId="16" xfId="0" applyNumberFormat="1" applyFont="1" applyFill="1" applyBorder="1" applyAlignment="1">
      <alignment horizontal="right"/>
    </xf>
    <xf numFmtId="3" fontId="9" fillId="5" borderId="8" xfId="0" applyNumberFormat="1" applyFont="1" applyFill="1" applyBorder="1" applyAlignment="1">
      <alignment horizontal="right"/>
    </xf>
    <xf numFmtId="3" fontId="9" fillId="5" borderId="9" xfId="0" applyNumberFormat="1" applyFont="1" applyFill="1" applyBorder="1" applyAlignment="1">
      <alignment horizontal="right"/>
    </xf>
    <xf numFmtId="3" fontId="9" fillId="9" borderId="16" xfId="0" applyNumberFormat="1" applyFont="1" applyFill="1" applyBorder="1" applyAlignment="1"/>
    <xf numFmtId="3" fontId="4" fillId="0" borderId="27" xfId="0" applyNumberFormat="1" applyFont="1" applyBorder="1" applyAlignment="1"/>
    <xf numFmtId="3" fontId="4" fillId="0" borderId="27" xfId="0" applyNumberFormat="1" applyFont="1" applyFill="1" applyBorder="1" applyAlignment="1"/>
    <xf numFmtId="3" fontId="4" fillId="0" borderId="58" xfId="0" applyNumberFormat="1" applyFont="1" applyBorder="1" applyAlignment="1"/>
    <xf numFmtId="3" fontId="4" fillId="0" borderId="58" xfId="0" applyNumberFormat="1" applyFont="1" applyFill="1" applyBorder="1" applyAlignment="1"/>
    <xf numFmtId="0" fontId="4" fillId="0" borderId="36" xfId="0" applyFont="1" applyFill="1" applyBorder="1"/>
    <xf numFmtId="3" fontId="4" fillId="0" borderId="23" xfId="0" applyNumberFormat="1" applyFont="1" applyBorder="1" applyAlignment="1"/>
    <xf numFmtId="3" fontId="4" fillId="0" borderId="23" xfId="0" applyNumberFormat="1" applyFont="1" applyFill="1" applyBorder="1" applyAlignment="1"/>
    <xf numFmtId="0" fontId="4" fillId="0" borderId="35" xfId="0" applyFont="1" applyFill="1" applyBorder="1"/>
    <xf numFmtId="3" fontId="4" fillId="0" borderId="19" xfId="0" applyNumberFormat="1" applyFont="1" applyBorder="1" applyAlignment="1"/>
    <xf numFmtId="3" fontId="4" fillId="0" borderId="19" xfId="0" applyNumberFormat="1" applyFont="1" applyFill="1" applyBorder="1" applyAlignment="1"/>
    <xf numFmtId="0" fontId="4" fillId="0" borderId="24" xfId="0" applyFont="1" applyBorder="1"/>
    <xf numFmtId="0" fontId="5" fillId="0" borderId="18" xfId="0" applyFont="1" applyBorder="1"/>
    <xf numFmtId="49" fontId="5" fillId="0" borderId="56" xfId="0" applyNumberFormat="1" applyFont="1" applyFill="1" applyBorder="1" applyAlignment="1">
      <alignment horizontal="right"/>
    </xf>
    <xf numFmtId="0" fontId="5" fillId="0" borderId="29" xfId="0" applyFont="1" applyBorder="1"/>
    <xf numFmtId="3" fontId="5" fillId="0" borderId="30" xfId="0" applyNumberFormat="1" applyFont="1" applyFill="1" applyBorder="1" applyAlignment="1"/>
    <xf numFmtId="49" fontId="5" fillId="0" borderId="21" xfId="0" applyNumberFormat="1" applyFont="1" applyFill="1" applyBorder="1" applyAlignment="1">
      <alignment horizontal="right"/>
    </xf>
    <xf numFmtId="3" fontId="5" fillId="0" borderId="23" xfId="0" applyNumberFormat="1" applyFont="1" applyFill="1" applyBorder="1" applyAlignment="1"/>
    <xf numFmtId="49" fontId="5" fillId="0" borderId="25" xfId="0" applyNumberFormat="1" applyFont="1" applyFill="1" applyBorder="1" applyAlignment="1">
      <alignment horizontal="right"/>
    </xf>
    <xf numFmtId="0" fontId="5" fillId="0" borderId="26" xfId="0" applyFont="1" applyBorder="1"/>
    <xf numFmtId="3" fontId="5" fillId="0" borderId="27" xfId="0" applyNumberFormat="1" applyFont="1" applyFill="1" applyBorder="1" applyAlignment="1"/>
    <xf numFmtId="3" fontId="5" fillId="0" borderId="12" xfId="0" applyNumberFormat="1" applyFont="1" applyFill="1" applyBorder="1" applyAlignment="1"/>
    <xf numFmtId="49" fontId="5" fillId="0" borderId="35" xfId="0" applyNumberFormat="1" applyFont="1" applyFill="1" applyBorder="1" applyAlignment="1">
      <alignment horizontal="right"/>
    </xf>
    <xf numFmtId="3" fontId="5" fillId="0" borderId="19" xfId="0" applyNumberFormat="1" applyFont="1" applyFill="1" applyBorder="1" applyAlignment="1"/>
    <xf numFmtId="49" fontId="5" fillId="0" borderId="61" xfId="0" applyNumberFormat="1" applyFont="1" applyFill="1" applyBorder="1" applyAlignment="1">
      <alignment horizontal="right"/>
    </xf>
    <xf numFmtId="0" fontId="5" fillId="0" borderId="44" xfId="0" applyFont="1" applyBorder="1"/>
    <xf numFmtId="3" fontId="5" fillId="0" borderId="53" xfId="0" applyNumberFormat="1" applyFont="1" applyFill="1" applyBorder="1" applyAlignment="1"/>
    <xf numFmtId="49" fontId="5" fillId="0" borderId="32" xfId="0" applyNumberFormat="1" applyFont="1" applyFill="1" applyBorder="1" applyAlignment="1">
      <alignment horizontal="right"/>
    </xf>
    <xf numFmtId="0" fontId="5" fillId="0" borderId="33" xfId="0" applyFont="1" applyBorder="1"/>
    <xf numFmtId="3" fontId="5" fillId="0" borderId="58" xfId="0" applyNumberFormat="1" applyFont="1" applyFill="1" applyBorder="1" applyAlignment="1"/>
    <xf numFmtId="49" fontId="5" fillId="0" borderId="22" xfId="0" applyNumberFormat="1" applyFont="1" applyFill="1" applyBorder="1" applyAlignment="1">
      <alignment horizontal="left"/>
    </xf>
    <xf numFmtId="49" fontId="5" fillId="0" borderId="36" xfId="0" applyNumberFormat="1" applyFont="1" applyBorder="1" applyAlignment="1">
      <alignment horizontal="right"/>
    </xf>
    <xf numFmtId="49" fontId="5" fillId="0" borderId="18" xfId="0" applyNumberFormat="1" applyFont="1" applyFill="1" applyBorder="1" applyAlignment="1">
      <alignment horizontal="left"/>
    </xf>
    <xf numFmtId="49" fontId="5" fillId="0" borderId="60" xfId="0" applyNumberFormat="1" applyFont="1" applyBorder="1" applyAlignment="1">
      <alignment horizontal="right"/>
    </xf>
    <xf numFmtId="49" fontId="5" fillId="0" borderId="35" xfId="0" applyNumberFormat="1" applyFont="1" applyBorder="1" applyAlignment="1">
      <alignment horizontal="right"/>
    </xf>
    <xf numFmtId="49" fontId="5" fillId="0" borderId="61" xfId="0" applyNumberFormat="1" applyFont="1" applyBorder="1" applyAlignment="1">
      <alignment horizontal="right"/>
    </xf>
    <xf numFmtId="49" fontId="5" fillId="0" borderId="57" xfId="0" applyNumberFormat="1" applyFont="1" applyBorder="1" applyAlignment="1">
      <alignment horizontal="right"/>
    </xf>
    <xf numFmtId="49" fontId="5" fillId="0" borderId="33" xfId="0" applyNumberFormat="1" applyFont="1" applyFill="1" applyBorder="1" applyAlignment="1">
      <alignment horizontal="left"/>
    </xf>
    <xf numFmtId="49" fontId="5" fillId="0" borderId="10" xfId="0" applyNumberFormat="1" applyFont="1" applyBorder="1" applyAlignment="1">
      <alignment horizontal="right"/>
    </xf>
    <xf numFmtId="49" fontId="5" fillId="0" borderId="17" xfId="0" applyNumberFormat="1" applyFont="1" applyBorder="1" applyAlignment="1">
      <alignment horizontal="right"/>
    </xf>
    <xf numFmtId="49" fontId="5" fillId="0" borderId="25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Fill="1" applyBorder="1"/>
    <xf numFmtId="3" fontId="5" fillId="0" borderId="0" xfId="0" applyNumberFormat="1" applyFont="1" applyBorder="1" applyAlignment="1"/>
    <xf numFmtId="0" fontId="2" fillId="0" borderId="0" xfId="0" applyFont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2" fillId="0" borderId="57" xfId="0" applyFont="1" applyBorder="1"/>
    <xf numFmtId="0" fontId="2" fillId="0" borderId="33" xfId="0" applyFont="1" applyFill="1" applyBorder="1"/>
    <xf numFmtId="3" fontId="7" fillId="0" borderId="31" xfId="0" applyNumberFormat="1" applyFont="1" applyFill="1" applyBorder="1" applyAlignment="1">
      <alignment horizontal="right"/>
    </xf>
    <xf numFmtId="0" fontId="2" fillId="0" borderId="60" xfId="0" applyFont="1" applyBorder="1"/>
    <xf numFmtId="0" fontId="2" fillId="0" borderId="26" xfId="0" applyFont="1" applyFill="1" applyBorder="1"/>
    <xf numFmtId="3" fontId="7" fillId="0" borderId="6" xfId="0" applyNumberFormat="1" applyFont="1" applyFill="1" applyBorder="1" applyAlignment="1">
      <alignment horizontal="right"/>
    </xf>
    <xf numFmtId="0" fontId="14" fillId="0" borderId="56" xfId="0" applyFont="1" applyFill="1" applyBorder="1" applyAlignment="1">
      <alignment horizontal="right"/>
    </xf>
    <xf numFmtId="0" fontId="6" fillId="0" borderId="29" xfId="0" applyFont="1" applyFill="1" applyBorder="1" applyAlignment="1">
      <alignment horizontal="left"/>
    </xf>
    <xf numFmtId="0" fontId="14" fillId="0" borderId="35" xfId="0" applyFont="1" applyFill="1" applyBorder="1" applyAlignment="1">
      <alignment horizontal="right"/>
    </xf>
    <xf numFmtId="0" fontId="6" fillId="0" borderId="18" xfId="0" applyFont="1" applyFill="1" applyBorder="1" applyAlignment="1">
      <alignment horizontal="left"/>
    </xf>
    <xf numFmtId="0" fontId="15" fillId="0" borderId="10" xfId="0" applyFont="1" applyBorder="1"/>
    <xf numFmtId="0" fontId="4" fillId="0" borderId="11" xfId="0" applyFont="1" applyBorder="1"/>
    <xf numFmtId="0" fontId="4" fillId="0" borderId="0" xfId="0" applyFont="1" applyBorder="1"/>
    <xf numFmtId="0" fontId="17" fillId="0" borderId="28" xfId="0" applyFont="1" applyBorder="1"/>
    <xf numFmtId="3" fontId="4" fillId="0" borderId="5" xfId="0" applyNumberFormat="1" applyFont="1" applyBorder="1"/>
    <xf numFmtId="0" fontId="17" fillId="0" borderId="21" xfId="0" applyFont="1" applyBorder="1"/>
    <xf numFmtId="0" fontId="2" fillId="0" borderId="22" xfId="0" applyFont="1" applyBorder="1" applyAlignment="1">
      <alignment horizontal="center"/>
    </xf>
    <xf numFmtId="3" fontId="4" fillId="0" borderId="24" xfId="0" applyNumberFormat="1" applyFont="1" applyBorder="1"/>
    <xf numFmtId="3" fontId="9" fillId="10" borderId="24" xfId="0" applyNumberFormat="1" applyFont="1" applyFill="1" applyBorder="1"/>
    <xf numFmtId="0" fontId="17" fillId="0" borderId="36" xfId="0" applyFont="1" applyBorder="1" applyAlignment="1">
      <alignment horizontal="left"/>
    </xf>
    <xf numFmtId="0" fontId="17" fillId="0" borderId="49" xfId="0" applyFont="1" applyBorder="1" applyAlignment="1">
      <alignment horizontal="left"/>
    </xf>
    <xf numFmtId="3" fontId="4" fillId="0" borderId="24" xfId="0" applyNumberFormat="1" applyFont="1" applyFill="1" applyBorder="1"/>
    <xf numFmtId="3" fontId="9" fillId="10" borderId="31" xfId="0" applyNumberFormat="1" applyFont="1" applyFill="1" applyBorder="1"/>
    <xf numFmtId="0" fontId="19" fillId="2" borderId="7" xfId="0" applyFont="1" applyFill="1" applyBorder="1" applyAlignment="1"/>
    <xf numFmtId="0" fontId="20" fillId="2" borderId="8" xfId="0" applyFont="1" applyFill="1" applyBorder="1" applyAlignment="1"/>
    <xf numFmtId="3" fontId="9" fillId="2" borderId="9" xfId="0" applyNumberFormat="1" applyFont="1" applyFill="1" applyBorder="1"/>
    <xf numFmtId="0" fontId="4" fillId="0" borderId="0" xfId="0" applyFont="1" applyFill="1" applyAlignment="1">
      <alignment horizontal="left"/>
    </xf>
    <xf numFmtId="0" fontId="7" fillId="0" borderId="0" xfId="0" applyFont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8" fillId="0" borderId="10" xfId="0" applyFont="1" applyFill="1" applyBorder="1"/>
    <xf numFmtId="3" fontId="8" fillId="0" borderId="13" xfId="0" applyNumberFormat="1" applyFont="1" applyFill="1" applyBorder="1"/>
    <xf numFmtId="0" fontId="2" fillId="0" borderId="47" xfId="0" applyFont="1" applyBorder="1"/>
    <xf numFmtId="0" fontId="2" fillId="0" borderId="38" xfId="0" applyFont="1" applyBorder="1"/>
    <xf numFmtId="0" fontId="2" fillId="0" borderId="37" xfId="0" applyFont="1" applyBorder="1"/>
    <xf numFmtId="0" fontId="2" fillId="0" borderId="39" xfId="0" applyFont="1" applyBorder="1"/>
    <xf numFmtId="3" fontId="3" fillId="2" borderId="16" xfId="0" applyNumberFormat="1" applyFont="1" applyFill="1" applyBorder="1" applyAlignment="1">
      <alignment horizontal="right"/>
    </xf>
    <xf numFmtId="3" fontId="3" fillId="2" borderId="64" xfId="0" applyNumberFormat="1" applyFont="1" applyFill="1" applyBorder="1" applyAlignment="1">
      <alignment horizontal="right"/>
    </xf>
    <xf numFmtId="0" fontId="2" fillId="0" borderId="2" xfId="0" applyFont="1" applyBorder="1"/>
    <xf numFmtId="0" fontId="2" fillId="0" borderId="12" xfId="0" applyFont="1" applyBorder="1"/>
    <xf numFmtId="0" fontId="4" fillId="2" borderId="47" xfId="0" applyFont="1" applyFill="1" applyBorder="1"/>
    <xf numFmtId="0" fontId="8" fillId="0" borderId="37" xfId="0" applyFont="1" applyFill="1" applyBorder="1"/>
    <xf numFmtId="0" fontId="8" fillId="0" borderId="34" xfId="0" applyFont="1" applyFill="1" applyBorder="1"/>
    <xf numFmtId="0" fontId="2" fillId="0" borderId="37" xfId="0" applyFont="1" applyFill="1" applyBorder="1"/>
    <xf numFmtId="0" fontId="6" fillId="0" borderId="37" xfId="0" applyFont="1" applyFill="1" applyBorder="1"/>
    <xf numFmtId="0" fontId="2" fillId="2" borderId="47" xfId="0" applyFont="1" applyFill="1" applyBorder="1"/>
    <xf numFmtId="0" fontId="8" fillId="0" borderId="46" xfId="0" applyFont="1" applyFill="1" applyBorder="1"/>
    <xf numFmtId="3" fontId="2" fillId="0" borderId="48" xfId="0" applyNumberFormat="1" applyFont="1" applyBorder="1"/>
    <xf numFmtId="0" fontId="4" fillId="0" borderId="48" xfId="0" applyFont="1" applyBorder="1"/>
    <xf numFmtId="3" fontId="8" fillId="0" borderId="23" xfId="0" applyNumberFormat="1" applyFont="1" applyFill="1" applyBorder="1"/>
    <xf numFmtId="3" fontId="8" fillId="0" borderId="19" xfId="0" applyNumberFormat="1" applyFont="1" applyFill="1" applyBorder="1"/>
    <xf numFmtId="3" fontId="2" fillId="0" borderId="19" xfId="0" applyNumberFormat="1" applyFont="1" applyBorder="1"/>
    <xf numFmtId="3" fontId="4" fillId="0" borderId="19" xfId="0" applyNumberFormat="1" applyFont="1" applyBorder="1"/>
    <xf numFmtId="3" fontId="8" fillId="0" borderId="12" xfId="0" applyNumberFormat="1" applyFont="1" applyFill="1" applyBorder="1"/>
    <xf numFmtId="3" fontId="4" fillId="0" borderId="27" xfId="0" applyNumberFormat="1" applyFont="1" applyBorder="1"/>
    <xf numFmtId="3" fontId="8" fillId="0" borderId="27" xfId="0" applyNumberFormat="1" applyFont="1" applyFill="1" applyBorder="1"/>
    <xf numFmtId="3" fontId="2" fillId="0" borderId="23" xfId="0" applyNumberFormat="1" applyFont="1" applyFill="1" applyBorder="1"/>
    <xf numFmtId="3" fontId="6" fillId="0" borderId="23" xfId="0" applyNumberFormat="1" applyFont="1" applyFill="1" applyBorder="1"/>
    <xf numFmtId="3" fontId="9" fillId="2" borderId="16" xfId="0" applyNumberFormat="1" applyFont="1" applyFill="1" applyBorder="1" applyAlignment="1">
      <alignment horizontal="right"/>
    </xf>
    <xf numFmtId="3" fontId="3" fillId="2" borderId="8" xfId="0" applyNumberFormat="1" applyFont="1" applyFill="1" applyBorder="1" applyAlignment="1">
      <alignment horizontal="right"/>
    </xf>
    <xf numFmtId="3" fontId="6" fillId="0" borderId="49" xfId="0" applyNumberFormat="1" applyFont="1" applyFill="1" applyBorder="1"/>
    <xf numFmtId="3" fontId="7" fillId="0" borderId="49" xfId="0" applyNumberFormat="1" applyFont="1" applyBorder="1"/>
    <xf numFmtId="3" fontId="7" fillId="0" borderId="2" xfId="0" applyNumberFormat="1" applyFont="1" applyBorder="1"/>
    <xf numFmtId="3" fontId="2" fillId="0" borderId="46" xfId="0" applyNumberFormat="1" applyFont="1" applyBorder="1"/>
    <xf numFmtId="3" fontId="7" fillId="0" borderId="48" xfId="0" applyNumberFormat="1" applyFont="1" applyBorder="1"/>
    <xf numFmtId="3" fontId="2" fillId="0" borderId="49" xfId="0" applyNumberFormat="1" applyFont="1" applyFill="1" applyBorder="1"/>
    <xf numFmtId="3" fontId="7" fillId="0" borderId="49" xfId="0" applyNumberFormat="1" applyFont="1" applyFill="1" applyBorder="1"/>
    <xf numFmtId="3" fontId="9" fillId="2" borderId="8" xfId="0" applyNumberFormat="1" applyFont="1" applyFill="1" applyBorder="1" applyAlignment="1">
      <alignment horizontal="right"/>
    </xf>
    <xf numFmtId="3" fontId="2" fillId="0" borderId="27" xfId="0" applyNumberFormat="1" applyFont="1" applyBorder="1"/>
    <xf numFmtId="3" fontId="7" fillId="0" borderId="19" xfId="0" applyNumberFormat="1" applyFont="1" applyFill="1" applyBorder="1"/>
    <xf numFmtId="3" fontId="7" fillId="0" borderId="23" xfId="0" applyNumberFormat="1" applyFont="1" applyFill="1" applyBorder="1"/>
    <xf numFmtId="3" fontId="2" fillId="0" borderId="19" xfId="0" applyNumberFormat="1" applyFont="1" applyFill="1" applyBorder="1"/>
    <xf numFmtId="3" fontId="6" fillId="6" borderId="52" xfId="0" applyNumberFormat="1" applyFont="1" applyFill="1" applyBorder="1" applyAlignment="1">
      <alignment horizontal="right"/>
    </xf>
    <xf numFmtId="3" fontId="6" fillId="6" borderId="36" xfId="0" applyNumberFormat="1" applyFont="1" applyFill="1" applyBorder="1" applyAlignment="1">
      <alignment horizontal="right"/>
    </xf>
    <xf numFmtId="3" fontId="6" fillId="6" borderId="60" xfId="0" applyNumberFormat="1" applyFont="1" applyFill="1" applyBorder="1" applyAlignment="1">
      <alignment horizontal="right"/>
    </xf>
    <xf numFmtId="3" fontId="6" fillId="6" borderId="35" xfId="0" applyNumberFormat="1" applyFont="1" applyFill="1" applyBorder="1" applyAlignment="1">
      <alignment horizontal="right"/>
    </xf>
    <xf numFmtId="3" fontId="3" fillId="7" borderId="7" xfId="0" applyNumberFormat="1" applyFont="1" applyFill="1" applyBorder="1" applyAlignment="1">
      <alignment horizontal="right"/>
    </xf>
    <xf numFmtId="0" fontId="2" fillId="0" borderId="18" xfId="0" applyFont="1" applyFill="1" applyBorder="1"/>
    <xf numFmtId="0" fontId="2" fillId="0" borderId="56" xfId="0" applyFont="1" applyBorder="1"/>
    <xf numFmtId="0" fontId="2" fillId="0" borderId="29" xfId="0" applyFont="1" applyFill="1" applyBorder="1"/>
    <xf numFmtId="3" fontId="7" fillId="0" borderId="5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0" fillId="0" borderId="6" xfId="0" applyFill="1" applyBorder="1"/>
    <xf numFmtId="3" fontId="4" fillId="0" borderId="53" xfId="0" applyNumberFormat="1" applyFont="1" applyFill="1" applyBorder="1" applyAlignment="1"/>
    <xf numFmtId="0" fontId="7" fillId="0" borderId="0" xfId="0" applyFont="1" applyFill="1"/>
    <xf numFmtId="0" fontId="3" fillId="3" borderId="3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3" fontId="8" fillId="0" borderId="65" xfId="0" applyNumberFormat="1" applyFont="1" applyFill="1" applyBorder="1"/>
    <xf numFmtId="3" fontId="8" fillId="0" borderId="66" xfId="0" applyNumberFormat="1" applyFont="1" applyFill="1" applyBorder="1"/>
    <xf numFmtId="3" fontId="2" fillId="0" borderId="66" xfId="0" applyNumberFormat="1" applyFont="1" applyBorder="1"/>
    <xf numFmtId="3" fontId="5" fillId="0" borderId="66" xfId="0" applyNumberFormat="1" applyFont="1" applyBorder="1"/>
    <xf numFmtId="3" fontId="8" fillId="0" borderId="67" xfId="0" applyNumberFormat="1" applyFont="1" applyFill="1" applyBorder="1"/>
    <xf numFmtId="3" fontId="8" fillId="0" borderId="68" xfId="0" applyNumberFormat="1" applyFont="1" applyFill="1" applyBorder="1"/>
    <xf numFmtId="3" fontId="2" fillId="0" borderId="66" xfId="0" applyNumberFormat="1" applyFont="1" applyFill="1" applyBorder="1"/>
    <xf numFmtId="3" fontId="4" fillId="0" borderId="67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66" xfId="0" applyNumberFormat="1" applyFont="1" applyFill="1" applyBorder="1" applyAlignment="1">
      <alignment horizontal="right"/>
    </xf>
    <xf numFmtId="3" fontId="7" fillId="0" borderId="46" xfId="0" applyNumberFormat="1" applyFont="1" applyBorder="1"/>
    <xf numFmtId="49" fontId="5" fillId="0" borderId="24" xfId="0" applyNumberFormat="1" applyFont="1" applyFill="1" applyBorder="1" applyAlignment="1">
      <alignment horizontal="left"/>
    </xf>
    <xf numFmtId="0" fontId="5" fillId="0" borderId="24" xfId="0" applyFont="1" applyFill="1" applyBorder="1"/>
    <xf numFmtId="0" fontId="2" fillId="0" borderId="36" xfId="0" applyFont="1" applyBorder="1"/>
    <xf numFmtId="0" fontId="2" fillId="0" borderId="22" xfId="0" applyFont="1" applyFill="1" applyBorder="1"/>
    <xf numFmtId="3" fontId="3" fillId="5" borderId="51" xfId="0" applyNumberFormat="1" applyFont="1" applyFill="1" applyBorder="1" applyAlignment="1">
      <alignment horizontal="right"/>
    </xf>
    <xf numFmtId="3" fontId="3" fillId="5" borderId="7" xfId="0" applyNumberFormat="1" applyFont="1" applyFill="1" applyBorder="1" applyAlignment="1">
      <alignment horizontal="right"/>
    </xf>
    <xf numFmtId="0" fontId="4" fillId="0" borderId="7" xfId="0" applyFont="1" applyFill="1" applyBorder="1"/>
    <xf numFmtId="0" fontId="4" fillId="0" borderId="15" xfId="0" applyFont="1" applyBorder="1"/>
    <xf numFmtId="0" fontId="5" fillId="0" borderId="11" xfId="0" applyFont="1" applyBorder="1"/>
    <xf numFmtId="0" fontId="9" fillId="12" borderId="7" xfId="0" applyFont="1" applyFill="1" applyBorder="1" applyAlignment="1">
      <alignment horizontal="left"/>
    </xf>
    <xf numFmtId="0" fontId="9" fillId="12" borderId="8" xfId="0" applyFont="1" applyFill="1" applyBorder="1" applyAlignment="1">
      <alignment horizontal="left"/>
    </xf>
    <xf numFmtId="3" fontId="9" fillId="12" borderId="9" xfId="0" applyNumberFormat="1" applyFont="1" applyFill="1" applyBorder="1" applyAlignment="1">
      <alignment horizontal="right"/>
    </xf>
    <xf numFmtId="0" fontId="8" fillId="0" borderId="38" xfId="0" applyFont="1" applyFill="1" applyBorder="1"/>
    <xf numFmtId="3" fontId="10" fillId="4" borderId="42" xfId="0" applyNumberFormat="1" applyFont="1" applyFill="1" applyBorder="1" applyAlignment="1">
      <alignment horizontal="right"/>
    </xf>
    <xf numFmtId="0" fontId="6" fillId="4" borderId="56" xfId="0" applyFont="1" applyFill="1" applyBorder="1" applyAlignment="1">
      <alignment horizontal="left"/>
    </xf>
    <xf numFmtId="3" fontId="10" fillId="4" borderId="5" xfId="0" applyNumberFormat="1" applyFont="1" applyFill="1" applyBorder="1" applyAlignment="1">
      <alignment horizontal="right"/>
    </xf>
    <xf numFmtId="3" fontId="6" fillId="4" borderId="27" xfId="0" applyNumberFormat="1" applyFont="1" applyFill="1" applyBorder="1" applyAlignment="1">
      <alignment horizontal="right"/>
    </xf>
    <xf numFmtId="3" fontId="6" fillId="4" borderId="6" xfId="0" applyNumberFormat="1" applyFont="1" applyFill="1" applyBorder="1" applyAlignment="1">
      <alignment horizontal="right"/>
    </xf>
    <xf numFmtId="3" fontId="4" fillId="0" borderId="16" xfId="0" applyNumberFormat="1" applyFont="1" applyBorder="1" applyAlignment="1"/>
    <xf numFmtId="3" fontId="4" fillId="0" borderId="16" xfId="0" applyNumberFormat="1" applyFont="1" applyFill="1" applyBorder="1" applyAlignment="1"/>
    <xf numFmtId="0" fontId="13" fillId="0" borderId="24" xfId="0" applyFont="1" applyFill="1" applyBorder="1"/>
    <xf numFmtId="0" fontId="2" fillId="13" borderId="1" xfId="0" applyFont="1" applyFill="1" applyBorder="1"/>
    <xf numFmtId="0" fontId="2" fillId="13" borderId="11" xfId="0" applyFont="1" applyFill="1" applyBorder="1"/>
    <xf numFmtId="3" fontId="7" fillId="13" borderId="13" xfId="0" applyNumberFormat="1" applyFont="1" applyFill="1" applyBorder="1" applyAlignment="1">
      <alignment horizontal="right"/>
    </xf>
    <xf numFmtId="0" fontId="2" fillId="0" borderId="46" xfId="0" applyFont="1" applyFill="1" applyBorder="1"/>
    <xf numFmtId="3" fontId="0" fillId="0" borderId="0" xfId="0" applyNumberFormat="1"/>
    <xf numFmtId="0" fontId="23" fillId="0" borderId="0" xfId="0" applyFont="1"/>
    <xf numFmtId="0" fontId="24" fillId="15" borderId="16" xfId="0" applyFont="1" applyFill="1" applyBorder="1" applyAlignment="1">
      <alignment horizontal="center" vertical="center"/>
    </xf>
    <xf numFmtId="3" fontId="24" fillId="15" borderId="16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right"/>
    </xf>
    <xf numFmtId="3" fontId="26" fillId="0" borderId="0" xfId="0" applyNumberFormat="1" applyFont="1"/>
    <xf numFmtId="0" fontId="25" fillId="0" borderId="14" xfId="0" applyFont="1" applyBorder="1"/>
    <xf numFmtId="49" fontId="5" fillId="0" borderId="23" xfId="0" applyNumberFormat="1" applyFont="1" applyFill="1" applyBorder="1" applyAlignment="1">
      <alignment horizontal="right"/>
    </xf>
    <xf numFmtId="0" fontId="27" fillId="0" borderId="21" xfId="0" applyFont="1" applyBorder="1"/>
    <xf numFmtId="3" fontId="28" fillId="0" borderId="22" xfId="0" applyNumberFormat="1" applyFont="1" applyFill="1" applyBorder="1" applyAlignment="1">
      <alignment horizontal="right"/>
    </xf>
    <xf numFmtId="49" fontId="5" fillId="0" borderId="30" xfId="0" applyNumberFormat="1" applyFont="1" applyFill="1" applyBorder="1" applyAlignment="1">
      <alignment horizontal="right"/>
    </xf>
    <xf numFmtId="0" fontId="27" fillId="0" borderId="21" xfId="0" applyFont="1" applyFill="1" applyBorder="1"/>
    <xf numFmtId="49" fontId="5" fillId="0" borderId="53" xfId="0" applyNumberFormat="1" applyFont="1" applyFill="1" applyBorder="1" applyAlignment="1">
      <alignment horizontal="right"/>
    </xf>
    <xf numFmtId="49" fontId="5" fillId="0" borderId="27" xfId="0" applyNumberFormat="1" applyFont="1" applyFill="1" applyBorder="1" applyAlignment="1">
      <alignment horizontal="right"/>
    </xf>
    <xf numFmtId="3" fontId="5" fillId="17" borderId="27" xfId="0" applyNumberFormat="1" applyFont="1" applyFill="1" applyBorder="1" applyAlignment="1"/>
    <xf numFmtId="3" fontId="27" fillId="0" borderId="22" xfId="0" applyNumberFormat="1" applyFont="1" applyFill="1" applyBorder="1" applyAlignment="1">
      <alignment horizontal="right"/>
    </xf>
    <xf numFmtId="49" fontId="5" fillId="0" borderId="58" xfId="0" applyNumberFormat="1" applyFont="1" applyFill="1" applyBorder="1" applyAlignment="1">
      <alignment horizontal="right"/>
    </xf>
    <xf numFmtId="49" fontId="5" fillId="0" borderId="23" xfId="0" applyNumberFormat="1" applyFont="1" applyFill="1" applyBorder="1" applyAlignment="1">
      <alignment horizontal="left"/>
    </xf>
    <xf numFmtId="49" fontId="5" fillId="0" borderId="58" xfId="0" applyNumberFormat="1" applyFont="1" applyFill="1" applyBorder="1" applyAlignment="1">
      <alignment horizontal="left"/>
    </xf>
    <xf numFmtId="0" fontId="5" fillId="0" borderId="53" xfId="0" applyFont="1" applyFill="1" applyBorder="1"/>
    <xf numFmtId="3" fontId="32" fillId="15" borderId="64" xfId="0" applyNumberFormat="1" applyFont="1" applyFill="1" applyBorder="1"/>
    <xf numFmtId="3" fontId="31" fillId="0" borderId="19" xfId="0" applyNumberFormat="1" applyFont="1" applyFill="1" applyBorder="1" applyAlignment="1"/>
    <xf numFmtId="0" fontId="5" fillId="0" borderId="20" xfId="0" applyFont="1" applyBorder="1"/>
    <xf numFmtId="3" fontId="0" fillId="0" borderId="19" xfId="0" applyNumberFormat="1" applyFill="1" applyBorder="1"/>
    <xf numFmtId="49" fontId="31" fillId="0" borderId="0" xfId="0" applyNumberFormat="1" applyFont="1" applyFill="1" applyBorder="1" applyAlignment="1">
      <alignment horizontal="center"/>
    </xf>
    <xf numFmtId="3" fontId="33" fillId="0" borderId="0" xfId="0" applyNumberFormat="1" applyFont="1" applyFill="1" applyBorder="1"/>
    <xf numFmtId="3" fontId="32" fillId="0" borderId="0" xfId="0" applyNumberFormat="1" applyFont="1" applyFill="1" applyBorder="1"/>
    <xf numFmtId="3" fontId="34" fillId="0" borderId="0" xfId="0" applyNumberFormat="1" applyFont="1"/>
    <xf numFmtId="3" fontId="11" fillId="0" borderId="0" xfId="0" applyNumberFormat="1" applyFont="1" applyFill="1" applyBorder="1"/>
    <xf numFmtId="3" fontId="26" fillId="0" borderId="0" xfId="0" applyNumberFormat="1" applyFont="1" applyFill="1"/>
    <xf numFmtId="0" fontId="0" fillId="0" borderId="0" xfId="0" applyFill="1"/>
    <xf numFmtId="3" fontId="31" fillId="0" borderId="0" xfId="0" applyNumberFormat="1" applyFont="1"/>
    <xf numFmtId="0" fontId="29" fillId="0" borderId="32" xfId="0" applyFont="1" applyFill="1" applyBorder="1"/>
    <xf numFmtId="0" fontId="25" fillId="14" borderId="14" xfId="0" applyFont="1" applyFill="1" applyBorder="1"/>
    <xf numFmtId="3" fontId="35" fillId="0" borderId="0" xfId="0" applyNumberFormat="1" applyFont="1" applyBorder="1"/>
    <xf numFmtId="0" fontId="4" fillId="0" borderId="29" xfId="0" applyFont="1" applyBorder="1"/>
    <xf numFmtId="0" fontId="6" fillId="0" borderId="22" xfId="0" applyFont="1" applyFill="1" applyBorder="1" applyAlignment="1">
      <alignment horizontal="left"/>
    </xf>
    <xf numFmtId="3" fontId="6" fillId="0" borderId="48" xfId="0" applyNumberFormat="1" applyFont="1" applyFill="1" applyBorder="1"/>
    <xf numFmtId="0" fontId="4" fillId="0" borderId="46" xfId="0" applyFont="1" applyBorder="1"/>
    <xf numFmtId="3" fontId="2" fillId="0" borderId="27" xfId="0" applyNumberFormat="1" applyFont="1" applyFill="1" applyBorder="1"/>
    <xf numFmtId="3" fontId="2" fillId="0" borderId="68" xfId="0" applyNumberFormat="1" applyFont="1" applyFill="1" applyBorder="1"/>
    <xf numFmtId="0" fontId="27" fillId="0" borderId="32" xfId="0" applyFont="1" applyFill="1" applyBorder="1"/>
    <xf numFmtId="3" fontId="27" fillId="0" borderId="33" xfId="0" applyNumberFormat="1" applyFont="1" applyFill="1" applyBorder="1" applyAlignment="1">
      <alignment horizontal="right"/>
    </xf>
    <xf numFmtId="3" fontId="7" fillId="0" borderId="0" xfId="0" applyNumberFormat="1" applyFont="1"/>
    <xf numFmtId="0" fontId="3" fillId="18" borderId="5" xfId="0" applyFont="1" applyFill="1" applyBorder="1" applyAlignment="1">
      <alignment horizontal="center" vertical="center" wrapText="1"/>
    </xf>
    <xf numFmtId="0" fontId="2" fillId="0" borderId="61" xfId="0" applyFont="1" applyBorder="1"/>
    <xf numFmtId="3" fontId="7" fillId="0" borderId="42" xfId="0" applyNumberFormat="1" applyFont="1" applyFill="1" applyBorder="1" applyAlignment="1">
      <alignment horizontal="right"/>
    </xf>
    <xf numFmtId="0" fontId="5" fillId="0" borderId="41" xfId="0" applyFont="1" applyBorder="1"/>
    <xf numFmtId="3" fontId="36" fillId="0" borderId="0" xfId="0" applyNumberFormat="1" applyFont="1"/>
    <xf numFmtId="0" fontId="0" fillId="0" borderId="0" xfId="0" applyBorder="1"/>
    <xf numFmtId="0" fontId="4" fillId="0" borderId="40" xfId="0" applyFont="1" applyFill="1" applyBorder="1"/>
    <xf numFmtId="3" fontId="4" fillId="0" borderId="53" xfId="0" applyNumberFormat="1" applyFont="1" applyBorder="1"/>
    <xf numFmtId="3" fontId="2" fillId="0" borderId="53" xfId="0" applyNumberFormat="1" applyFont="1" applyFill="1" applyBorder="1"/>
    <xf numFmtId="3" fontId="4" fillId="0" borderId="23" xfId="0" applyNumberFormat="1" applyFont="1" applyBorder="1"/>
    <xf numFmtId="0" fontId="8" fillId="0" borderId="40" xfId="0" applyFont="1" applyFill="1" applyBorder="1"/>
    <xf numFmtId="0" fontId="8" fillId="0" borderId="41" xfId="0" applyFont="1" applyFill="1" applyBorder="1"/>
    <xf numFmtId="0" fontId="2" fillId="0" borderId="44" xfId="0" applyFont="1" applyFill="1" applyBorder="1"/>
    <xf numFmtId="0" fontId="2" fillId="0" borderId="35" xfId="0" applyFont="1" applyBorder="1"/>
    <xf numFmtId="3" fontId="7" fillId="0" borderId="20" xfId="0" applyNumberFormat="1" applyFont="1" applyFill="1" applyBorder="1" applyAlignment="1">
      <alignment horizontal="right"/>
    </xf>
    <xf numFmtId="0" fontId="37" fillId="0" borderId="0" xfId="0" applyFont="1" applyAlignment="1">
      <alignment horizontal="right" vertical="center"/>
    </xf>
    <xf numFmtId="3" fontId="37" fillId="0" borderId="0" xfId="0" applyNumberFormat="1" applyFont="1"/>
    <xf numFmtId="0" fontId="38" fillId="0" borderId="0" xfId="0" applyFont="1" applyAlignment="1">
      <alignment horizontal="right"/>
    </xf>
    <xf numFmtId="3" fontId="38" fillId="0" borderId="0" xfId="0" applyNumberFormat="1" applyFont="1"/>
    <xf numFmtId="0" fontId="38" fillId="0" borderId="0" xfId="0" applyFont="1"/>
    <xf numFmtId="49" fontId="5" fillId="0" borderId="60" xfId="0" applyNumberFormat="1" applyFont="1" applyFill="1" applyBorder="1" applyAlignment="1">
      <alignment horizontal="right"/>
    </xf>
    <xf numFmtId="49" fontId="5" fillId="0" borderId="6" xfId="0" applyNumberFormat="1" applyFont="1" applyFill="1" applyBorder="1" applyAlignment="1">
      <alignment horizontal="left"/>
    </xf>
    <xf numFmtId="0" fontId="5" fillId="0" borderId="20" xfId="0" applyFont="1" applyFill="1" applyBorder="1"/>
    <xf numFmtId="49" fontId="5" fillId="0" borderId="37" xfId="0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right"/>
    </xf>
    <xf numFmtId="49" fontId="5" fillId="0" borderId="34" xfId="0" applyNumberFormat="1" applyFont="1" applyFill="1" applyBorder="1" applyAlignment="1">
      <alignment horizontal="left"/>
    </xf>
    <xf numFmtId="49" fontId="5" fillId="0" borderId="26" xfId="0" applyNumberFormat="1" applyFont="1" applyFill="1" applyBorder="1" applyAlignment="1">
      <alignment horizontal="left"/>
    </xf>
    <xf numFmtId="0" fontId="5" fillId="0" borderId="6" xfId="0" applyFont="1" applyBorder="1"/>
    <xf numFmtId="0" fontId="2" fillId="0" borderId="41" xfId="0" applyFont="1" applyBorder="1"/>
    <xf numFmtId="3" fontId="8" fillId="0" borderId="31" xfId="0" applyNumberFormat="1" applyFont="1" applyFill="1" applyBorder="1"/>
    <xf numFmtId="3" fontId="5" fillId="0" borderId="31" xfId="0" applyNumberFormat="1" applyFont="1" applyFill="1" applyBorder="1"/>
    <xf numFmtId="3" fontId="5" fillId="0" borderId="24" xfId="0" applyNumberFormat="1" applyFont="1" applyFill="1" applyBorder="1"/>
    <xf numFmtId="49" fontId="6" fillId="6" borderId="28" xfId="0" applyNumberFormat="1" applyFont="1" applyFill="1" applyBorder="1" applyAlignment="1">
      <alignment horizontal="right"/>
    </xf>
    <xf numFmtId="49" fontId="6" fillId="6" borderId="17" xfId="0" applyNumberFormat="1" applyFont="1" applyFill="1" applyBorder="1" applyAlignment="1">
      <alignment horizontal="right"/>
    </xf>
    <xf numFmtId="49" fontId="6" fillId="6" borderId="21" xfId="0" applyNumberFormat="1" applyFont="1" applyFill="1" applyBorder="1" applyAlignment="1">
      <alignment horizontal="right"/>
    </xf>
    <xf numFmtId="49" fontId="6" fillId="6" borderId="25" xfId="0" applyNumberFormat="1" applyFont="1" applyFill="1" applyBorder="1" applyAlignment="1">
      <alignment horizontal="right"/>
    </xf>
    <xf numFmtId="0" fontId="4" fillId="0" borderId="61" xfId="0" applyFont="1" applyFill="1" applyBorder="1"/>
    <xf numFmtId="0" fontId="39" fillId="4" borderId="17" xfId="0" applyFont="1" applyFill="1" applyBorder="1"/>
    <xf numFmtId="0" fontId="39" fillId="4" borderId="18" xfId="0" applyFont="1" applyFill="1" applyBorder="1"/>
    <xf numFmtId="3" fontId="39" fillId="0" borderId="19" xfId="0" applyNumberFormat="1" applyFont="1" applyBorder="1"/>
    <xf numFmtId="0" fontId="39" fillId="4" borderId="48" xfId="0" applyFont="1" applyFill="1" applyBorder="1"/>
    <xf numFmtId="3" fontId="39" fillId="4" borderId="19" xfId="0" applyNumberFormat="1" applyFont="1" applyFill="1" applyBorder="1"/>
    <xf numFmtId="3" fontId="39" fillId="4" borderId="66" xfId="0" applyNumberFormat="1" applyFont="1" applyFill="1" applyBorder="1"/>
    <xf numFmtId="3" fontId="39" fillId="4" borderId="20" xfId="0" applyNumberFormat="1" applyFont="1" applyFill="1" applyBorder="1"/>
    <xf numFmtId="0" fontId="39" fillId="4" borderId="21" xfId="0" applyFont="1" applyFill="1" applyBorder="1"/>
    <xf numFmtId="0" fontId="39" fillId="4" borderId="37" xfId="0" applyFont="1" applyFill="1" applyBorder="1"/>
    <xf numFmtId="3" fontId="39" fillId="4" borderId="23" xfId="0" applyNumberFormat="1" applyFont="1" applyFill="1" applyBorder="1"/>
    <xf numFmtId="0" fontId="39" fillId="4" borderId="49" xfId="0" applyFont="1" applyFill="1" applyBorder="1"/>
    <xf numFmtId="3" fontId="39" fillId="4" borderId="65" xfId="0" applyNumberFormat="1" applyFont="1" applyFill="1" applyBorder="1"/>
    <xf numFmtId="3" fontId="39" fillId="4" borderId="24" xfId="0" applyNumberFormat="1" applyFont="1" applyFill="1" applyBorder="1"/>
    <xf numFmtId="3" fontId="40" fillId="0" borderId="0" xfId="0" applyNumberFormat="1" applyFont="1"/>
    <xf numFmtId="49" fontId="5" fillId="0" borderId="27" xfId="0" applyNumberFormat="1" applyFont="1" applyFill="1" applyBorder="1" applyAlignment="1">
      <alignment horizontal="left"/>
    </xf>
    <xf numFmtId="0" fontId="4" fillId="0" borderId="20" xfId="0" applyFont="1" applyBorder="1"/>
    <xf numFmtId="14" fontId="7" fillId="0" borderId="0" xfId="0" applyNumberFormat="1" applyFont="1"/>
    <xf numFmtId="3" fontId="7" fillId="0" borderId="23" xfId="0" applyNumberFormat="1" applyFont="1" applyFill="1" applyBorder="1" applyAlignment="1">
      <alignment horizontal="right"/>
    </xf>
    <xf numFmtId="0" fontId="5" fillId="0" borderId="30" xfId="0" applyFont="1" applyFill="1" applyBorder="1"/>
    <xf numFmtId="0" fontId="5" fillId="0" borderId="23" xfId="0" applyFont="1" applyFill="1" applyBorder="1"/>
    <xf numFmtId="3" fontId="41" fillId="0" borderId="0" xfId="0" applyNumberFormat="1" applyFont="1"/>
    <xf numFmtId="3" fontId="40" fillId="0" borderId="48" xfId="0" applyNumberFormat="1" applyFont="1" applyBorder="1"/>
    <xf numFmtId="0" fontId="40" fillId="0" borderId="0" xfId="0" applyFont="1" applyAlignment="1">
      <alignment horizontal="right"/>
    </xf>
    <xf numFmtId="49" fontId="5" fillId="0" borderId="38" xfId="0" applyNumberFormat="1" applyFont="1" applyFill="1" applyBorder="1" applyAlignment="1">
      <alignment horizontal="left"/>
    </xf>
    <xf numFmtId="0" fontId="5" fillId="0" borderId="31" xfId="0" applyFont="1" applyFill="1" applyBorder="1"/>
    <xf numFmtId="0" fontId="5" fillId="0" borderId="34" xfId="0" applyFont="1" applyBorder="1"/>
    <xf numFmtId="3" fontId="42" fillId="0" borderId="0" xfId="0" applyNumberFormat="1" applyFont="1"/>
    <xf numFmtId="0" fontId="42" fillId="0" borderId="0" xfId="0" applyFont="1"/>
    <xf numFmtId="3" fontId="6" fillId="13" borderId="24" xfId="0" applyNumberFormat="1" applyFont="1" applyFill="1" applyBorder="1" applyAlignment="1">
      <alignment horizontal="right"/>
    </xf>
    <xf numFmtId="3" fontId="43" fillId="15" borderId="1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0" fillId="20" borderId="0" xfId="0" applyFill="1"/>
    <xf numFmtId="3" fontId="44" fillId="0" borderId="0" xfId="0" applyNumberFormat="1" applyFont="1"/>
    <xf numFmtId="0" fontId="45" fillId="0" borderId="15" xfId="0" applyFont="1" applyBorder="1"/>
    <xf numFmtId="0" fontId="45" fillId="0" borderId="9" xfId="0" applyFont="1" applyBorder="1"/>
    <xf numFmtId="1" fontId="27" fillId="0" borderId="24" xfId="1" applyNumberFormat="1" applyFont="1" applyBorder="1" applyAlignment="1">
      <alignment horizontal="left"/>
    </xf>
    <xf numFmtId="1" fontId="27" fillId="0" borderId="24" xfId="1" applyNumberFormat="1" applyFont="1" applyFill="1" applyBorder="1" applyAlignment="1">
      <alignment horizontal="left"/>
    </xf>
    <xf numFmtId="1" fontId="27" fillId="0" borderId="31" xfId="1" applyNumberFormat="1" applyFont="1" applyFill="1" applyBorder="1" applyAlignment="1">
      <alignment horizontal="left"/>
    </xf>
    <xf numFmtId="165" fontId="30" fillId="14" borderId="15" xfId="0" applyNumberFormat="1" applyFont="1" applyFill="1" applyBorder="1" applyAlignment="1">
      <alignment horizontal="right"/>
    </xf>
    <xf numFmtId="165" fontId="25" fillId="14" borderId="9" xfId="1" applyNumberFormat="1" applyFont="1" applyFill="1" applyBorder="1" applyAlignment="1">
      <alignment horizontal="left"/>
    </xf>
    <xf numFmtId="3" fontId="46" fillId="16" borderId="16" xfId="0" applyNumberFormat="1" applyFont="1" applyFill="1" applyBorder="1" applyAlignment="1">
      <alignment horizontal="center" vertical="center"/>
    </xf>
    <xf numFmtId="3" fontId="46" fillId="16" borderId="19" xfId="0" applyNumberFormat="1" applyFont="1" applyFill="1" applyBorder="1"/>
    <xf numFmtId="3" fontId="46" fillId="16" borderId="27" xfId="0" applyNumberFormat="1" applyFont="1" applyFill="1" applyBorder="1"/>
    <xf numFmtId="3" fontId="46" fillId="16" borderId="23" xfId="0" applyNumberFormat="1" applyFont="1" applyFill="1" applyBorder="1"/>
    <xf numFmtId="3" fontId="46" fillId="16" borderId="30" xfId="0" applyNumberFormat="1" applyFont="1" applyFill="1" applyBorder="1"/>
    <xf numFmtId="3" fontId="46" fillId="16" borderId="16" xfId="0" applyNumberFormat="1" applyFont="1" applyFill="1" applyBorder="1"/>
    <xf numFmtId="0" fontId="2" fillId="0" borderId="21" xfId="0" applyFont="1" applyBorder="1"/>
    <xf numFmtId="49" fontId="5" fillId="0" borderId="0" xfId="0" applyNumberFormat="1" applyFont="1" applyFill="1" applyBorder="1" applyAlignment="1">
      <alignment horizontal="left"/>
    </xf>
    <xf numFmtId="49" fontId="5" fillId="0" borderId="48" xfId="0" applyNumberFormat="1" applyFont="1" applyFill="1" applyBorder="1" applyAlignment="1">
      <alignment horizontal="left"/>
    </xf>
    <xf numFmtId="0" fontId="0" fillId="0" borderId="71" xfId="0" applyFill="1" applyBorder="1"/>
    <xf numFmtId="3" fontId="5" fillId="17" borderId="23" xfId="0" applyNumberFormat="1" applyFont="1" applyFill="1" applyBorder="1" applyAlignment="1"/>
    <xf numFmtId="3" fontId="2" fillId="0" borderId="0" xfId="0" applyNumberFormat="1" applyFont="1" applyBorder="1"/>
    <xf numFmtId="3" fontId="5" fillId="0" borderId="53" xfId="0" applyNumberFormat="1" applyFont="1" applyBorder="1"/>
    <xf numFmtId="3" fontId="5" fillId="0" borderId="72" xfId="0" applyNumberFormat="1" applyFont="1" applyBorder="1"/>
    <xf numFmtId="3" fontId="5" fillId="0" borderId="42" xfId="0" applyNumberFormat="1" applyFont="1" applyFill="1" applyBorder="1"/>
    <xf numFmtId="3" fontId="2" fillId="14" borderId="16" xfId="0" applyNumberFormat="1" applyFont="1" applyFill="1" applyBorder="1"/>
    <xf numFmtId="3" fontId="47" fillId="0" borderId="0" xfId="0" applyNumberFormat="1" applyFont="1"/>
    <xf numFmtId="3" fontId="0" fillId="0" borderId="0" xfId="0" applyNumberFormat="1" applyFill="1"/>
    <xf numFmtId="3" fontId="48" fillId="0" borderId="0" xfId="0" applyNumberFormat="1" applyFont="1"/>
    <xf numFmtId="3" fontId="49" fillId="0" borderId="0" xfId="0" applyNumberFormat="1" applyFont="1" applyFill="1" applyBorder="1"/>
    <xf numFmtId="3" fontId="50" fillId="0" borderId="45" xfId="0" applyNumberFormat="1" applyFont="1" applyBorder="1"/>
    <xf numFmtId="49" fontId="5" fillId="0" borderId="46" xfId="0" applyNumberFormat="1" applyFont="1" applyFill="1" applyBorder="1" applyAlignment="1">
      <alignment horizontal="left"/>
    </xf>
    <xf numFmtId="3" fontId="42" fillId="0" borderId="0" xfId="0" applyNumberFormat="1" applyFont="1" applyFill="1"/>
    <xf numFmtId="49" fontId="5" fillId="0" borderId="57" xfId="0" applyNumberFormat="1" applyFont="1" applyFill="1" applyBorder="1" applyAlignment="1">
      <alignment horizontal="right"/>
    </xf>
    <xf numFmtId="0" fontId="5" fillId="0" borderId="71" xfId="0" applyFont="1" applyBorder="1"/>
    <xf numFmtId="3" fontId="2" fillId="0" borderId="16" xfId="0" applyNumberFormat="1" applyFont="1" applyFill="1" applyBorder="1"/>
    <xf numFmtId="3" fontId="6" fillId="0" borderId="27" xfId="0" applyNumberFormat="1" applyFont="1" applyFill="1" applyBorder="1"/>
    <xf numFmtId="3" fontId="2" fillId="0" borderId="30" xfId="0" applyNumberFormat="1" applyFont="1" applyFill="1" applyBorder="1"/>
    <xf numFmtId="3" fontId="2" fillId="0" borderId="12" xfId="0" applyNumberFormat="1" applyFont="1" applyFill="1" applyBorder="1"/>
    <xf numFmtId="3" fontId="6" fillId="0" borderId="16" xfId="0" applyNumberFormat="1" applyFont="1" applyFill="1" applyBorder="1"/>
    <xf numFmtId="3" fontId="2" fillId="0" borderId="58" xfId="0" applyNumberFormat="1" applyFont="1" applyFill="1" applyBorder="1"/>
    <xf numFmtId="49" fontId="4" fillId="0" borderId="35" xfId="0" applyNumberFormat="1" applyFont="1" applyFill="1" applyBorder="1" applyAlignment="1">
      <alignment horizontal="right"/>
    </xf>
    <xf numFmtId="0" fontId="4" fillId="0" borderId="19" xfId="0" applyFont="1" applyFill="1" applyBorder="1" applyAlignment="1">
      <alignment horizontal="right"/>
    </xf>
    <xf numFmtId="0" fontId="4" fillId="0" borderId="48" xfId="0" applyFont="1" applyFill="1" applyBorder="1" applyAlignment="1">
      <alignment horizontal="right"/>
    </xf>
    <xf numFmtId="3" fontId="2" fillId="0" borderId="49" xfId="0" applyNumberFormat="1" applyFont="1" applyBorder="1"/>
    <xf numFmtId="3" fontId="5" fillId="0" borderId="65" xfId="0" applyNumberFormat="1" applyFont="1" applyBorder="1"/>
    <xf numFmtId="49" fontId="41" fillId="0" borderId="0" xfId="0" applyNumberFormat="1" applyFont="1" applyFill="1" applyBorder="1" applyAlignment="1">
      <alignment horizontal="right"/>
    </xf>
    <xf numFmtId="3" fontId="42" fillId="0" borderId="0" xfId="0" applyNumberFormat="1" applyFont="1" applyBorder="1"/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54" fillId="5" borderId="14" xfId="0" applyFont="1" applyFill="1" applyBorder="1" applyAlignment="1">
      <alignment horizontal="center" vertical="center"/>
    </xf>
    <xf numFmtId="0" fontId="54" fillId="5" borderId="15" xfId="0" applyFont="1" applyFill="1" applyBorder="1" applyAlignment="1">
      <alignment horizontal="center" vertical="center"/>
    </xf>
    <xf numFmtId="0" fontId="54" fillId="5" borderId="47" xfId="0" applyFont="1" applyFill="1" applyBorder="1" applyAlignment="1">
      <alignment horizontal="center" vertical="center"/>
    </xf>
    <xf numFmtId="49" fontId="54" fillId="5" borderId="15" xfId="0" applyNumberFormat="1" applyFont="1" applyFill="1" applyBorder="1" applyAlignment="1">
      <alignment horizontal="center" vertical="center" wrapText="1"/>
    </xf>
    <xf numFmtId="0" fontId="54" fillId="5" borderId="9" xfId="0" applyFont="1" applyFill="1" applyBorder="1" applyAlignment="1">
      <alignment horizontal="center" vertical="center" wrapText="1"/>
    </xf>
    <xf numFmtId="0" fontId="55" fillId="0" borderId="28" xfId="0" applyFont="1" applyBorder="1" applyAlignment="1">
      <alignment horizontal="center"/>
    </xf>
    <xf numFmtId="14" fontId="55" fillId="0" borderId="29" xfId="0" applyNumberFormat="1" applyFont="1" applyBorder="1" applyAlignment="1">
      <alignment horizontal="center"/>
    </xf>
    <xf numFmtId="0" fontId="55" fillId="0" borderId="29" xfId="0" applyFont="1" applyBorder="1" applyAlignment="1">
      <alignment horizontal="center"/>
    </xf>
    <xf numFmtId="3" fontId="55" fillId="0" borderId="29" xfId="0" applyNumberFormat="1" applyFont="1" applyBorder="1"/>
    <xf numFmtId="3" fontId="55" fillId="0" borderId="5" xfId="0" applyNumberFormat="1" applyFont="1" applyBorder="1"/>
    <xf numFmtId="0" fontId="56" fillId="0" borderId="21" xfId="0" applyFont="1" applyBorder="1" applyAlignment="1">
      <alignment horizontal="center"/>
    </xf>
    <xf numFmtId="14" fontId="56" fillId="0" borderId="22" xfId="0" applyNumberFormat="1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14" fontId="55" fillId="0" borderId="22" xfId="0" applyNumberFormat="1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3" fontId="55" fillId="0" borderId="22" xfId="0" applyNumberFormat="1" applyFont="1" applyBorder="1"/>
    <xf numFmtId="3" fontId="55" fillId="0" borderId="24" xfId="0" applyNumberFormat="1" applyFont="1" applyBorder="1"/>
    <xf numFmtId="0" fontId="55" fillId="0" borderId="17" xfId="0" applyFont="1" applyBorder="1" applyAlignment="1">
      <alignment horizontal="center"/>
    </xf>
    <xf numFmtId="0" fontId="55" fillId="0" borderId="18" xfId="0" applyFont="1" applyBorder="1" applyAlignment="1">
      <alignment horizontal="center"/>
    </xf>
    <xf numFmtId="14" fontId="55" fillId="0" borderId="18" xfId="0" applyNumberFormat="1" applyFont="1" applyBorder="1" applyAlignment="1">
      <alignment horizontal="center"/>
    </xf>
    <xf numFmtId="3" fontId="55" fillId="0" borderId="18" xfId="0" applyNumberFormat="1" applyFont="1" applyBorder="1"/>
    <xf numFmtId="3" fontId="55" fillId="0" borderId="20" xfId="0" applyNumberFormat="1" applyFont="1" applyBorder="1"/>
    <xf numFmtId="0" fontId="55" fillId="0" borderId="21" xfId="0" applyFont="1" applyBorder="1" applyAlignment="1">
      <alignment horizontal="center"/>
    </xf>
    <xf numFmtId="0" fontId="55" fillId="0" borderId="11" xfId="0" applyFont="1" applyBorder="1" applyAlignment="1">
      <alignment horizontal="center"/>
    </xf>
    <xf numFmtId="0" fontId="54" fillId="0" borderId="0" xfId="0" applyFont="1"/>
    <xf numFmtId="0" fontId="55" fillId="0" borderId="0" xfId="0" applyFont="1"/>
    <xf numFmtId="0" fontId="5" fillId="0" borderId="0" xfId="0" applyFont="1"/>
    <xf numFmtId="0" fontId="55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5" borderId="54" xfId="0" applyFont="1" applyFill="1" applyBorder="1" applyAlignment="1">
      <alignment horizontal="center"/>
    </xf>
    <xf numFmtId="0" fontId="58" fillId="5" borderId="73" xfId="0" applyFont="1" applyFill="1" applyBorder="1" applyAlignment="1">
      <alignment horizontal="center"/>
    </xf>
    <xf numFmtId="0" fontId="58" fillId="5" borderId="51" xfId="0" applyFont="1" applyFill="1" applyBorder="1" applyAlignment="1">
      <alignment horizontal="center"/>
    </xf>
    <xf numFmtId="3" fontId="58" fillId="16" borderId="9" xfId="0" applyNumberFormat="1" applyFont="1" applyFill="1" applyBorder="1" applyAlignment="1">
      <alignment horizontal="right"/>
    </xf>
    <xf numFmtId="0" fontId="6" fillId="16" borderId="17" xfId="0" applyFont="1" applyFill="1" applyBorder="1" applyAlignment="1">
      <alignment horizontal="center"/>
    </xf>
    <xf numFmtId="0" fontId="6" fillId="16" borderId="18" xfId="0" applyFont="1" applyFill="1" applyBorder="1" applyAlignment="1">
      <alignment horizontal="left"/>
    </xf>
    <xf numFmtId="3" fontId="6" fillId="16" borderId="20" xfId="0" applyNumberFormat="1" applyFont="1" applyFill="1" applyBorder="1" applyAlignment="1">
      <alignment horizontal="right"/>
    </xf>
    <xf numFmtId="3" fontId="58" fillId="10" borderId="9" xfId="0" applyNumberFormat="1" applyFont="1" applyFill="1" applyBorder="1" applyAlignment="1"/>
    <xf numFmtId="0" fontId="8" fillId="21" borderId="35" xfId="0" applyFont="1" applyFill="1" applyBorder="1" applyAlignment="1">
      <alignment horizontal="center"/>
    </xf>
    <xf numFmtId="0" fontId="8" fillId="10" borderId="18" xfId="0" applyFont="1" applyFill="1" applyBorder="1" applyAlignment="1">
      <alignment horizontal="left"/>
    </xf>
    <xf numFmtId="3" fontId="8" fillId="21" borderId="20" xfId="0" applyNumberFormat="1" applyFont="1" applyFill="1" applyBorder="1" applyAlignment="1">
      <alignment horizontal="right"/>
    </xf>
    <xf numFmtId="3" fontId="58" fillId="7" borderId="9" xfId="0" applyNumberFormat="1" applyFont="1" applyFill="1" applyBorder="1" applyAlignment="1"/>
    <xf numFmtId="0" fontId="6" fillId="7" borderId="35" xfId="0" applyFont="1" applyFill="1" applyBorder="1" applyAlignment="1">
      <alignment horizontal="center"/>
    </xf>
    <xf numFmtId="0" fontId="6" fillId="7" borderId="18" xfId="0" applyFont="1" applyFill="1" applyBorder="1" applyAlignment="1">
      <alignment horizontal="left"/>
    </xf>
    <xf numFmtId="3" fontId="6" fillId="7" borderId="20" xfId="0" applyNumberFormat="1" applyFont="1" applyFill="1" applyBorder="1" applyAlignment="1">
      <alignment horizontal="right"/>
    </xf>
    <xf numFmtId="0" fontId="0" fillId="7" borderId="35" xfId="0" applyFill="1" applyBorder="1" applyAlignment="1">
      <alignment horizontal="center"/>
    </xf>
    <xf numFmtId="0" fontId="0" fillId="7" borderId="18" xfId="0" applyFill="1" applyBorder="1"/>
    <xf numFmtId="3" fontId="0" fillId="7" borderId="20" xfId="0" applyNumberFormat="1" applyFill="1" applyBorder="1"/>
    <xf numFmtId="3" fontId="10" fillId="5" borderId="9" xfId="0" applyNumberFormat="1" applyFont="1" applyFill="1" applyBorder="1"/>
    <xf numFmtId="0" fontId="0" fillId="0" borderId="28" xfId="0" applyBorder="1"/>
    <xf numFmtId="0" fontId="0" fillId="0" borderId="29" xfId="0" applyFill="1" applyBorder="1"/>
    <xf numFmtId="3" fontId="0" fillId="0" borderId="5" xfId="0" applyNumberFormat="1" applyBorder="1"/>
    <xf numFmtId="0" fontId="0" fillId="0" borderId="40" xfId="0" applyBorder="1"/>
    <xf numFmtId="0" fontId="0" fillId="0" borderId="44" xfId="0" applyFill="1" applyBorder="1"/>
    <xf numFmtId="3" fontId="0" fillId="0" borderId="42" xfId="0" applyNumberFormat="1" applyBorder="1"/>
    <xf numFmtId="3" fontId="0" fillId="19" borderId="9" xfId="0" applyNumberFormat="1" applyFill="1" applyBorder="1"/>
    <xf numFmtId="3" fontId="31" fillId="5" borderId="9" xfId="0" applyNumberFormat="1" applyFont="1" applyFill="1" applyBorder="1"/>
    <xf numFmtId="0" fontId="0" fillId="0" borderId="0" xfId="0" applyFill="1" applyBorder="1"/>
    <xf numFmtId="0" fontId="58" fillId="5" borderId="28" xfId="0" applyFont="1" applyFill="1" applyBorder="1" applyAlignment="1">
      <alignment horizontal="center" wrapText="1"/>
    </xf>
    <xf numFmtId="0" fontId="58" fillId="5" borderId="29" xfId="0" applyFont="1" applyFill="1" applyBorder="1" applyAlignment="1">
      <alignment horizontal="center"/>
    </xf>
    <xf numFmtId="3" fontId="58" fillId="5" borderId="5" xfId="0" applyNumberFormat="1" applyFont="1" applyFill="1" applyBorder="1" applyAlignment="1">
      <alignment horizontal="center"/>
    </xf>
    <xf numFmtId="3" fontId="10" fillId="16" borderId="9" xfId="0" applyNumberFormat="1" applyFont="1" applyFill="1" applyBorder="1" applyAlignment="1">
      <alignment horizontal="right"/>
    </xf>
    <xf numFmtId="49" fontId="6" fillId="16" borderId="35" xfId="0" applyNumberFormat="1" applyFont="1" applyFill="1" applyBorder="1" applyAlignment="1">
      <alignment horizontal="center"/>
    </xf>
    <xf numFmtId="49" fontId="6" fillId="16" borderId="18" xfId="0" applyNumberFormat="1" applyFont="1" applyFill="1" applyBorder="1" applyAlignment="1">
      <alignment horizontal="left" vertical="center"/>
    </xf>
    <xf numFmtId="49" fontId="8" fillId="16" borderId="1" xfId="0" applyNumberFormat="1" applyFont="1" applyFill="1" applyBorder="1" applyAlignment="1">
      <alignment horizontal="center"/>
    </xf>
    <xf numFmtId="49" fontId="8" fillId="16" borderId="2" xfId="0" applyNumberFormat="1" applyFont="1" applyFill="1" applyBorder="1" applyAlignment="1">
      <alignment horizontal="center"/>
    </xf>
    <xf numFmtId="49" fontId="8" fillId="16" borderId="67" xfId="0" applyNumberFormat="1" applyFont="1" applyFill="1" applyBorder="1" applyAlignment="1">
      <alignment horizontal="center"/>
    </xf>
    <xf numFmtId="3" fontId="58" fillId="10" borderId="64" xfId="0" applyNumberFormat="1" applyFont="1" applyFill="1" applyBorder="1" applyAlignment="1"/>
    <xf numFmtId="49" fontId="8" fillId="21" borderId="1" xfId="0" applyNumberFormat="1" applyFont="1" applyFill="1" applyBorder="1" applyAlignment="1">
      <alignment horizontal="center"/>
    </xf>
    <xf numFmtId="0" fontId="8" fillId="10" borderId="11" xfId="0" applyFont="1" applyFill="1" applyBorder="1" applyAlignment="1">
      <alignment horizontal="left"/>
    </xf>
    <xf numFmtId="3" fontId="8" fillId="21" borderId="13" xfId="0" applyNumberFormat="1" applyFont="1" applyFill="1" applyBorder="1" applyAlignment="1">
      <alignment horizontal="right"/>
    </xf>
    <xf numFmtId="49" fontId="5" fillId="7" borderId="35" xfId="0" applyNumberFormat="1" applyFont="1" applyFill="1" applyBorder="1" applyAlignment="1">
      <alignment horizontal="center"/>
    </xf>
    <xf numFmtId="0" fontId="5" fillId="7" borderId="18" xfId="0" applyFont="1" applyFill="1" applyBorder="1"/>
    <xf numFmtId="3" fontId="0" fillId="13" borderId="20" xfId="0" applyNumberFormat="1" applyFill="1" applyBorder="1"/>
    <xf numFmtId="49" fontId="0" fillId="0" borderId="17" xfId="0" applyNumberFormat="1" applyFill="1" applyBorder="1"/>
    <xf numFmtId="0" fontId="5" fillId="0" borderId="18" xfId="0" applyFont="1" applyFill="1" applyBorder="1"/>
    <xf numFmtId="3" fontId="0" fillId="0" borderId="20" xfId="0" applyNumberFormat="1" applyFill="1" applyBorder="1"/>
    <xf numFmtId="49" fontId="0" fillId="0" borderId="10" xfId="0" applyNumberFormat="1" applyFill="1" applyBorder="1"/>
    <xf numFmtId="0" fontId="5" fillId="0" borderId="11" xfId="0" applyFont="1" applyFill="1" applyBorder="1"/>
    <xf numFmtId="3" fontId="0" fillId="0" borderId="13" xfId="0" applyNumberFormat="1" applyFill="1" applyBorder="1"/>
    <xf numFmtId="49" fontId="60" fillId="0" borderId="0" xfId="0" applyNumberFormat="1" applyFont="1" applyAlignment="1">
      <alignment horizontal="right"/>
    </xf>
    <xf numFmtId="0" fontId="8" fillId="10" borderId="22" xfId="0" applyFont="1" applyFill="1" applyBorder="1" applyAlignment="1">
      <alignment horizontal="left"/>
    </xf>
    <xf numFmtId="3" fontId="8" fillId="21" borderId="24" xfId="0" applyNumberFormat="1" applyFont="1" applyFill="1" applyBorder="1" applyAlignment="1">
      <alignment horizontal="right"/>
    </xf>
    <xf numFmtId="0" fontId="0" fillId="7" borderId="56" xfId="0" applyFill="1" applyBorder="1" applyAlignment="1">
      <alignment horizontal="center"/>
    </xf>
    <xf numFmtId="0" fontId="0" fillId="7" borderId="29" xfId="0" applyFill="1" applyBorder="1"/>
    <xf numFmtId="3" fontId="0" fillId="7" borderId="5" xfId="0" applyNumberFormat="1" applyFill="1" applyBorder="1"/>
    <xf numFmtId="0" fontId="0" fillId="7" borderId="60" xfId="0" applyFill="1" applyBorder="1" applyAlignment="1">
      <alignment horizontal="center"/>
    </xf>
    <xf numFmtId="3" fontId="0" fillId="7" borderId="6" xfId="0" applyNumberFormat="1" applyFill="1" applyBorder="1"/>
    <xf numFmtId="49" fontId="8" fillId="21" borderId="32" xfId="0" applyNumberFormat="1" applyFont="1" applyFill="1" applyBorder="1" applyAlignment="1">
      <alignment horizontal="center"/>
    </xf>
    <xf numFmtId="3" fontId="8" fillId="21" borderId="31" xfId="0" applyNumberFormat="1" applyFont="1" applyFill="1" applyBorder="1" applyAlignment="1">
      <alignment horizontal="right"/>
    </xf>
    <xf numFmtId="0" fontId="8" fillId="10" borderId="33" xfId="0" applyFont="1" applyFill="1" applyBorder="1" applyAlignment="1">
      <alignment horizontal="left"/>
    </xf>
    <xf numFmtId="0" fontId="6" fillId="7" borderId="29" xfId="0" applyFont="1" applyFill="1" applyBorder="1" applyAlignment="1">
      <alignment horizontal="left"/>
    </xf>
    <xf numFmtId="3" fontId="6" fillId="7" borderId="20" xfId="0" applyNumberFormat="1" applyFont="1" applyFill="1" applyBorder="1" applyAlignment="1"/>
    <xf numFmtId="49" fontId="5" fillId="7" borderId="1" xfId="0" applyNumberFormat="1" applyFont="1" applyFill="1" applyBorder="1" applyAlignment="1">
      <alignment horizontal="center"/>
    </xf>
    <xf numFmtId="0" fontId="5" fillId="7" borderId="11" xfId="0" applyFont="1" applyFill="1" applyBorder="1"/>
    <xf numFmtId="3" fontId="0" fillId="13" borderId="13" xfId="0" applyNumberFormat="1" applyFill="1" applyBorder="1"/>
    <xf numFmtId="49" fontId="8" fillId="21" borderId="56" xfId="0" applyNumberFormat="1" applyFont="1" applyFill="1" applyBorder="1" applyAlignment="1">
      <alignment horizontal="center"/>
    </xf>
    <xf numFmtId="0" fontId="8" fillId="10" borderId="29" xfId="0" applyFont="1" applyFill="1" applyBorder="1" applyAlignment="1">
      <alignment horizontal="left"/>
    </xf>
    <xf numFmtId="3" fontId="8" fillId="21" borderId="5" xfId="0" applyNumberFormat="1" applyFont="1" applyFill="1" applyBorder="1" applyAlignment="1">
      <alignment horizontal="right"/>
    </xf>
    <xf numFmtId="49" fontId="8" fillId="21" borderId="3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3" fontId="4" fillId="20" borderId="58" xfId="0" applyNumberFormat="1" applyFont="1" applyFill="1" applyBorder="1" applyAlignment="1"/>
    <xf numFmtId="3" fontId="7" fillId="20" borderId="24" xfId="0" applyNumberFormat="1" applyFont="1" applyFill="1" applyBorder="1" applyAlignment="1">
      <alignment horizontal="right"/>
    </xf>
    <xf numFmtId="3" fontId="7" fillId="20" borderId="6" xfId="0" applyNumberFormat="1" applyFont="1" applyFill="1" applyBorder="1" applyAlignment="1">
      <alignment horizontal="right"/>
    </xf>
    <xf numFmtId="3" fontId="7" fillId="20" borderId="42" xfId="0" applyNumberFormat="1" applyFont="1" applyFill="1" applyBorder="1" applyAlignment="1">
      <alignment horizontal="right"/>
    </xf>
    <xf numFmtId="3" fontId="2" fillId="20" borderId="5" xfId="0" applyNumberFormat="1" applyFont="1" applyFill="1" applyBorder="1"/>
    <xf numFmtId="3" fontId="2" fillId="20" borderId="24" xfId="0" applyNumberFormat="1" applyFont="1" applyFill="1" applyBorder="1"/>
    <xf numFmtId="3" fontId="4" fillId="20" borderId="24" xfId="0" applyNumberFormat="1" applyFont="1" applyFill="1" applyBorder="1" applyAlignment="1">
      <alignment horizontal="right"/>
    </xf>
    <xf numFmtId="3" fontId="6" fillId="20" borderId="24" xfId="0" applyNumberFormat="1" applyFont="1" applyFill="1" applyBorder="1" applyAlignment="1">
      <alignment horizontal="right"/>
    </xf>
    <xf numFmtId="3" fontId="5" fillId="20" borderId="20" xfId="0" applyNumberFormat="1" applyFont="1" applyFill="1" applyBorder="1"/>
    <xf numFmtId="3" fontId="7" fillId="20" borderId="20" xfId="0" applyNumberFormat="1" applyFont="1" applyFill="1" applyBorder="1"/>
    <xf numFmtId="3" fontId="7" fillId="20" borderId="24" xfId="0" applyNumberFormat="1" applyFont="1" applyFill="1" applyBorder="1"/>
    <xf numFmtId="3" fontId="4" fillId="0" borderId="30" xfId="0" applyNumberFormat="1" applyFont="1" applyFill="1" applyBorder="1" applyAlignment="1"/>
    <xf numFmtId="0" fontId="2" fillId="0" borderId="17" xfId="0" applyFont="1" applyBorder="1"/>
    <xf numFmtId="3" fontId="7" fillId="0" borderId="19" xfId="0" applyNumberFormat="1" applyFont="1" applyFill="1" applyBorder="1" applyAlignment="1">
      <alignment horizontal="right"/>
    </xf>
    <xf numFmtId="3" fontId="7" fillId="20" borderId="19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3" fontId="7" fillId="20" borderId="5" xfId="0" applyNumberFormat="1" applyFont="1" applyFill="1" applyBorder="1" applyAlignment="1">
      <alignment horizontal="right"/>
    </xf>
    <xf numFmtId="3" fontId="6" fillId="20" borderId="20" xfId="0" applyNumberFormat="1" applyFont="1" applyFill="1" applyBorder="1" applyAlignment="1">
      <alignment horizontal="right"/>
    </xf>
    <xf numFmtId="49" fontId="5" fillId="0" borderId="36" xfId="0" applyNumberFormat="1" applyFont="1" applyFill="1" applyBorder="1" applyAlignment="1">
      <alignment horizontal="right"/>
    </xf>
    <xf numFmtId="0" fontId="5" fillId="0" borderId="37" xfId="0" applyFont="1" applyBorder="1"/>
    <xf numFmtId="0" fontId="5" fillId="0" borderId="22" xfId="0" applyFont="1" applyBorder="1"/>
    <xf numFmtId="3" fontId="5" fillId="20" borderId="58" xfId="0" applyNumberFormat="1" applyFont="1" applyFill="1" applyBorder="1" applyAlignment="1"/>
    <xf numFmtId="49" fontId="5" fillId="0" borderId="56" xfId="0" applyNumberFormat="1" applyFont="1" applyBorder="1" applyAlignment="1">
      <alignment horizontal="right"/>
    </xf>
    <xf numFmtId="49" fontId="5" fillId="0" borderId="29" xfId="0" applyNumberFormat="1" applyFont="1" applyFill="1" applyBorder="1" applyAlignment="1">
      <alignment horizontal="left"/>
    </xf>
    <xf numFmtId="0" fontId="5" fillId="0" borderId="6" xfId="0" applyFont="1" applyFill="1" applyBorder="1"/>
    <xf numFmtId="3" fontId="6" fillId="20" borderId="51" xfId="0" applyNumberFormat="1" applyFont="1" applyFill="1" applyBorder="1" applyAlignment="1">
      <alignment horizontal="right"/>
    </xf>
    <xf numFmtId="3" fontId="4" fillId="20" borderId="13" xfId="0" applyNumberFormat="1" applyFont="1" applyFill="1" applyBorder="1" applyAlignment="1">
      <alignment horizontal="right"/>
    </xf>
    <xf numFmtId="3" fontId="6" fillId="20" borderId="5" xfId="0" applyNumberFormat="1" applyFont="1" applyFill="1" applyBorder="1" applyAlignment="1">
      <alignment horizontal="right"/>
    </xf>
    <xf numFmtId="3" fontId="4" fillId="20" borderId="20" xfId="0" applyNumberFormat="1" applyFont="1" applyFill="1" applyBorder="1" applyAlignment="1">
      <alignment horizontal="right"/>
    </xf>
    <xf numFmtId="49" fontId="6" fillId="6" borderId="10" xfId="0" applyNumberFormat="1" applyFont="1" applyFill="1" applyBorder="1" applyAlignment="1">
      <alignment horizontal="right"/>
    </xf>
    <xf numFmtId="0" fontId="6" fillId="6" borderId="34" xfId="0" applyFont="1" applyFill="1" applyBorder="1"/>
    <xf numFmtId="3" fontId="6" fillId="6" borderId="13" xfId="0" applyNumberFormat="1" applyFont="1" applyFill="1" applyBorder="1" applyAlignment="1">
      <alignment horizontal="right"/>
    </xf>
    <xf numFmtId="49" fontId="4" fillId="0" borderId="32" xfId="0" applyNumberFormat="1" applyFont="1" applyFill="1" applyBorder="1" applyAlignment="1">
      <alignment horizontal="right"/>
    </xf>
    <xf numFmtId="0" fontId="4" fillId="0" borderId="71" xfId="0" applyFont="1" applyBorder="1"/>
    <xf numFmtId="49" fontId="3" fillId="5" borderId="14" xfId="0" applyNumberFormat="1" applyFont="1" applyFill="1" applyBorder="1" applyAlignment="1">
      <alignment horizontal="left"/>
    </xf>
    <xf numFmtId="3" fontId="4" fillId="20" borderId="31" xfId="0" applyNumberFormat="1" applyFont="1" applyFill="1" applyBorder="1" applyAlignment="1">
      <alignment horizontal="right"/>
    </xf>
    <xf numFmtId="3" fontId="39" fillId="20" borderId="24" xfId="0" applyNumberFormat="1" applyFont="1" applyFill="1" applyBorder="1"/>
    <xf numFmtId="0" fontId="1" fillId="2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0" fontId="61" fillId="11" borderId="0" xfId="0" applyFont="1" applyFill="1" applyBorder="1" applyAlignment="1">
      <alignment horizontal="center" vertical="center" wrapText="1"/>
    </xf>
    <xf numFmtId="9" fontId="6" fillId="0" borderId="0" xfId="3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/>
    <xf numFmtId="3" fontId="38" fillId="0" borderId="0" xfId="0" applyNumberFormat="1" applyFont="1" applyFill="1"/>
    <xf numFmtId="3" fontId="37" fillId="0" borderId="0" xfId="0" applyNumberFormat="1" applyFont="1" applyFill="1"/>
    <xf numFmtId="0" fontId="13" fillId="0" borderId="0" xfId="0" applyFont="1" applyFill="1"/>
    <xf numFmtId="49" fontId="5" fillId="0" borderId="12" xfId="0" applyNumberFormat="1" applyFont="1" applyFill="1" applyBorder="1" applyAlignment="1">
      <alignment horizontal="right"/>
    </xf>
    <xf numFmtId="0" fontId="5" fillId="0" borderId="12" xfId="0" applyFont="1" applyBorder="1"/>
    <xf numFmtId="49" fontId="5" fillId="14" borderId="30" xfId="0" applyNumberFormat="1" applyFont="1" applyFill="1" applyBorder="1" applyAlignment="1">
      <alignment horizontal="right"/>
    </xf>
    <xf numFmtId="49" fontId="5" fillId="14" borderId="30" xfId="0" applyNumberFormat="1" applyFont="1" applyFill="1" applyBorder="1" applyAlignment="1">
      <alignment horizontal="left"/>
    </xf>
    <xf numFmtId="3" fontId="5" fillId="14" borderId="30" xfId="0" applyNumberFormat="1" applyFont="1" applyFill="1" applyBorder="1" applyAlignment="1"/>
    <xf numFmtId="49" fontId="5" fillId="0" borderId="19" xfId="0" applyNumberFormat="1" applyFont="1" applyFill="1" applyBorder="1" applyAlignment="1">
      <alignment horizontal="left"/>
    </xf>
    <xf numFmtId="49" fontId="5" fillId="0" borderId="45" xfId="0" applyNumberFormat="1" applyFont="1" applyFill="1" applyBorder="1" applyAlignment="1">
      <alignment horizontal="left"/>
    </xf>
    <xf numFmtId="3" fontId="5" fillId="20" borderId="19" xfId="0" applyNumberFormat="1" applyFont="1" applyFill="1" applyBorder="1" applyAlignment="1"/>
    <xf numFmtId="3" fontId="40" fillId="0" borderId="0" xfId="0" applyNumberFormat="1" applyFont="1" applyBorder="1"/>
    <xf numFmtId="49" fontId="5" fillId="20" borderId="19" xfId="0" applyNumberFormat="1" applyFont="1" applyFill="1" applyBorder="1" applyAlignment="1">
      <alignment horizontal="left"/>
    </xf>
    <xf numFmtId="3" fontId="0" fillId="0" borderId="0" xfId="0" applyNumberFormat="1" applyAlignment="1">
      <alignment horizontal="left"/>
    </xf>
    <xf numFmtId="3" fontId="29" fillId="0" borderId="33" xfId="0" applyNumberFormat="1" applyFont="1" applyFill="1" applyBorder="1" applyAlignment="1">
      <alignment horizontal="right"/>
    </xf>
    <xf numFmtId="49" fontId="5" fillId="20" borderId="19" xfId="0" applyNumberFormat="1" applyFont="1" applyFill="1" applyBorder="1" applyAlignment="1">
      <alignment horizontal="right"/>
    </xf>
    <xf numFmtId="49" fontId="5" fillId="20" borderId="27" xfId="0" applyNumberFormat="1" applyFont="1" applyFill="1" applyBorder="1" applyAlignment="1">
      <alignment horizontal="right"/>
    </xf>
    <xf numFmtId="49" fontId="5" fillId="20" borderId="46" xfId="0" applyNumberFormat="1" applyFont="1" applyFill="1" applyBorder="1" applyAlignment="1">
      <alignment horizontal="left"/>
    </xf>
    <xf numFmtId="3" fontId="5" fillId="20" borderId="27" xfId="0" applyNumberFormat="1" applyFont="1" applyFill="1" applyBorder="1" applyAlignment="1"/>
    <xf numFmtId="49" fontId="5" fillId="20" borderId="58" xfId="0" applyNumberFormat="1" applyFont="1" applyFill="1" applyBorder="1" applyAlignment="1">
      <alignment horizontal="right"/>
    </xf>
    <xf numFmtId="49" fontId="5" fillId="20" borderId="58" xfId="0" applyNumberFormat="1" applyFont="1" applyFill="1" applyBorder="1" applyAlignment="1">
      <alignment horizontal="left"/>
    </xf>
    <xf numFmtId="3" fontId="5" fillId="20" borderId="23" xfId="0" applyNumberFormat="1" applyFont="1" applyFill="1" applyBorder="1" applyAlignment="1"/>
    <xf numFmtId="49" fontId="5" fillId="20" borderId="23" xfId="0" applyNumberFormat="1" applyFont="1" applyFill="1" applyBorder="1" applyAlignment="1">
      <alignment horizontal="right"/>
    </xf>
    <xf numFmtId="49" fontId="5" fillId="20" borderId="23" xfId="0" applyNumberFormat="1" applyFont="1" applyFill="1" applyBorder="1" applyAlignment="1">
      <alignment horizontal="left"/>
    </xf>
    <xf numFmtId="3" fontId="5" fillId="20" borderId="42" xfId="0" applyNumberFormat="1" applyFont="1" applyFill="1" applyBorder="1"/>
    <xf numFmtId="3" fontId="4" fillId="20" borderId="23" xfId="0" applyNumberFormat="1" applyFont="1" applyFill="1" applyBorder="1" applyAlignment="1">
      <alignment horizontal="right"/>
    </xf>
    <xf numFmtId="3" fontId="4" fillId="20" borderId="27" xfId="0" applyNumberFormat="1" applyFont="1" applyFill="1" applyBorder="1" applyAlignment="1">
      <alignment horizontal="right"/>
    </xf>
    <xf numFmtId="3" fontId="4" fillId="20" borderId="5" xfId="0" applyNumberFormat="1" applyFont="1" applyFill="1" applyBorder="1" applyAlignment="1">
      <alignment horizontal="right"/>
    </xf>
    <xf numFmtId="0" fontId="27" fillId="20" borderId="21" xfId="0" applyFont="1" applyFill="1" applyBorder="1"/>
    <xf numFmtId="3" fontId="27" fillId="20" borderId="22" xfId="0" applyNumberFormat="1" applyFont="1" applyFill="1" applyBorder="1" applyAlignment="1">
      <alignment horizontal="right"/>
    </xf>
    <xf numFmtId="3" fontId="28" fillId="20" borderId="22" xfId="0" applyNumberFormat="1" applyFont="1" applyFill="1" applyBorder="1" applyAlignment="1">
      <alignment horizontal="right"/>
    </xf>
    <xf numFmtId="3" fontId="4" fillId="20" borderId="23" xfId="0" applyNumberFormat="1" applyFont="1" applyFill="1" applyBorder="1" applyAlignment="1"/>
    <xf numFmtId="3" fontId="4" fillId="20" borderId="6" xfId="0" applyNumberFormat="1" applyFont="1" applyFill="1" applyBorder="1" applyAlignment="1">
      <alignment horizontal="right"/>
    </xf>
    <xf numFmtId="0" fontId="58" fillId="0" borderId="0" xfId="0" applyFont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58" fillId="0" borderId="0" xfId="0" applyFont="1" applyAlignment="1">
      <alignment horizontal="center"/>
    </xf>
    <xf numFmtId="49" fontId="5" fillId="20" borderId="48" xfId="0" applyNumberFormat="1" applyFont="1" applyFill="1" applyBorder="1" applyAlignment="1">
      <alignment horizontal="left"/>
    </xf>
    <xf numFmtId="0" fontId="2" fillId="0" borderId="1" xfId="0" applyFont="1" applyBorder="1"/>
    <xf numFmtId="3" fontId="7" fillId="0" borderId="13" xfId="0" applyNumberFormat="1" applyFont="1" applyFill="1" applyBorder="1" applyAlignment="1">
      <alignment horizontal="right"/>
    </xf>
    <xf numFmtId="0" fontId="2" fillId="0" borderId="15" xfId="0" applyFont="1" applyFill="1" applyBorder="1"/>
    <xf numFmtId="3" fontId="7" fillId="20" borderId="13" xfId="0" applyNumberFormat="1" applyFont="1" applyFill="1" applyBorder="1" applyAlignment="1">
      <alignment horizontal="right"/>
    </xf>
    <xf numFmtId="3" fontId="5" fillId="20" borderId="30" xfId="0" applyNumberFormat="1" applyFont="1" applyFill="1" applyBorder="1" applyAlignment="1"/>
    <xf numFmtId="49" fontId="5" fillId="20" borderId="30" xfId="0" applyNumberFormat="1" applyFont="1" applyFill="1" applyBorder="1" applyAlignment="1">
      <alignment horizontal="right"/>
    </xf>
    <xf numFmtId="49" fontId="5" fillId="20" borderId="45" xfId="0" applyNumberFormat="1" applyFont="1" applyFill="1" applyBorder="1" applyAlignment="1">
      <alignment horizontal="left"/>
    </xf>
    <xf numFmtId="49" fontId="5" fillId="20" borderId="27" xfId="0" applyNumberFormat="1" applyFont="1" applyFill="1" applyBorder="1" applyAlignment="1">
      <alignment horizontal="left"/>
    </xf>
    <xf numFmtId="0" fontId="58" fillId="0" borderId="0" xfId="0" applyFont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3" fontId="2" fillId="20" borderId="20" xfId="0" applyNumberFormat="1" applyFont="1" applyFill="1" applyBorder="1"/>
    <xf numFmtId="3" fontId="8" fillId="20" borderId="6" xfId="0" applyNumberFormat="1" applyFont="1" applyFill="1" applyBorder="1"/>
    <xf numFmtId="0" fontId="58" fillId="0" borderId="0" xfId="0" applyFont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5" fillId="20" borderId="19" xfId="0" applyFont="1" applyFill="1" applyBorder="1"/>
    <xf numFmtId="0" fontId="8" fillId="0" borderId="14" xfId="0" applyFont="1" applyFill="1" applyBorder="1"/>
    <xf numFmtId="0" fontId="8" fillId="0" borderId="47" xfId="0" applyFont="1" applyFill="1" applyBorder="1"/>
    <xf numFmtId="3" fontId="8" fillId="0" borderId="9" xfId="0" applyNumberFormat="1" applyFont="1" applyFill="1" applyBorder="1"/>
    <xf numFmtId="3" fontId="5" fillId="20" borderId="53" xfId="0" applyNumberFormat="1" applyFont="1" applyFill="1" applyBorder="1" applyAlignment="1"/>
    <xf numFmtId="0" fontId="58" fillId="0" borderId="0" xfId="0" applyFont="1" applyAlignment="1">
      <alignment horizontal="center"/>
    </xf>
    <xf numFmtId="3" fontId="6" fillId="20" borderId="19" xfId="0" applyNumberFormat="1" applyFont="1" applyFill="1" applyBorder="1" applyAlignment="1">
      <alignment horizontal="right"/>
    </xf>
    <xf numFmtId="0" fontId="5" fillId="0" borderId="19" xfId="0" applyFont="1" applyFill="1" applyBorder="1"/>
    <xf numFmtId="49" fontId="5" fillId="20" borderId="53" xfId="0" applyNumberFormat="1" applyFont="1" applyFill="1" applyBorder="1" applyAlignment="1">
      <alignment horizontal="right"/>
    </xf>
    <xf numFmtId="0" fontId="5" fillId="20" borderId="0" xfId="0" applyFont="1" applyFill="1" applyBorder="1"/>
    <xf numFmtId="3" fontId="8" fillId="20" borderId="13" xfId="0" applyNumberFormat="1" applyFont="1" applyFill="1" applyBorder="1"/>
    <xf numFmtId="0" fontId="6" fillId="4" borderId="29" xfId="0" applyFont="1" applyFill="1" applyBorder="1"/>
    <xf numFmtId="0" fontId="2" fillId="6" borderId="36" xfId="0" applyFont="1" applyFill="1" applyBorder="1"/>
    <xf numFmtId="0" fontId="2" fillId="6" borderId="22" xfId="0" applyFont="1" applyFill="1" applyBorder="1"/>
    <xf numFmtId="3" fontId="7" fillId="6" borderId="24" xfId="0" applyNumberFormat="1" applyFont="1" applyFill="1" applyBorder="1" applyAlignment="1">
      <alignment horizontal="right"/>
    </xf>
    <xf numFmtId="0" fontId="56" fillId="0" borderId="2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49" fontId="8" fillId="21" borderId="21" xfId="0" applyNumberFormat="1" applyFont="1" applyFill="1" applyBorder="1" applyAlignment="1">
      <alignment horizontal="center"/>
    </xf>
    <xf numFmtId="0" fontId="5" fillId="20" borderId="30" xfId="0" applyFont="1" applyFill="1" applyBorder="1"/>
    <xf numFmtId="3" fontId="49" fillId="20" borderId="0" xfId="0" applyNumberFormat="1" applyFont="1" applyFill="1" applyBorder="1"/>
    <xf numFmtId="49" fontId="5" fillId="0" borderId="49" xfId="0" applyNumberFormat="1" applyFont="1" applyFill="1" applyBorder="1" applyAlignment="1">
      <alignment horizontal="left"/>
    </xf>
    <xf numFmtId="49" fontId="5" fillId="20" borderId="0" xfId="0" applyNumberFormat="1" applyFont="1" applyFill="1" applyBorder="1" applyAlignment="1">
      <alignment horizontal="left"/>
    </xf>
    <xf numFmtId="49" fontId="8" fillId="21" borderId="35" xfId="0" applyNumberFormat="1" applyFont="1" applyFill="1" applyBorder="1" applyAlignment="1">
      <alignment horizontal="center"/>
    </xf>
    <xf numFmtId="0" fontId="5" fillId="20" borderId="20" xfId="0" applyFont="1" applyFill="1" applyBorder="1"/>
    <xf numFmtId="3" fontId="0" fillId="20" borderId="19" xfId="0" applyNumberFormat="1" applyFill="1" applyBorder="1"/>
    <xf numFmtId="3" fontId="4" fillId="20" borderId="19" xfId="0" applyNumberFormat="1" applyFont="1" applyFill="1" applyBorder="1" applyAlignment="1"/>
    <xf numFmtId="0" fontId="55" fillId="0" borderId="25" xfId="0" applyFont="1" applyBorder="1" applyAlignment="1">
      <alignment horizontal="center"/>
    </xf>
    <xf numFmtId="3" fontId="8" fillId="20" borderId="9" xfId="0" applyNumberFormat="1" applyFont="1" applyFill="1" applyBorder="1"/>
    <xf numFmtId="3" fontId="2" fillId="20" borderId="6" xfId="0" applyNumberFormat="1" applyFont="1" applyFill="1" applyBorder="1"/>
    <xf numFmtId="3" fontId="5" fillId="20" borderId="12" xfId="0" applyNumberFormat="1" applyFont="1" applyFill="1" applyBorder="1" applyAlignment="1"/>
    <xf numFmtId="0" fontId="8" fillId="0" borderId="28" xfId="0" applyFont="1" applyFill="1" applyBorder="1"/>
    <xf numFmtId="0" fontId="8" fillId="0" borderId="52" xfId="0" applyFont="1" applyFill="1" applyBorder="1"/>
    <xf numFmtId="3" fontId="8" fillId="0" borderId="5" xfId="0" applyNumberFormat="1" applyFont="1" applyFill="1" applyBorder="1"/>
    <xf numFmtId="3" fontId="8" fillId="20" borderId="5" xfId="0" applyNumberFormat="1" applyFont="1" applyFill="1" applyBorder="1"/>
    <xf numFmtId="3" fontId="6" fillId="16" borderId="5" xfId="0" applyNumberFormat="1" applyFont="1" applyFill="1" applyBorder="1" applyAlignment="1">
      <alignment horizontal="righ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58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3" fontId="7" fillId="0" borderId="16" xfId="0" applyNumberFormat="1" applyFont="1" applyBorder="1"/>
    <xf numFmtId="0" fontId="58" fillId="0" borderId="0" xfId="0" applyFont="1" applyAlignment="1">
      <alignment horizontal="center"/>
    </xf>
    <xf numFmtId="3" fontId="4" fillId="20" borderId="13" xfId="0" applyNumberFormat="1" applyFont="1" applyFill="1" applyBorder="1"/>
    <xf numFmtId="3" fontId="6" fillId="20" borderId="9" xfId="0" applyNumberFormat="1" applyFont="1" applyFill="1" applyBorder="1"/>
    <xf numFmtId="49" fontId="5" fillId="20" borderId="49" xfId="0" applyNumberFormat="1" applyFont="1" applyFill="1" applyBorder="1" applyAlignment="1">
      <alignment horizontal="left"/>
    </xf>
    <xf numFmtId="3" fontId="5" fillId="14" borderId="19" xfId="0" applyNumberFormat="1" applyFont="1" applyFill="1" applyBorder="1" applyAlignment="1"/>
    <xf numFmtId="3" fontId="5" fillId="17" borderId="58" xfId="0" applyNumberFormat="1" applyFont="1" applyFill="1" applyBorder="1" applyAlignment="1"/>
    <xf numFmtId="49" fontId="5" fillId="20" borderId="59" xfId="0" applyNumberFormat="1" applyFont="1" applyFill="1" applyBorder="1" applyAlignment="1">
      <alignment horizontal="left"/>
    </xf>
    <xf numFmtId="0" fontId="5" fillId="20" borderId="53" xfId="0" applyFont="1" applyFill="1" applyBorder="1"/>
    <xf numFmtId="0" fontId="5" fillId="0" borderId="38" xfId="0" applyFont="1" applyBorder="1"/>
    <xf numFmtId="3" fontId="6" fillId="20" borderId="13" xfId="0" applyNumberFormat="1" applyFont="1" applyFill="1" applyBorder="1" applyAlignment="1">
      <alignment horizontal="right"/>
    </xf>
    <xf numFmtId="3" fontId="62" fillId="0" borderId="0" xfId="0" applyNumberFormat="1" applyFont="1" applyFill="1"/>
    <xf numFmtId="49" fontId="63" fillId="0" borderId="0" xfId="0" applyNumberFormat="1" applyFont="1" applyFill="1" applyBorder="1" applyAlignment="1">
      <alignment horizontal="right"/>
    </xf>
    <xf numFmtId="3" fontId="63" fillId="0" borderId="0" xfId="0" applyNumberFormat="1" applyFont="1" applyFill="1" applyBorder="1"/>
    <xf numFmtId="49" fontId="5" fillId="20" borderId="22" xfId="0" applyNumberFormat="1" applyFont="1" applyFill="1" applyBorder="1" applyAlignment="1">
      <alignment horizontal="left"/>
    </xf>
    <xf numFmtId="0" fontId="5" fillId="20" borderId="27" xfId="0" applyFont="1" applyFill="1" applyBorder="1"/>
    <xf numFmtId="0" fontId="5" fillId="20" borderId="23" xfId="0" applyFont="1" applyFill="1" applyBorder="1"/>
    <xf numFmtId="0" fontId="5" fillId="0" borderId="27" xfId="0" applyFont="1" applyFill="1" applyBorder="1"/>
    <xf numFmtId="49" fontId="5" fillId="20" borderId="12" xfId="0" applyNumberFormat="1" applyFont="1" applyFill="1" applyBorder="1" applyAlignment="1">
      <alignment horizontal="right"/>
    </xf>
    <xf numFmtId="49" fontId="5" fillId="20" borderId="12" xfId="0" applyNumberFormat="1" applyFont="1" applyFill="1" applyBorder="1" applyAlignment="1">
      <alignment horizontal="left"/>
    </xf>
    <xf numFmtId="0" fontId="0" fillId="0" borderId="27" xfId="0" applyBorder="1"/>
    <xf numFmtId="3" fontId="8" fillId="20" borderId="20" xfId="0" applyNumberFormat="1" applyFont="1" applyFill="1" applyBorder="1"/>
    <xf numFmtId="0" fontId="4" fillId="0" borderId="37" xfId="0" applyFont="1" applyFill="1" applyBorder="1"/>
    <xf numFmtId="0" fontId="58" fillId="0" borderId="0" xfId="0" applyFont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58" fillId="0" borderId="0" xfId="0" applyFont="1" applyAlignment="1">
      <alignment horizontal="center"/>
    </xf>
    <xf numFmtId="0" fontId="5" fillId="0" borderId="12" xfId="0" applyFont="1" applyFill="1" applyBorder="1"/>
    <xf numFmtId="49" fontId="5" fillId="0" borderId="59" xfId="0" applyNumberFormat="1" applyFont="1" applyFill="1" applyBorder="1" applyAlignment="1">
      <alignment horizontal="left"/>
    </xf>
    <xf numFmtId="0" fontId="6" fillId="0" borderId="39" xfId="0" applyFont="1" applyFill="1" applyBorder="1"/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58" fillId="0" borderId="0" xfId="0" applyFont="1" applyAlignment="1">
      <alignment horizontal="center"/>
    </xf>
    <xf numFmtId="3" fontId="5" fillId="20" borderId="24" xfId="0" applyNumberFormat="1" applyFont="1" applyFill="1" applyBorder="1"/>
    <xf numFmtId="3" fontId="6" fillId="20" borderId="6" xfId="0" applyNumberFormat="1" applyFont="1" applyFill="1" applyBorder="1" applyAlignment="1">
      <alignment horizontal="right"/>
    </xf>
    <xf numFmtId="49" fontId="5" fillId="0" borderId="12" xfId="0" applyNumberFormat="1" applyFont="1" applyFill="1" applyBorder="1" applyAlignment="1">
      <alignment horizontal="left"/>
    </xf>
    <xf numFmtId="0" fontId="58" fillId="0" borderId="0" xfId="0" applyFont="1" applyAlignment="1">
      <alignment horizontal="center"/>
    </xf>
    <xf numFmtId="0" fontId="56" fillId="0" borderId="26" xfId="0" applyFont="1" applyBorder="1" applyAlignment="1">
      <alignment horizontal="center"/>
    </xf>
    <xf numFmtId="14" fontId="55" fillId="0" borderId="26" xfId="0" applyNumberFormat="1" applyFont="1" applyBorder="1" applyAlignment="1">
      <alignment horizontal="center"/>
    </xf>
    <xf numFmtId="3" fontId="55" fillId="0" borderId="26" xfId="0" applyNumberFormat="1" applyFont="1" applyBorder="1"/>
    <xf numFmtId="3" fontId="55" fillId="0" borderId="6" xfId="0" applyNumberFormat="1" applyFont="1" applyBorder="1"/>
    <xf numFmtId="0" fontId="5" fillId="20" borderId="48" xfId="0" applyFont="1" applyFill="1" applyBorder="1"/>
    <xf numFmtId="0" fontId="6" fillId="0" borderId="34" xfId="0" applyFont="1" applyFill="1" applyBorder="1"/>
    <xf numFmtId="3" fontId="2" fillId="20" borderId="13" xfId="0" applyNumberFormat="1" applyFont="1" applyFill="1" applyBorder="1"/>
    <xf numFmtId="0" fontId="9" fillId="10" borderId="60" xfId="0" applyFont="1" applyFill="1" applyBorder="1" applyAlignment="1">
      <alignment horizontal="center"/>
    </xf>
    <xf numFmtId="0" fontId="9" fillId="10" borderId="63" xfId="0" applyFont="1" applyFill="1" applyBorder="1" applyAlignment="1">
      <alignment horizontal="center"/>
    </xf>
    <xf numFmtId="49" fontId="3" fillId="8" borderId="7" xfId="0" applyNumberFormat="1" applyFont="1" applyFill="1" applyBorder="1" applyAlignment="1">
      <alignment horizontal="center"/>
    </xf>
    <xf numFmtId="49" fontId="3" fillId="8" borderId="8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/>
    </xf>
    <xf numFmtId="0" fontId="12" fillId="9" borderId="43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/>
    </xf>
    <xf numFmtId="0" fontId="16" fillId="10" borderId="2" xfId="0" applyFont="1" applyFill="1" applyBorder="1" applyAlignment="1">
      <alignment horizontal="center"/>
    </xf>
    <xf numFmtId="0" fontId="18" fillId="10" borderId="36" xfId="0" applyFont="1" applyFill="1" applyBorder="1" applyAlignment="1">
      <alignment horizontal="center"/>
    </xf>
    <xf numFmtId="0" fontId="18" fillId="10" borderId="62" xfId="0" applyFont="1" applyFill="1" applyBorder="1" applyAlignment="1">
      <alignment horizontal="center"/>
    </xf>
    <xf numFmtId="49" fontId="10" fillId="4" borderId="3" xfId="0" applyNumberFormat="1" applyFont="1" applyFill="1" applyBorder="1" applyAlignment="1">
      <alignment horizontal="center"/>
    </xf>
    <xf numFmtId="49" fontId="10" fillId="4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left"/>
    </xf>
    <xf numFmtId="0" fontId="10" fillId="4" borderId="43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3" fillId="3" borderId="64" xfId="0" applyFont="1" applyFill="1" applyBorder="1" applyAlignment="1">
      <alignment horizontal="center" vertical="center"/>
    </xf>
    <xf numFmtId="0" fontId="3" fillId="5" borderId="7" xfId="0" applyFont="1" applyFill="1" applyBorder="1" applyAlignment="1"/>
    <xf numFmtId="0" fontId="2" fillId="0" borderId="8" xfId="0" applyFont="1" applyBorder="1" applyAlignment="1"/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43" xfId="0" applyFont="1" applyFill="1" applyBorder="1" applyAlignment="1">
      <alignment horizontal="center"/>
    </xf>
    <xf numFmtId="0" fontId="31" fillId="5" borderId="7" xfId="0" applyFont="1" applyFill="1" applyBorder="1" applyAlignment="1">
      <alignment horizontal="center"/>
    </xf>
    <xf numFmtId="0" fontId="31" fillId="5" borderId="8" xfId="0" applyFont="1" applyFill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8" fillId="16" borderId="7" xfId="0" applyFont="1" applyFill="1" applyBorder="1" applyAlignment="1">
      <alignment horizontal="center"/>
    </xf>
    <xf numFmtId="0" fontId="58" fillId="16" borderId="43" xfId="0" applyFont="1" applyFill="1" applyBorder="1" applyAlignment="1">
      <alignment horizontal="center"/>
    </xf>
    <xf numFmtId="0" fontId="58" fillId="10" borderId="7" xfId="0" applyFont="1" applyFill="1" applyBorder="1" applyAlignment="1">
      <alignment horizontal="center"/>
    </xf>
    <xf numFmtId="0" fontId="58" fillId="10" borderId="64" xfId="0" applyFont="1" applyFill="1" applyBorder="1" applyAlignment="1">
      <alignment horizontal="center"/>
    </xf>
    <xf numFmtId="0" fontId="58" fillId="7" borderId="7" xfId="0" applyFont="1" applyFill="1" applyBorder="1" applyAlignment="1">
      <alignment horizontal="center"/>
    </xf>
    <xf numFmtId="0" fontId="58" fillId="7" borderId="43" xfId="0" applyFont="1" applyFill="1" applyBorder="1" applyAlignment="1">
      <alignment horizontal="center"/>
    </xf>
    <xf numFmtId="0" fontId="31" fillId="5" borderId="43" xfId="0" applyFont="1" applyFill="1" applyBorder="1" applyAlignment="1">
      <alignment horizontal="center"/>
    </xf>
    <xf numFmtId="0" fontId="52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8" fillId="16" borderId="1" xfId="0" applyFont="1" applyFill="1" applyBorder="1" applyAlignment="1">
      <alignment horizontal="center"/>
    </xf>
    <xf numFmtId="0" fontId="8" fillId="16" borderId="2" xfId="0" applyFont="1" applyFill="1" applyBorder="1" applyAlignment="1">
      <alignment horizontal="center"/>
    </xf>
    <xf numFmtId="0" fontId="8" fillId="16" borderId="67" xfId="0" applyFont="1" applyFill="1" applyBorder="1" applyAlignment="1">
      <alignment horizontal="center"/>
    </xf>
    <xf numFmtId="0" fontId="58" fillId="10" borderId="8" xfId="0" applyFont="1" applyFill="1" applyBorder="1" applyAlignment="1">
      <alignment horizontal="center"/>
    </xf>
    <xf numFmtId="0" fontId="8" fillId="21" borderId="1" xfId="0" applyFont="1" applyFill="1" applyBorder="1" applyAlignment="1">
      <alignment horizontal="center"/>
    </xf>
    <xf numFmtId="0" fontId="8" fillId="21" borderId="2" xfId="0" applyFont="1" applyFill="1" applyBorder="1" applyAlignment="1">
      <alignment horizontal="center"/>
    </xf>
    <xf numFmtId="0" fontId="8" fillId="21" borderId="67" xfId="0" applyFont="1" applyFill="1" applyBorder="1" applyAlignment="1">
      <alignment horizontal="center"/>
    </xf>
    <xf numFmtId="0" fontId="58" fillId="7" borderId="8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5" fillId="14" borderId="7" xfId="0" applyFont="1" applyFill="1" applyBorder="1" applyAlignment="1">
      <alignment horizontal="center"/>
    </xf>
    <xf numFmtId="0" fontId="25" fillId="14" borderId="8" xfId="0" applyFont="1" applyFill="1" applyBorder="1" applyAlignment="1">
      <alignment horizontal="center"/>
    </xf>
    <xf numFmtId="0" fontId="25" fillId="14" borderId="64" xfId="0" applyFont="1" applyFill="1" applyBorder="1" applyAlignment="1">
      <alignment horizontal="center"/>
    </xf>
    <xf numFmtId="49" fontId="31" fillId="15" borderId="7" xfId="0" applyNumberFormat="1" applyFont="1" applyFill="1" applyBorder="1" applyAlignment="1">
      <alignment horizontal="center"/>
    </xf>
    <xf numFmtId="49" fontId="31" fillId="15" borderId="64" xfId="0" applyNumberFormat="1" applyFont="1" applyFill="1" applyBorder="1" applyAlignment="1">
      <alignment horizontal="center"/>
    </xf>
    <xf numFmtId="49" fontId="51" fillId="15" borderId="7" xfId="0" applyNumberFormat="1" applyFont="1" applyFill="1" applyBorder="1" applyAlignment="1">
      <alignment horizontal="center"/>
    </xf>
    <xf numFmtId="49" fontId="51" fillId="15" borderId="64" xfId="0" applyNumberFormat="1" applyFont="1" applyFill="1" applyBorder="1" applyAlignment="1">
      <alignment horizontal="center"/>
    </xf>
    <xf numFmtId="0" fontId="0" fillId="19" borderId="7" xfId="0" applyFill="1" applyBorder="1" applyAlignment="1">
      <alignment horizontal="center"/>
    </xf>
    <xf numFmtId="0" fontId="0" fillId="19" borderId="43" xfId="0" applyFill="1" applyBorder="1" applyAlignment="1">
      <alignment horizontal="center"/>
    </xf>
    <xf numFmtId="0" fontId="58" fillId="16" borderId="1" xfId="0" applyFont="1" applyFill="1" applyBorder="1" applyAlignment="1">
      <alignment horizontal="center"/>
    </xf>
    <xf numFmtId="0" fontId="57" fillId="0" borderId="0" xfId="0" applyFont="1" applyAlignment="1">
      <alignment horizontal="left" wrapText="1"/>
    </xf>
    <xf numFmtId="0" fontId="53" fillId="0" borderId="0" xfId="0" applyFont="1" applyAlignment="1">
      <alignment horizontal="center"/>
    </xf>
  </cellXfs>
  <cellStyles count="4">
    <cellStyle name="Čiarka" xfId="1" builtinId="3"/>
    <cellStyle name="Normálna" xfId="0" builtinId="0"/>
    <cellStyle name="Normálna 2" xfId="2" xr:uid="{00000000-0005-0000-0000-000001000000}"/>
    <cellStyle name="Percentá" xfId="3" builtinId="5"/>
  </cellStyles>
  <dxfs count="0"/>
  <tableStyles count="0" defaultTableStyle="TableStyleMedium2" defaultPivotStyle="PivotStyleMedium9"/>
  <colors>
    <mruColors>
      <color rgb="FFFFFF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82352-3A18-4E42-BE5D-31C9F23B3D49}">
  <sheetPr>
    <pageSetUpPr fitToPage="1"/>
  </sheetPr>
  <dimension ref="A1:AS265"/>
  <sheetViews>
    <sheetView tabSelected="1" zoomScale="115" zoomScaleNormal="115" workbookViewId="0">
      <selection sqref="A1:X1"/>
    </sheetView>
  </sheetViews>
  <sheetFormatPr defaultRowHeight="15" x14ac:dyDescent="0.25"/>
  <cols>
    <col min="1" max="1" width="6.42578125" customWidth="1"/>
    <col min="2" max="2" width="56.28515625" customWidth="1"/>
    <col min="3" max="24" width="12.7109375" customWidth="1"/>
    <col min="25" max="25" width="7.42578125" customWidth="1"/>
    <col min="26" max="26" width="12.7109375" customWidth="1"/>
    <col min="27" max="27" width="10" customWidth="1"/>
    <col min="33" max="33" width="10.85546875" customWidth="1"/>
    <col min="36" max="36" width="11.28515625" customWidth="1"/>
    <col min="44" max="44" width="13.85546875" customWidth="1"/>
    <col min="45" max="45" width="13.42578125" customWidth="1"/>
  </cols>
  <sheetData>
    <row r="1" spans="1:34" ht="18.75" thickBot="1" x14ac:dyDescent="0.3">
      <c r="A1" s="888" t="s">
        <v>0</v>
      </c>
      <c r="B1" s="889"/>
      <c r="C1" s="889"/>
      <c r="D1" s="889"/>
      <c r="E1" s="889"/>
      <c r="F1" s="889"/>
      <c r="G1" s="889"/>
      <c r="H1" s="889"/>
      <c r="I1" s="889"/>
      <c r="J1" s="889"/>
      <c r="K1" s="889"/>
      <c r="L1" s="889"/>
      <c r="M1" s="889"/>
      <c r="N1" s="889"/>
      <c r="O1" s="889"/>
      <c r="P1" s="889"/>
      <c r="Q1" s="889"/>
      <c r="R1" s="889"/>
      <c r="S1" s="889"/>
      <c r="T1" s="889"/>
      <c r="U1" s="889"/>
      <c r="V1" s="889"/>
      <c r="W1" s="889"/>
      <c r="X1" s="889"/>
      <c r="Y1" s="725"/>
      <c r="Z1" s="1"/>
    </row>
    <row r="2" spans="1:34" ht="46.5" customHeight="1" thickBot="1" x14ac:dyDescent="0.3">
      <c r="A2" s="890" t="s">
        <v>1</v>
      </c>
      <c r="B2" s="891"/>
      <c r="C2" s="387" t="s">
        <v>467</v>
      </c>
      <c r="D2" s="387" t="s">
        <v>465</v>
      </c>
      <c r="E2" s="387" t="s">
        <v>483</v>
      </c>
      <c r="F2" s="387" t="s">
        <v>500</v>
      </c>
      <c r="G2" s="387" t="s">
        <v>533</v>
      </c>
      <c r="H2" s="387" t="s">
        <v>578</v>
      </c>
      <c r="I2" s="387" t="s">
        <v>610</v>
      </c>
      <c r="J2" s="387" t="s">
        <v>579</v>
      </c>
      <c r="K2" s="387" t="s">
        <v>646</v>
      </c>
      <c r="L2" s="387" t="s">
        <v>637</v>
      </c>
      <c r="M2" s="387" t="s">
        <v>670</v>
      </c>
      <c r="N2" s="387" t="s">
        <v>680</v>
      </c>
      <c r="O2" s="387" t="s">
        <v>749</v>
      </c>
      <c r="P2" s="387" t="s">
        <v>774</v>
      </c>
      <c r="Q2" s="387" t="s">
        <v>783</v>
      </c>
      <c r="R2" s="387" t="s">
        <v>784</v>
      </c>
      <c r="S2" s="387" t="s">
        <v>885</v>
      </c>
      <c r="T2" s="387" t="s">
        <v>894</v>
      </c>
      <c r="U2" s="387" t="s">
        <v>913</v>
      </c>
      <c r="V2" s="387" t="s">
        <v>919</v>
      </c>
      <c r="W2" s="387" t="s">
        <v>994</v>
      </c>
      <c r="X2" s="387" t="s">
        <v>993</v>
      </c>
      <c r="Y2" s="727" t="s">
        <v>479</v>
      </c>
      <c r="Z2" s="1"/>
    </row>
    <row r="3" spans="1:34" ht="15.75" thickBot="1" x14ac:dyDescent="0.3">
      <c r="A3" s="892" t="s">
        <v>4</v>
      </c>
      <c r="B3" s="893"/>
      <c r="C3" s="2">
        <f t="shared" ref="C3:X3" si="0">SUM(C4:C10)</f>
        <v>1338200</v>
      </c>
      <c r="D3" s="2">
        <f t="shared" si="0"/>
        <v>1338200</v>
      </c>
      <c r="E3" s="2">
        <f t="shared" si="0"/>
        <v>1338200</v>
      </c>
      <c r="F3" s="2">
        <f t="shared" si="0"/>
        <v>1338200</v>
      </c>
      <c r="G3" s="2">
        <f t="shared" si="0"/>
        <v>1338200</v>
      </c>
      <c r="H3" s="2">
        <f t="shared" si="0"/>
        <v>1338200</v>
      </c>
      <c r="I3" s="2">
        <f t="shared" si="0"/>
        <v>1338200</v>
      </c>
      <c r="J3" s="2">
        <f t="shared" si="0"/>
        <v>1338200</v>
      </c>
      <c r="K3" s="2">
        <f t="shared" si="0"/>
        <v>1338200</v>
      </c>
      <c r="L3" s="2">
        <f t="shared" si="0"/>
        <v>1338200</v>
      </c>
      <c r="M3" s="2">
        <f t="shared" si="0"/>
        <v>1338200</v>
      </c>
      <c r="N3" s="2">
        <f t="shared" si="0"/>
        <v>1338200</v>
      </c>
      <c r="O3" s="2">
        <f t="shared" si="0"/>
        <v>1338200</v>
      </c>
      <c r="P3" s="2">
        <f t="shared" si="0"/>
        <v>1336300</v>
      </c>
      <c r="Q3" s="2">
        <f t="shared" si="0"/>
        <v>1336300</v>
      </c>
      <c r="R3" s="2">
        <f t="shared" si="0"/>
        <v>1336300</v>
      </c>
      <c r="S3" s="2">
        <f t="shared" si="0"/>
        <v>1336300</v>
      </c>
      <c r="T3" s="2">
        <f t="shared" ref="T3:U3" si="1">SUM(T4:T10)</f>
        <v>1336300</v>
      </c>
      <c r="U3" s="2">
        <f t="shared" si="1"/>
        <v>1336300</v>
      </c>
      <c r="V3" s="2">
        <f t="shared" ref="V3:W3" si="2">SUM(V4:V10)</f>
        <v>1336300</v>
      </c>
      <c r="W3" s="2">
        <f t="shared" si="2"/>
        <v>1336300</v>
      </c>
      <c r="X3" s="2">
        <f t="shared" si="0"/>
        <v>1232584</v>
      </c>
      <c r="Y3" s="728">
        <f>X3/W3</f>
        <v>0.92238569183566566</v>
      </c>
      <c r="Z3" s="1"/>
    </row>
    <row r="4" spans="1:34" ht="15.75" thickBot="1" x14ac:dyDescent="0.3">
      <c r="A4" s="3">
        <v>111</v>
      </c>
      <c r="B4" s="120" t="s">
        <v>5</v>
      </c>
      <c r="C4" s="6">
        <v>1227300</v>
      </c>
      <c r="D4" s="6">
        <v>1227300</v>
      </c>
      <c r="E4" s="6">
        <v>1227300</v>
      </c>
      <c r="F4" s="6">
        <v>1227300</v>
      </c>
      <c r="G4" s="6">
        <v>1227300</v>
      </c>
      <c r="H4" s="6">
        <v>1227300</v>
      </c>
      <c r="I4" s="6">
        <v>1227300</v>
      </c>
      <c r="J4" s="6">
        <v>1227300</v>
      </c>
      <c r="K4" s="6">
        <v>1227300</v>
      </c>
      <c r="L4" s="6">
        <v>1227300</v>
      </c>
      <c r="M4" s="6">
        <v>1227300</v>
      </c>
      <c r="N4" s="6">
        <v>1227300</v>
      </c>
      <c r="O4" s="6">
        <v>1227300</v>
      </c>
      <c r="P4" s="828">
        <f>1227300-1900</f>
        <v>1225400</v>
      </c>
      <c r="Q4" s="6">
        <f t="shared" ref="Q4:W4" si="3">1227300-1900</f>
        <v>1225400</v>
      </c>
      <c r="R4" s="6">
        <f t="shared" si="3"/>
        <v>1225400</v>
      </c>
      <c r="S4" s="6">
        <f t="shared" si="3"/>
        <v>1225400</v>
      </c>
      <c r="T4" s="6">
        <f t="shared" si="3"/>
        <v>1225400</v>
      </c>
      <c r="U4" s="6">
        <f t="shared" si="3"/>
        <v>1225400</v>
      </c>
      <c r="V4" s="6">
        <f t="shared" si="3"/>
        <v>1225400</v>
      </c>
      <c r="W4" s="6">
        <f t="shared" si="3"/>
        <v>1225400</v>
      </c>
      <c r="X4" s="6">
        <v>1125433</v>
      </c>
      <c r="Y4" s="728">
        <f t="shared" ref="Y4:Y68" si="4">X4/W4</f>
        <v>0.91842092377999018</v>
      </c>
      <c r="Z4" s="1"/>
    </row>
    <row r="5" spans="1:34" ht="15.75" thickBot="1" x14ac:dyDescent="0.3">
      <c r="A5" s="7">
        <v>121</v>
      </c>
      <c r="B5" s="332" t="s">
        <v>6</v>
      </c>
      <c r="C5" s="11">
        <v>61200</v>
      </c>
      <c r="D5" s="11">
        <v>61200</v>
      </c>
      <c r="E5" s="11">
        <v>61200</v>
      </c>
      <c r="F5" s="11">
        <v>61200</v>
      </c>
      <c r="G5" s="11">
        <v>61200</v>
      </c>
      <c r="H5" s="11">
        <v>61200</v>
      </c>
      <c r="I5" s="11">
        <v>61200</v>
      </c>
      <c r="J5" s="11">
        <v>61200</v>
      </c>
      <c r="K5" s="11">
        <v>61200</v>
      </c>
      <c r="L5" s="11">
        <v>61200</v>
      </c>
      <c r="M5" s="11">
        <v>61200</v>
      </c>
      <c r="N5" s="11">
        <v>61200</v>
      </c>
      <c r="O5" s="11">
        <v>61200</v>
      </c>
      <c r="P5" s="11">
        <v>61200</v>
      </c>
      <c r="Q5" s="11">
        <v>61200</v>
      </c>
      <c r="R5" s="11">
        <v>61200</v>
      </c>
      <c r="S5" s="11">
        <v>61200</v>
      </c>
      <c r="T5" s="11">
        <v>61200</v>
      </c>
      <c r="U5" s="11">
        <v>61200</v>
      </c>
      <c r="V5" s="11">
        <v>61200</v>
      </c>
      <c r="W5" s="11">
        <v>61200</v>
      </c>
      <c r="X5" s="11">
        <v>60332</v>
      </c>
      <c r="Y5" s="728">
        <f t="shared" si="4"/>
        <v>0.98581699346405227</v>
      </c>
      <c r="Z5" s="1"/>
    </row>
    <row r="6" spans="1:34" x14ac:dyDescent="0.25">
      <c r="A6" s="12">
        <v>133</v>
      </c>
      <c r="B6" s="333" t="s">
        <v>7</v>
      </c>
      <c r="C6" s="16">
        <v>2000</v>
      </c>
      <c r="D6" s="16">
        <v>2000</v>
      </c>
      <c r="E6" s="16">
        <v>2000</v>
      </c>
      <c r="F6" s="16">
        <v>2000</v>
      </c>
      <c r="G6" s="16">
        <v>2000</v>
      </c>
      <c r="H6" s="16">
        <v>2000</v>
      </c>
      <c r="I6" s="16">
        <v>2000</v>
      </c>
      <c r="J6" s="16">
        <v>2000</v>
      </c>
      <c r="K6" s="16">
        <v>2000</v>
      </c>
      <c r="L6" s="16">
        <v>2000</v>
      </c>
      <c r="M6" s="16">
        <v>2000</v>
      </c>
      <c r="N6" s="16">
        <v>2000</v>
      </c>
      <c r="O6" s="16">
        <v>2000</v>
      </c>
      <c r="P6" s="16">
        <v>2000</v>
      </c>
      <c r="Q6" s="16">
        <v>2000</v>
      </c>
      <c r="R6" s="16">
        <v>2000</v>
      </c>
      <c r="S6" s="16">
        <v>2000</v>
      </c>
      <c r="T6" s="16">
        <v>2000</v>
      </c>
      <c r="U6" s="16">
        <v>2000</v>
      </c>
      <c r="V6" s="16">
        <v>2000</v>
      </c>
      <c r="W6" s="16">
        <v>2000</v>
      </c>
      <c r="X6" s="16">
        <v>1824</v>
      </c>
      <c r="Y6" s="728">
        <f t="shared" si="4"/>
        <v>0.91200000000000003</v>
      </c>
      <c r="Z6" s="1"/>
    </row>
    <row r="7" spans="1:34" x14ac:dyDescent="0.25">
      <c r="A7" s="17">
        <v>133</v>
      </c>
      <c r="B7" s="334" t="s">
        <v>8</v>
      </c>
      <c r="C7" s="21">
        <v>200</v>
      </c>
      <c r="D7" s="21">
        <v>200</v>
      </c>
      <c r="E7" s="21">
        <v>200</v>
      </c>
      <c r="F7" s="21">
        <v>200</v>
      </c>
      <c r="G7" s="21">
        <v>200</v>
      </c>
      <c r="H7" s="21">
        <v>200</v>
      </c>
      <c r="I7" s="21">
        <v>200</v>
      </c>
      <c r="J7" s="21">
        <v>200</v>
      </c>
      <c r="K7" s="21">
        <v>200</v>
      </c>
      <c r="L7" s="21">
        <v>200</v>
      </c>
      <c r="M7" s="21">
        <v>200</v>
      </c>
      <c r="N7" s="21">
        <v>200</v>
      </c>
      <c r="O7" s="21">
        <v>200</v>
      </c>
      <c r="P7" s="21">
        <v>200</v>
      </c>
      <c r="Q7" s="21">
        <v>200</v>
      </c>
      <c r="R7" s="21">
        <v>200</v>
      </c>
      <c r="S7" s="21">
        <v>200</v>
      </c>
      <c r="T7" s="21">
        <v>200</v>
      </c>
      <c r="U7" s="21">
        <v>200</v>
      </c>
      <c r="V7" s="21">
        <v>200</v>
      </c>
      <c r="W7" s="21">
        <v>200</v>
      </c>
      <c r="X7" s="21">
        <v>160</v>
      </c>
      <c r="Y7" s="728">
        <f t="shared" si="4"/>
        <v>0.8</v>
      </c>
      <c r="Z7" s="1"/>
    </row>
    <row r="8" spans="1:34" x14ac:dyDescent="0.25">
      <c r="A8" s="17">
        <v>133</v>
      </c>
      <c r="B8" s="334" t="s">
        <v>9</v>
      </c>
      <c r="C8" s="21">
        <v>6000</v>
      </c>
      <c r="D8" s="21">
        <v>6000</v>
      </c>
      <c r="E8" s="21">
        <v>6000</v>
      </c>
      <c r="F8" s="21">
        <v>6000</v>
      </c>
      <c r="G8" s="21">
        <v>6000</v>
      </c>
      <c r="H8" s="21">
        <v>6000</v>
      </c>
      <c r="I8" s="21">
        <v>6000</v>
      </c>
      <c r="J8" s="21">
        <v>6000</v>
      </c>
      <c r="K8" s="21">
        <v>6000</v>
      </c>
      <c r="L8" s="21">
        <v>6000</v>
      </c>
      <c r="M8" s="21">
        <v>6000</v>
      </c>
      <c r="N8" s="21">
        <v>6000</v>
      </c>
      <c r="O8" s="21">
        <v>6000</v>
      </c>
      <c r="P8" s="21">
        <v>6000</v>
      </c>
      <c r="Q8" s="21">
        <v>6000</v>
      </c>
      <c r="R8" s="21">
        <v>6000</v>
      </c>
      <c r="S8" s="21">
        <v>6000</v>
      </c>
      <c r="T8" s="21">
        <v>6000</v>
      </c>
      <c r="U8" s="21">
        <v>6000</v>
      </c>
      <c r="V8" s="21">
        <v>6000</v>
      </c>
      <c r="W8" s="21">
        <v>6000</v>
      </c>
      <c r="X8" s="21">
        <v>5534</v>
      </c>
      <c r="Y8" s="728">
        <f t="shared" si="4"/>
        <v>0.92233333333333334</v>
      </c>
      <c r="Z8" s="1"/>
    </row>
    <row r="9" spans="1:34" x14ac:dyDescent="0.25">
      <c r="A9" s="17">
        <v>133</v>
      </c>
      <c r="B9" s="334" t="s">
        <v>10</v>
      </c>
      <c r="C9" s="21">
        <v>6500</v>
      </c>
      <c r="D9" s="21">
        <v>6500</v>
      </c>
      <c r="E9" s="21">
        <v>6500</v>
      </c>
      <c r="F9" s="21">
        <v>6500</v>
      </c>
      <c r="G9" s="21">
        <v>6500</v>
      </c>
      <c r="H9" s="21">
        <v>6500</v>
      </c>
      <c r="I9" s="21">
        <v>6500</v>
      </c>
      <c r="J9" s="21">
        <v>6500</v>
      </c>
      <c r="K9" s="21">
        <v>6500</v>
      </c>
      <c r="L9" s="21">
        <v>6500</v>
      </c>
      <c r="M9" s="21">
        <v>6500</v>
      </c>
      <c r="N9" s="21">
        <v>6500</v>
      </c>
      <c r="O9" s="21">
        <v>6500</v>
      </c>
      <c r="P9" s="21">
        <v>6500</v>
      </c>
      <c r="Q9" s="21">
        <v>6500</v>
      </c>
      <c r="R9" s="21">
        <v>6500</v>
      </c>
      <c r="S9" s="21">
        <v>6500</v>
      </c>
      <c r="T9" s="21">
        <v>6500</v>
      </c>
      <c r="U9" s="21">
        <v>6500</v>
      </c>
      <c r="V9" s="21">
        <v>6500</v>
      </c>
      <c r="W9" s="21">
        <v>6500</v>
      </c>
      <c r="X9" s="21">
        <v>6284</v>
      </c>
      <c r="Y9" s="728">
        <f t="shared" si="4"/>
        <v>0.96676923076923071</v>
      </c>
      <c r="Z9" s="1"/>
    </row>
    <row r="10" spans="1:34" ht="15.75" thickBot="1" x14ac:dyDescent="0.3">
      <c r="A10" s="22">
        <v>133</v>
      </c>
      <c r="B10" s="335" t="s">
        <v>11</v>
      </c>
      <c r="C10" s="26">
        <v>35000</v>
      </c>
      <c r="D10" s="26">
        <v>35000</v>
      </c>
      <c r="E10" s="26">
        <v>35000</v>
      </c>
      <c r="F10" s="26">
        <v>35000</v>
      </c>
      <c r="G10" s="26">
        <v>35000</v>
      </c>
      <c r="H10" s="26">
        <v>35000</v>
      </c>
      <c r="I10" s="26">
        <v>35000</v>
      </c>
      <c r="J10" s="26">
        <v>35000</v>
      </c>
      <c r="K10" s="26">
        <v>35000</v>
      </c>
      <c r="L10" s="26">
        <v>35000</v>
      </c>
      <c r="M10" s="26">
        <v>35000</v>
      </c>
      <c r="N10" s="26">
        <v>35000</v>
      </c>
      <c r="O10" s="26">
        <v>35000</v>
      </c>
      <c r="P10" s="26">
        <v>35000</v>
      </c>
      <c r="Q10" s="26">
        <v>35000</v>
      </c>
      <c r="R10" s="26">
        <v>35000</v>
      </c>
      <c r="S10" s="26">
        <v>35000</v>
      </c>
      <c r="T10" s="26">
        <v>35000</v>
      </c>
      <c r="U10" s="26">
        <v>35000</v>
      </c>
      <c r="V10" s="26">
        <v>35000</v>
      </c>
      <c r="W10" s="26">
        <v>35000</v>
      </c>
      <c r="X10" s="26">
        <v>33017</v>
      </c>
      <c r="Y10" s="728">
        <f t="shared" si="4"/>
        <v>0.94334285714285715</v>
      </c>
      <c r="Z10" s="27">
        <f>SUM(W6:W10)</f>
        <v>49700</v>
      </c>
      <c r="AA10" s="27">
        <f>SUM(X6:X10)</f>
        <v>46819</v>
      </c>
      <c r="AB10" s="27"/>
      <c r="AC10" s="27"/>
      <c r="AD10" s="27"/>
      <c r="AE10" s="27"/>
      <c r="AF10" s="27"/>
    </row>
    <row r="11" spans="1:34" ht="15.75" thickBot="1" x14ac:dyDescent="0.3">
      <c r="A11" s="892" t="s">
        <v>12</v>
      </c>
      <c r="B11" s="893"/>
      <c r="C11" s="336">
        <f t="shared" ref="C11:X11" si="5">SUM(C12:C30)</f>
        <v>247720</v>
      </c>
      <c r="D11" s="336">
        <f t="shared" si="5"/>
        <v>247720</v>
      </c>
      <c r="E11" s="336">
        <f t="shared" si="5"/>
        <v>247720</v>
      </c>
      <c r="F11" s="336">
        <f t="shared" si="5"/>
        <v>247720</v>
      </c>
      <c r="G11" s="336">
        <f t="shared" si="5"/>
        <v>247720</v>
      </c>
      <c r="H11" s="336">
        <f t="shared" si="5"/>
        <v>247720</v>
      </c>
      <c r="I11" s="336">
        <f t="shared" si="5"/>
        <v>247720</v>
      </c>
      <c r="J11" s="336">
        <f t="shared" si="5"/>
        <v>247720</v>
      </c>
      <c r="K11" s="336">
        <f t="shared" si="5"/>
        <v>247720</v>
      </c>
      <c r="L11" s="336">
        <f t="shared" si="5"/>
        <v>248725</v>
      </c>
      <c r="M11" s="336">
        <f t="shared" si="5"/>
        <v>248725</v>
      </c>
      <c r="N11" s="336">
        <f t="shared" si="5"/>
        <v>248725</v>
      </c>
      <c r="O11" s="336">
        <f t="shared" si="5"/>
        <v>248725</v>
      </c>
      <c r="P11" s="336">
        <f t="shared" si="5"/>
        <v>250625</v>
      </c>
      <c r="Q11" s="336">
        <f t="shared" si="5"/>
        <v>250625</v>
      </c>
      <c r="R11" s="336">
        <f t="shared" si="5"/>
        <v>250625</v>
      </c>
      <c r="S11" s="336">
        <f t="shared" si="5"/>
        <v>250625</v>
      </c>
      <c r="T11" s="336">
        <f t="shared" si="5"/>
        <v>250625</v>
      </c>
      <c r="U11" s="336">
        <f t="shared" si="5"/>
        <v>250625</v>
      </c>
      <c r="V11" s="336">
        <f t="shared" ref="V11:W11" si="6">SUM(V12:V30)</f>
        <v>250625</v>
      </c>
      <c r="W11" s="336">
        <f t="shared" si="6"/>
        <v>250360</v>
      </c>
      <c r="X11" s="336">
        <f t="shared" si="5"/>
        <v>187014</v>
      </c>
      <c r="Y11" s="728">
        <f t="shared" si="4"/>
        <v>0.74698034829845028</v>
      </c>
      <c r="Z11" s="1"/>
    </row>
    <row r="12" spans="1:34" x14ac:dyDescent="0.25">
      <c r="A12" s="28">
        <v>212</v>
      </c>
      <c r="B12" s="29" t="s">
        <v>13</v>
      </c>
      <c r="C12" s="32">
        <v>3032</v>
      </c>
      <c r="D12" s="692">
        <f>3032-20+127</f>
        <v>3139</v>
      </c>
      <c r="E12" s="32">
        <f t="shared" ref="E12:I12" si="7">3032-20+127</f>
        <v>3139</v>
      </c>
      <c r="F12" s="32">
        <f t="shared" si="7"/>
        <v>3139</v>
      </c>
      <c r="G12" s="32">
        <f t="shared" si="7"/>
        <v>3139</v>
      </c>
      <c r="H12" s="32">
        <f t="shared" si="7"/>
        <v>3139</v>
      </c>
      <c r="I12" s="32">
        <f t="shared" si="7"/>
        <v>3139</v>
      </c>
      <c r="J12" s="692">
        <f>3032-20+127+149</f>
        <v>3288</v>
      </c>
      <c r="K12" s="32">
        <f>3032-20+127+149</f>
        <v>3288</v>
      </c>
      <c r="L12" s="32">
        <f t="shared" ref="L12:W12" si="8">3032-20+127+149</f>
        <v>3288</v>
      </c>
      <c r="M12" s="32">
        <f t="shared" si="8"/>
        <v>3288</v>
      </c>
      <c r="N12" s="32">
        <f t="shared" si="8"/>
        <v>3288</v>
      </c>
      <c r="O12" s="32">
        <f t="shared" si="8"/>
        <v>3288</v>
      </c>
      <c r="P12" s="32">
        <f t="shared" si="8"/>
        <v>3288</v>
      </c>
      <c r="Q12" s="32">
        <f t="shared" si="8"/>
        <v>3288</v>
      </c>
      <c r="R12" s="32">
        <f t="shared" si="8"/>
        <v>3288</v>
      </c>
      <c r="S12" s="32">
        <f t="shared" si="8"/>
        <v>3288</v>
      </c>
      <c r="T12" s="32">
        <f t="shared" si="8"/>
        <v>3288</v>
      </c>
      <c r="U12" s="32">
        <f t="shared" si="8"/>
        <v>3288</v>
      </c>
      <c r="V12" s="32">
        <f t="shared" si="8"/>
        <v>3288</v>
      </c>
      <c r="W12" s="32">
        <f t="shared" si="8"/>
        <v>3288</v>
      </c>
      <c r="X12" s="32">
        <v>3072</v>
      </c>
      <c r="Y12" s="728">
        <f t="shared" si="4"/>
        <v>0.93430656934306566</v>
      </c>
      <c r="Z12" s="1"/>
    </row>
    <row r="13" spans="1:34" x14ac:dyDescent="0.25">
      <c r="A13" s="17">
        <v>212</v>
      </c>
      <c r="B13" s="18" t="s">
        <v>14</v>
      </c>
      <c r="C13" s="21">
        <v>1000</v>
      </c>
      <c r="D13" s="21">
        <v>1000</v>
      </c>
      <c r="E13" s="21">
        <v>1000</v>
      </c>
      <c r="F13" s="21">
        <v>1000</v>
      </c>
      <c r="G13" s="21">
        <v>1000</v>
      </c>
      <c r="H13" s="21">
        <v>1000</v>
      </c>
      <c r="I13" s="21">
        <v>1000</v>
      </c>
      <c r="J13" s="21">
        <v>1000</v>
      </c>
      <c r="K13" s="21">
        <v>1000</v>
      </c>
      <c r="L13" s="21">
        <v>1000</v>
      </c>
      <c r="M13" s="21">
        <v>1000</v>
      </c>
      <c r="N13" s="21">
        <v>1000</v>
      </c>
      <c r="O13" s="21">
        <v>1000</v>
      </c>
      <c r="P13" s="21">
        <v>1000</v>
      </c>
      <c r="Q13" s="21">
        <v>1000</v>
      </c>
      <c r="R13" s="21">
        <v>1000</v>
      </c>
      <c r="S13" s="21">
        <v>1000</v>
      </c>
      <c r="T13" s="21">
        <v>1000</v>
      </c>
      <c r="U13" s="21">
        <v>1000</v>
      </c>
      <c r="V13" s="21">
        <v>1000</v>
      </c>
      <c r="W13" s="21">
        <v>1000</v>
      </c>
      <c r="X13" s="21">
        <v>350</v>
      </c>
      <c r="Y13" s="728">
        <f t="shared" si="4"/>
        <v>0.35</v>
      </c>
      <c r="Z13" s="27"/>
    </row>
    <row r="14" spans="1:34" x14ac:dyDescent="0.25">
      <c r="A14" s="12">
        <v>212</v>
      </c>
      <c r="B14" s="13" t="s">
        <v>15</v>
      </c>
      <c r="C14" s="82">
        <v>3425</v>
      </c>
      <c r="D14" s="82">
        <v>3425</v>
      </c>
      <c r="E14" s="82">
        <v>3425</v>
      </c>
      <c r="F14" s="82">
        <v>3425</v>
      </c>
      <c r="G14" s="82">
        <v>3425</v>
      </c>
      <c r="H14" s="82">
        <v>3425</v>
      </c>
      <c r="I14" s="82">
        <v>3425</v>
      </c>
      <c r="J14" s="82">
        <v>3425</v>
      </c>
      <c r="K14" s="82">
        <v>3425</v>
      </c>
      <c r="L14" s="82">
        <v>3425</v>
      </c>
      <c r="M14" s="82">
        <v>3425</v>
      </c>
      <c r="N14" s="82">
        <v>3425</v>
      </c>
      <c r="O14" s="82">
        <v>3425</v>
      </c>
      <c r="P14" s="82">
        <v>3425</v>
      </c>
      <c r="Q14" s="82">
        <v>3425</v>
      </c>
      <c r="R14" s="82">
        <v>3425</v>
      </c>
      <c r="S14" s="82">
        <v>3425</v>
      </c>
      <c r="T14" s="82">
        <v>3425</v>
      </c>
      <c r="U14" s="82">
        <v>3425</v>
      </c>
      <c r="V14" s="82">
        <v>3425</v>
      </c>
      <c r="W14" s="82">
        <v>3425</v>
      </c>
      <c r="X14" s="82">
        <v>3423</v>
      </c>
      <c r="Y14" s="728">
        <f t="shared" si="4"/>
        <v>0.99941605839416059</v>
      </c>
      <c r="Z14" s="1"/>
    </row>
    <row r="15" spans="1:34" x14ac:dyDescent="0.25">
      <c r="A15" s="17">
        <v>212</v>
      </c>
      <c r="B15" s="18" t="s">
        <v>16</v>
      </c>
      <c r="C15" s="21">
        <v>19463</v>
      </c>
      <c r="D15" s="693">
        <f t="shared" ref="D15:I15" si="9">19463+129-236</f>
        <v>19356</v>
      </c>
      <c r="E15" s="21">
        <f t="shared" si="9"/>
        <v>19356</v>
      </c>
      <c r="F15" s="21">
        <f t="shared" si="9"/>
        <v>19356</v>
      </c>
      <c r="G15" s="21">
        <f t="shared" si="9"/>
        <v>19356</v>
      </c>
      <c r="H15" s="21">
        <f t="shared" si="9"/>
        <v>19356</v>
      </c>
      <c r="I15" s="21">
        <f t="shared" si="9"/>
        <v>19356</v>
      </c>
      <c r="J15" s="21">
        <f>19463+129-236-149</f>
        <v>19207</v>
      </c>
      <c r="K15" s="21">
        <f>19463+129-236-149</f>
        <v>19207</v>
      </c>
      <c r="L15" s="693">
        <f>19463+129-236-149+1005</f>
        <v>20212</v>
      </c>
      <c r="M15" s="21">
        <f>19463+129-236-149+1005</f>
        <v>20212</v>
      </c>
      <c r="N15" s="21">
        <f>19463+129-236-149+1005</f>
        <v>20212</v>
      </c>
      <c r="O15" s="21">
        <f>19463+129-236-149+1005</f>
        <v>20212</v>
      </c>
      <c r="P15" s="21">
        <f>19463+129-236-149+1005</f>
        <v>20212</v>
      </c>
      <c r="Q15" s="21">
        <f t="shared" ref="Q15:W15" si="10">19463+129-236-149+1005</f>
        <v>20212</v>
      </c>
      <c r="R15" s="21">
        <f t="shared" si="10"/>
        <v>20212</v>
      </c>
      <c r="S15" s="21">
        <f t="shared" si="10"/>
        <v>20212</v>
      </c>
      <c r="T15" s="21">
        <f t="shared" si="10"/>
        <v>20212</v>
      </c>
      <c r="U15" s="21">
        <f t="shared" si="10"/>
        <v>20212</v>
      </c>
      <c r="V15" s="21">
        <f t="shared" si="10"/>
        <v>20212</v>
      </c>
      <c r="W15" s="21">
        <f t="shared" si="10"/>
        <v>20212</v>
      </c>
      <c r="X15" s="21">
        <v>17284</v>
      </c>
      <c r="Y15" s="728">
        <f t="shared" si="4"/>
        <v>0.85513556303186222</v>
      </c>
      <c r="Z15" s="27"/>
    </row>
    <row r="16" spans="1:34" ht="15.75" thickBot="1" x14ac:dyDescent="0.3">
      <c r="A16" s="35">
        <v>212</v>
      </c>
      <c r="B16" s="36" t="s">
        <v>17</v>
      </c>
      <c r="C16" s="39">
        <v>100</v>
      </c>
      <c r="D16" s="39">
        <v>100</v>
      </c>
      <c r="E16" s="39">
        <v>100</v>
      </c>
      <c r="F16" s="39">
        <v>100</v>
      </c>
      <c r="G16" s="39">
        <v>100</v>
      </c>
      <c r="H16" s="39">
        <v>100</v>
      </c>
      <c r="I16" s="39">
        <v>100</v>
      </c>
      <c r="J16" s="39">
        <v>100</v>
      </c>
      <c r="K16" s="39">
        <v>100</v>
      </c>
      <c r="L16" s="39">
        <v>100</v>
      </c>
      <c r="M16" s="39">
        <v>100</v>
      </c>
      <c r="N16" s="39">
        <v>100</v>
      </c>
      <c r="O16" s="39">
        <v>100</v>
      </c>
      <c r="P16" s="39">
        <v>100</v>
      </c>
      <c r="Q16" s="39">
        <v>100</v>
      </c>
      <c r="R16" s="39">
        <v>100</v>
      </c>
      <c r="S16" s="39">
        <v>100</v>
      </c>
      <c r="T16" s="39">
        <v>100</v>
      </c>
      <c r="U16" s="39">
        <v>100</v>
      </c>
      <c r="V16" s="39">
        <v>100</v>
      </c>
      <c r="W16" s="39">
        <v>100</v>
      </c>
      <c r="X16" s="39">
        <v>0</v>
      </c>
      <c r="Y16" s="728">
        <f t="shared" si="4"/>
        <v>0</v>
      </c>
      <c r="Z16" s="426">
        <f>SUM(W12:W16)</f>
        <v>28025</v>
      </c>
      <c r="AA16" s="426">
        <f>SUM(X12:X16)</f>
        <v>24129</v>
      </c>
      <c r="AB16" s="426"/>
      <c r="AC16" s="426"/>
      <c r="AD16" s="426"/>
      <c r="AE16" s="426"/>
      <c r="AF16" s="426"/>
      <c r="AG16" s="27"/>
      <c r="AH16" s="426"/>
    </row>
    <row r="17" spans="1:34" ht="15.75" thickBot="1" x14ac:dyDescent="0.3">
      <c r="A17" s="7">
        <v>221</v>
      </c>
      <c r="B17" s="8" t="s">
        <v>18</v>
      </c>
      <c r="C17" s="41">
        <v>7200</v>
      </c>
      <c r="D17" s="41">
        <v>7200</v>
      </c>
      <c r="E17" s="41">
        <v>7200</v>
      </c>
      <c r="F17" s="41">
        <v>7200</v>
      </c>
      <c r="G17" s="41">
        <v>7200</v>
      </c>
      <c r="H17" s="41">
        <v>7200</v>
      </c>
      <c r="I17" s="41">
        <v>7200</v>
      </c>
      <c r="J17" s="41">
        <v>7200</v>
      </c>
      <c r="K17" s="41">
        <v>7200</v>
      </c>
      <c r="L17" s="41">
        <v>7200</v>
      </c>
      <c r="M17" s="41">
        <v>7200</v>
      </c>
      <c r="N17" s="41">
        <v>7200</v>
      </c>
      <c r="O17" s="41">
        <v>7200</v>
      </c>
      <c r="P17" s="829">
        <f>7200+1900</f>
        <v>9100</v>
      </c>
      <c r="Q17" s="41">
        <f t="shared" ref="Q17:W17" si="11">7200+1900</f>
        <v>9100</v>
      </c>
      <c r="R17" s="41">
        <f t="shared" si="11"/>
        <v>9100</v>
      </c>
      <c r="S17" s="41">
        <f t="shared" si="11"/>
        <v>9100</v>
      </c>
      <c r="T17" s="41">
        <f t="shared" si="11"/>
        <v>9100</v>
      </c>
      <c r="U17" s="41">
        <f t="shared" si="11"/>
        <v>9100</v>
      </c>
      <c r="V17" s="41">
        <f t="shared" si="11"/>
        <v>9100</v>
      </c>
      <c r="W17" s="41">
        <f t="shared" si="11"/>
        <v>9100</v>
      </c>
      <c r="X17" s="41">
        <v>7530</v>
      </c>
      <c r="Y17" s="728">
        <f t="shared" si="4"/>
        <v>0.82747252747252742</v>
      </c>
      <c r="Z17" s="1"/>
    </row>
    <row r="18" spans="1:34" ht="15.75" thickBot="1" x14ac:dyDescent="0.3">
      <c r="A18" s="35">
        <v>222</v>
      </c>
      <c r="B18" s="36" t="s">
        <v>19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728">
        <v>0</v>
      </c>
      <c r="Z18" s="1"/>
    </row>
    <row r="19" spans="1:34" x14ac:dyDescent="0.25">
      <c r="A19" s="12">
        <v>223</v>
      </c>
      <c r="B19" s="13" t="s">
        <v>20</v>
      </c>
      <c r="C19" s="16">
        <v>900</v>
      </c>
      <c r="D19" s="16">
        <v>900</v>
      </c>
      <c r="E19" s="16">
        <v>900</v>
      </c>
      <c r="F19" s="16">
        <v>900</v>
      </c>
      <c r="G19" s="16">
        <v>900</v>
      </c>
      <c r="H19" s="16">
        <v>900</v>
      </c>
      <c r="I19" s="16">
        <v>900</v>
      </c>
      <c r="J19" s="16">
        <v>900</v>
      </c>
      <c r="K19" s="16">
        <v>900</v>
      </c>
      <c r="L19" s="16">
        <v>900</v>
      </c>
      <c r="M19" s="16">
        <v>900</v>
      </c>
      <c r="N19" s="16">
        <v>900</v>
      </c>
      <c r="O19" s="16">
        <v>900</v>
      </c>
      <c r="P19" s="16">
        <v>900</v>
      </c>
      <c r="Q19" s="16">
        <v>900</v>
      </c>
      <c r="R19" s="16">
        <v>900</v>
      </c>
      <c r="S19" s="16">
        <v>900</v>
      </c>
      <c r="T19" s="16">
        <v>900</v>
      </c>
      <c r="U19" s="16">
        <v>900</v>
      </c>
      <c r="V19" s="16">
        <v>900</v>
      </c>
      <c r="W19" s="16">
        <v>900</v>
      </c>
      <c r="X19" s="16">
        <v>626</v>
      </c>
      <c r="Y19" s="728">
        <f t="shared" si="4"/>
        <v>0.69555555555555559</v>
      </c>
      <c r="Z19" s="1"/>
    </row>
    <row r="20" spans="1:34" x14ac:dyDescent="0.25">
      <c r="A20" s="17">
        <v>223</v>
      </c>
      <c r="B20" s="18" t="s">
        <v>21</v>
      </c>
      <c r="C20" s="21">
        <v>25000</v>
      </c>
      <c r="D20" s="21">
        <v>25000</v>
      </c>
      <c r="E20" s="21">
        <v>25000</v>
      </c>
      <c r="F20" s="21">
        <v>25000</v>
      </c>
      <c r="G20" s="21">
        <v>25000</v>
      </c>
      <c r="H20" s="21">
        <v>25000</v>
      </c>
      <c r="I20" s="21">
        <v>25000</v>
      </c>
      <c r="J20" s="21">
        <v>25000</v>
      </c>
      <c r="K20" s="21">
        <v>25000</v>
      </c>
      <c r="L20" s="21">
        <v>25000</v>
      </c>
      <c r="M20" s="21">
        <v>25000</v>
      </c>
      <c r="N20" s="21">
        <v>25000</v>
      </c>
      <c r="O20" s="21">
        <v>25000</v>
      </c>
      <c r="P20" s="21">
        <v>25000</v>
      </c>
      <c r="Q20" s="21">
        <v>25000</v>
      </c>
      <c r="R20" s="21">
        <v>25000</v>
      </c>
      <c r="S20" s="21">
        <v>25000</v>
      </c>
      <c r="T20" s="21">
        <v>25000</v>
      </c>
      <c r="U20" s="21">
        <v>25000</v>
      </c>
      <c r="V20" s="21">
        <v>25000</v>
      </c>
      <c r="W20" s="693">
        <f>25000+1000</f>
        <v>26000</v>
      </c>
      <c r="X20" s="21">
        <v>25997</v>
      </c>
      <c r="Y20" s="728">
        <f t="shared" si="4"/>
        <v>0.99988461538461537</v>
      </c>
      <c r="Z20" s="1"/>
    </row>
    <row r="21" spans="1:34" x14ac:dyDescent="0.25">
      <c r="A21" s="17">
        <v>223</v>
      </c>
      <c r="B21" s="18" t="s">
        <v>22</v>
      </c>
      <c r="C21" s="21">
        <v>100</v>
      </c>
      <c r="D21" s="21">
        <v>100</v>
      </c>
      <c r="E21" s="21">
        <v>100</v>
      </c>
      <c r="F21" s="21">
        <v>100</v>
      </c>
      <c r="G21" s="21">
        <v>100</v>
      </c>
      <c r="H21" s="21">
        <v>100</v>
      </c>
      <c r="I21" s="21">
        <v>100</v>
      </c>
      <c r="J21" s="21">
        <v>100</v>
      </c>
      <c r="K21" s="21">
        <v>100</v>
      </c>
      <c r="L21" s="21">
        <v>100</v>
      </c>
      <c r="M21" s="21">
        <v>100</v>
      </c>
      <c r="N21" s="21">
        <v>100</v>
      </c>
      <c r="O21" s="21">
        <v>100</v>
      </c>
      <c r="P21" s="21">
        <v>100</v>
      </c>
      <c r="Q21" s="21">
        <v>100</v>
      </c>
      <c r="R21" s="21">
        <v>100</v>
      </c>
      <c r="S21" s="21">
        <v>100</v>
      </c>
      <c r="T21" s="21">
        <v>100</v>
      </c>
      <c r="U21" s="21">
        <v>100</v>
      </c>
      <c r="V21" s="21">
        <v>100</v>
      </c>
      <c r="W21" s="21">
        <v>100</v>
      </c>
      <c r="X21" s="21">
        <v>0</v>
      </c>
      <c r="Y21" s="728">
        <f t="shared" si="4"/>
        <v>0</v>
      </c>
      <c r="Z21" s="1"/>
    </row>
    <row r="22" spans="1:34" x14ac:dyDescent="0.25">
      <c r="A22" s="17">
        <v>223</v>
      </c>
      <c r="B22" s="18" t="s">
        <v>290</v>
      </c>
      <c r="C22" s="21">
        <v>3000</v>
      </c>
      <c r="D22" s="21">
        <v>3000</v>
      </c>
      <c r="E22" s="21">
        <v>3000</v>
      </c>
      <c r="F22" s="21">
        <v>3000</v>
      </c>
      <c r="G22" s="21">
        <v>3000</v>
      </c>
      <c r="H22" s="21">
        <v>3000</v>
      </c>
      <c r="I22" s="21">
        <v>3000</v>
      </c>
      <c r="J22" s="21">
        <v>3000</v>
      </c>
      <c r="K22" s="21">
        <v>3000</v>
      </c>
      <c r="L22" s="21">
        <v>3000</v>
      </c>
      <c r="M22" s="21">
        <v>3000</v>
      </c>
      <c r="N22" s="21">
        <v>3000</v>
      </c>
      <c r="O22" s="21">
        <v>3000</v>
      </c>
      <c r="P22" s="21">
        <v>3000</v>
      </c>
      <c r="Q22" s="21">
        <v>3000</v>
      </c>
      <c r="R22" s="21">
        <v>3000</v>
      </c>
      <c r="S22" s="21">
        <v>3000</v>
      </c>
      <c r="T22" s="21">
        <v>3000</v>
      </c>
      <c r="U22" s="21">
        <v>3000</v>
      </c>
      <c r="V22" s="21">
        <v>3000</v>
      </c>
      <c r="W22" s="693">
        <f>3000-1000</f>
        <v>2000</v>
      </c>
      <c r="X22" s="21">
        <v>1694</v>
      </c>
      <c r="Y22" s="728">
        <f t="shared" si="4"/>
        <v>0.84699999999999998</v>
      </c>
      <c r="Z22" s="1"/>
    </row>
    <row r="23" spans="1:34" x14ac:dyDescent="0.25">
      <c r="A23" s="17">
        <v>223</v>
      </c>
      <c r="B23" s="18" t="s">
        <v>23</v>
      </c>
      <c r="C23" s="21">
        <v>2000</v>
      </c>
      <c r="D23" s="21">
        <v>2000</v>
      </c>
      <c r="E23" s="21">
        <v>2000</v>
      </c>
      <c r="F23" s="21">
        <v>2000</v>
      </c>
      <c r="G23" s="21">
        <v>2000</v>
      </c>
      <c r="H23" s="21">
        <v>2000</v>
      </c>
      <c r="I23" s="21">
        <v>2000</v>
      </c>
      <c r="J23" s="21">
        <v>2000</v>
      </c>
      <c r="K23" s="21">
        <v>2000</v>
      </c>
      <c r="L23" s="21">
        <v>2000</v>
      </c>
      <c r="M23" s="21">
        <v>2000</v>
      </c>
      <c r="N23" s="21">
        <v>2000</v>
      </c>
      <c r="O23" s="21">
        <v>2000</v>
      </c>
      <c r="P23" s="21">
        <v>2000</v>
      </c>
      <c r="Q23" s="21">
        <v>2000</v>
      </c>
      <c r="R23" s="21">
        <v>2000</v>
      </c>
      <c r="S23" s="21">
        <v>2000</v>
      </c>
      <c r="T23" s="21">
        <v>2000</v>
      </c>
      <c r="U23" s="21">
        <v>2000</v>
      </c>
      <c r="V23" s="21">
        <v>2000</v>
      </c>
      <c r="W23" s="21">
        <v>2000</v>
      </c>
      <c r="X23" s="21">
        <v>0</v>
      </c>
      <c r="Y23" s="728">
        <f t="shared" si="4"/>
        <v>0</v>
      </c>
      <c r="Z23" s="1"/>
    </row>
    <row r="24" spans="1:34" x14ac:dyDescent="0.25">
      <c r="A24" s="17">
        <v>223</v>
      </c>
      <c r="B24" s="18" t="s">
        <v>24</v>
      </c>
      <c r="C24" s="21">
        <v>1000</v>
      </c>
      <c r="D24" s="21">
        <v>1000</v>
      </c>
      <c r="E24" s="21">
        <v>1000</v>
      </c>
      <c r="F24" s="21">
        <v>1000</v>
      </c>
      <c r="G24" s="21">
        <v>1000</v>
      </c>
      <c r="H24" s="21">
        <v>1000</v>
      </c>
      <c r="I24" s="21">
        <v>1000</v>
      </c>
      <c r="J24" s="21">
        <v>1000</v>
      </c>
      <c r="K24" s="21">
        <v>1000</v>
      </c>
      <c r="L24" s="21">
        <v>1000</v>
      </c>
      <c r="M24" s="21">
        <v>1000</v>
      </c>
      <c r="N24" s="21">
        <v>1000</v>
      </c>
      <c r="O24" s="21">
        <v>1000</v>
      </c>
      <c r="P24" s="21">
        <v>1000</v>
      </c>
      <c r="Q24" s="21">
        <v>1000</v>
      </c>
      <c r="R24" s="21">
        <v>1000</v>
      </c>
      <c r="S24" s="21">
        <v>1000</v>
      </c>
      <c r="T24" s="21">
        <v>1000</v>
      </c>
      <c r="U24" s="21">
        <v>1000</v>
      </c>
      <c r="V24" s="21">
        <v>1000</v>
      </c>
      <c r="W24" s="21">
        <v>1000</v>
      </c>
      <c r="X24" s="21">
        <v>590</v>
      </c>
      <c r="Y24" s="728">
        <f t="shared" si="4"/>
        <v>0.59</v>
      </c>
      <c r="Z24" s="1"/>
    </row>
    <row r="25" spans="1:34" x14ac:dyDescent="0.25">
      <c r="A25" s="17">
        <v>223</v>
      </c>
      <c r="B25" s="18" t="s">
        <v>25</v>
      </c>
      <c r="C25" s="21">
        <v>46000</v>
      </c>
      <c r="D25" s="21">
        <v>46000</v>
      </c>
      <c r="E25" s="21">
        <v>46000</v>
      </c>
      <c r="F25" s="21">
        <v>46000</v>
      </c>
      <c r="G25" s="21">
        <v>46000</v>
      </c>
      <c r="H25" s="21">
        <v>46000</v>
      </c>
      <c r="I25" s="21">
        <v>46000</v>
      </c>
      <c r="J25" s="21">
        <v>46000</v>
      </c>
      <c r="K25" s="21">
        <v>46000</v>
      </c>
      <c r="L25" s="21">
        <v>46000</v>
      </c>
      <c r="M25" s="21">
        <v>46000</v>
      </c>
      <c r="N25" s="21">
        <v>46000</v>
      </c>
      <c r="O25" s="21">
        <v>46000</v>
      </c>
      <c r="P25" s="21">
        <v>46000</v>
      </c>
      <c r="Q25" s="21">
        <v>46000</v>
      </c>
      <c r="R25" s="21">
        <v>46000</v>
      </c>
      <c r="S25" s="21">
        <v>46000</v>
      </c>
      <c r="T25" s="21">
        <v>46000</v>
      </c>
      <c r="U25" s="21">
        <v>46000</v>
      </c>
      <c r="V25" s="21">
        <v>46000</v>
      </c>
      <c r="W25" s="21">
        <v>46000</v>
      </c>
      <c r="X25" s="21">
        <v>34056</v>
      </c>
      <c r="Y25" s="728">
        <f t="shared" si="4"/>
        <v>0.74034782608695648</v>
      </c>
      <c r="Z25" s="1"/>
    </row>
    <row r="26" spans="1:34" x14ac:dyDescent="0.25">
      <c r="A26" s="17">
        <v>223</v>
      </c>
      <c r="B26" s="18" t="s">
        <v>26</v>
      </c>
      <c r="C26" s="21">
        <v>61000</v>
      </c>
      <c r="D26" s="21">
        <v>61000</v>
      </c>
      <c r="E26" s="21">
        <v>61000</v>
      </c>
      <c r="F26" s="21">
        <v>61000</v>
      </c>
      <c r="G26" s="21">
        <v>61000</v>
      </c>
      <c r="H26" s="21">
        <v>61000</v>
      </c>
      <c r="I26" s="21">
        <v>61000</v>
      </c>
      <c r="J26" s="21">
        <v>61000</v>
      </c>
      <c r="K26" s="21">
        <v>61000</v>
      </c>
      <c r="L26" s="21">
        <v>61000</v>
      </c>
      <c r="M26" s="21">
        <v>61000</v>
      </c>
      <c r="N26" s="21">
        <v>61000</v>
      </c>
      <c r="O26" s="21">
        <v>61000</v>
      </c>
      <c r="P26" s="21">
        <v>61000</v>
      </c>
      <c r="Q26" s="21">
        <v>61000</v>
      </c>
      <c r="R26" s="21">
        <v>61000</v>
      </c>
      <c r="S26" s="21">
        <v>61000</v>
      </c>
      <c r="T26" s="21">
        <v>61000</v>
      </c>
      <c r="U26" s="21">
        <v>61000</v>
      </c>
      <c r="V26" s="21">
        <v>61000</v>
      </c>
      <c r="W26" s="21">
        <v>61000</v>
      </c>
      <c r="X26" s="21">
        <v>52328</v>
      </c>
      <c r="Y26" s="728">
        <f t="shared" si="4"/>
        <v>0.85783606557377046</v>
      </c>
      <c r="Z26" s="1"/>
    </row>
    <row r="27" spans="1:34" x14ac:dyDescent="0.25">
      <c r="A27" s="17">
        <v>223</v>
      </c>
      <c r="B27" s="18" t="s">
        <v>28</v>
      </c>
      <c r="C27" s="21">
        <v>2100</v>
      </c>
      <c r="D27" s="21">
        <v>2100</v>
      </c>
      <c r="E27" s="21">
        <v>2100</v>
      </c>
      <c r="F27" s="21">
        <v>2100</v>
      </c>
      <c r="G27" s="21">
        <v>2100</v>
      </c>
      <c r="H27" s="21">
        <v>2100</v>
      </c>
      <c r="I27" s="21">
        <v>2100</v>
      </c>
      <c r="J27" s="21">
        <v>2100</v>
      </c>
      <c r="K27" s="21">
        <v>2100</v>
      </c>
      <c r="L27" s="21">
        <v>2100</v>
      </c>
      <c r="M27" s="21">
        <v>2100</v>
      </c>
      <c r="N27" s="21">
        <v>2100</v>
      </c>
      <c r="O27" s="21">
        <v>2100</v>
      </c>
      <c r="P27" s="21">
        <v>2100</v>
      </c>
      <c r="Q27" s="21">
        <v>2100</v>
      </c>
      <c r="R27" s="21">
        <v>2100</v>
      </c>
      <c r="S27" s="21">
        <v>2100</v>
      </c>
      <c r="T27" s="21">
        <v>2100</v>
      </c>
      <c r="U27" s="21">
        <v>2100</v>
      </c>
      <c r="V27" s="21">
        <v>2100</v>
      </c>
      <c r="W27" s="693">
        <f>2100+35</f>
        <v>2135</v>
      </c>
      <c r="X27" s="21">
        <v>2135</v>
      </c>
      <c r="Y27" s="728">
        <f t="shared" si="4"/>
        <v>1</v>
      </c>
      <c r="Z27" s="1"/>
    </row>
    <row r="28" spans="1:34" x14ac:dyDescent="0.25">
      <c r="A28" s="17">
        <v>223</v>
      </c>
      <c r="B28" s="18" t="s">
        <v>214</v>
      </c>
      <c r="C28" s="21">
        <v>1300</v>
      </c>
      <c r="D28" s="21">
        <v>1300</v>
      </c>
      <c r="E28" s="21">
        <v>1300</v>
      </c>
      <c r="F28" s="21">
        <v>1300</v>
      </c>
      <c r="G28" s="21">
        <v>1300</v>
      </c>
      <c r="H28" s="21">
        <v>1300</v>
      </c>
      <c r="I28" s="21">
        <v>1300</v>
      </c>
      <c r="J28" s="21">
        <v>1300</v>
      </c>
      <c r="K28" s="21">
        <v>1300</v>
      </c>
      <c r="L28" s="21">
        <v>1300</v>
      </c>
      <c r="M28" s="21">
        <v>1300</v>
      </c>
      <c r="N28" s="21">
        <v>1300</v>
      </c>
      <c r="O28" s="21">
        <v>1300</v>
      </c>
      <c r="P28" s="21">
        <v>1300</v>
      </c>
      <c r="Q28" s="21">
        <v>1300</v>
      </c>
      <c r="R28" s="21">
        <v>1300</v>
      </c>
      <c r="S28" s="21">
        <v>1300</v>
      </c>
      <c r="T28" s="21">
        <v>1300</v>
      </c>
      <c r="U28" s="21">
        <v>1300</v>
      </c>
      <c r="V28" s="21">
        <v>1300</v>
      </c>
      <c r="W28" s="693">
        <f>1300-300</f>
        <v>1000</v>
      </c>
      <c r="X28" s="21">
        <v>960</v>
      </c>
      <c r="Y28" s="728">
        <f t="shared" si="4"/>
        <v>0.96</v>
      </c>
      <c r="Z28" s="1"/>
    </row>
    <row r="29" spans="1:34" x14ac:dyDescent="0.25">
      <c r="A29" s="43">
        <v>223</v>
      </c>
      <c r="B29" s="44" t="s">
        <v>29</v>
      </c>
      <c r="C29" s="46">
        <v>71000</v>
      </c>
      <c r="D29" s="46">
        <v>71000</v>
      </c>
      <c r="E29" s="46">
        <v>71000</v>
      </c>
      <c r="F29" s="46">
        <v>71000</v>
      </c>
      <c r="G29" s="46">
        <v>71000</v>
      </c>
      <c r="H29" s="46">
        <v>71000</v>
      </c>
      <c r="I29" s="46">
        <v>71000</v>
      </c>
      <c r="J29" s="46">
        <v>71000</v>
      </c>
      <c r="K29" s="46">
        <v>71000</v>
      </c>
      <c r="L29" s="46">
        <v>71000</v>
      </c>
      <c r="M29" s="46">
        <v>71000</v>
      </c>
      <c r="N29" s="46">
        <v>71000</v>
      </c>
      <c r="O29" s="46">
        <v>71000</v>
      </c>
      <c r="P29" s="46">
        <v>71000</v>
      </c>
      <c r="Q29" s="46">
        <v>71000</v>
      </c>
      <c r="R29" s="46">
        <v>71000</v>
      </c>
      <c r="S29" s="46">
        <v>71000</v>
      </c>
      <c r="T29" s="46">
        <v>71000</v>
      </c>
      <c r="U29" s="46">
        <v>71000</v>
      </c>
      <c r="V29" s="46">
        <v>71000</v>
      </c>
      <c r="W29" s="46">
        <v>71000</v>
      </c>
      <c r="X29" s="46">
        <v>36969</v>
      </c>
      <c r="Y29" s="728">
        <f t="shared" si="4"/>
        <v>0.52069014084507037</v>
      </c>
      <c r="Z29" s="27"/>
    </row>
    <row r="30" spans="1:34" ht="15.75" thickBot="1" x14ac:dyDescent="0.3">
      <c r="A30" s="22">
        <v>223</v>
      </c>
      <c r="B30" s="23" t="s">
        <v>30</v>
      </c>
      <c r="C30" s="79">
        <v>100</v>
      </c>
      <c r="D30" s="79">
        <v>100</v>
      </c>
      <c r="E30" s="79">
        <v>100</v>
      </c>
      <c r="F30" s="79">
        <v>100</v>
      </c>
      <c r="G30" s="79">
        <v>100</v>
      </c>
      <c r="H30" s="79">
        <v>100</v>
      </c>
      <c r="I30" s="79">
        <v>100</v>
      </c>
      <c r="J30" s="79">
        <v>100</v>
      </c>
      <c r="K30" s="79">
        <v>100</v>
      </c>
      <c r="L30" s="79">
        <v>100</v>
      </c>
      <c r="M30" s="79">
        <v>100</v>
      </c>
      <c r="N30" s="79">
        <v>100</v>
      </c>
      <c r="O30" s="79">
        <v>100</v>
      </c>
      <c r="P30" s="79">
        <v>100</v>
      </c>
      <c r="Q30" s="79">
        <v>100</v>
      </c>
      <c r="R30" s="79">
        <v>100</v>
      </c>
      <c r="S30" s="79">
        <v>100</v>
      </c>
      <c r="T30" s="79">
        <v>100</v>
      </c>
      <c r="U30" s="79">
        <v>100</v>
      </c>
      <c r="V30" s="79">
        <v>100</v>
      </c>
      <c r="W30" s="79">
        <v>100</v>
      </c>
      <c r="X30" s="48">
        <v>0</v>
      </c>
      <c r="Y30" s="728">
        <f t="shared" si="4"/>
        <v>0</v>
      </c>
      <c r="Z30" s="27">
        <f>SUM(W19:W30)</f>
        <v>213235</v>
      </c>
      <c r="AA30" s="27">
        <f>SUM(X19:X30)</f>
        <v>155355</v>
      </c>
      <c r="AB30" s="27"/>
      <c r="AC30" s="27"/>
      <c r="AD30" s="27"/>
      <c r="AE30" s="27"/>
      <c r="AF30" s="27"/>
      <c r="AG30" s="426"/>
      <c r="AH30" s="426"/>
    </row>
    <row r="31" spans="1:34" ht="15.75" thickBot="1" x14ac:dyDescent="0.3">
      <c r="A31" s="856" t="s">
        <v>31</v>
      </c>
      <c r="B31" s="857"/>
      <c r="C31" s="2">
        <f t="shared" ref="C31:X31" si="12">SUM(C32)</f>
        <v>50</v>
      </c>
      <c r="D31" s="2">
        <f t="shared" si="12"/>
        <v>50</v>
      </c>
      <c r="E31" s="2">
        <f t="shared" si="12"/>
        <v>50</v>
      </c>
      <c r="F31" s="2">
        <f t="shared" si="12"/>
        <v>50</v>
      </c>
      <c r="G31" s="2">
        <f t="shared" si="12"/>
        <v>50</v>
      </c>
      <c r="H31" s="2">
        <f t="shared" si="12"/>
        <v>50</v>
      </c>
      <c r="I31" s="2">
        <f t="shared" si="12"/>
        <v>50</v>
      </c>
      <c r="J31" s="2">
        <f t="shared" si="12"/>
        <v>50</v>
      </c>
      <c r="K31" s="2">
        <f t="shared" si="12"/>
        <v>50</v>
      </c>
      <c r="L31" s="2">
        <f t="shared" si="12"/>
        <v>50</v>
      </c>
      <c r="M31" s="2">
        <f t="shared" si="12"/>
        <v>50</v>
      </c>
      <c r="N31" s="2">
        <f t="shared" si="12"/>
        <v>50</v>
      </c>
      <c r="O31" s="2">
        <f t="shared" si="12"/>
        <v>50</v>
      </c>
      <c r="P31" s="2">
        <f t="shared" si="12"/>
        <v>50</v>
      </c>
      <c r="Q31" s="2">
        <f t="shared" si="12"/>
        <v>50</v>
      </c>
      <c r="R31" s="2">
        <f t="shared" si="12"/>
        <v>50</v>
      </c>
      <c r="S31" s="2">
        <f t="shared" si="12"/>
        <v>50</v>
      </c>
      <c r="T31" s="2">
        <f t="shared" si="12"/>
        <v>50</v>
      </c>
      <c r="U31" s="2">
        <f t="shared" si="12"/>
        <v>50</v>
      </c>
      <c r="V31" s="2">
        <f t="shared" si="12"/>
        <v>50</v>
      </c>
      <c r="W31" s="2">
        <f t="shared" si="12"/>
        <v>50</v>
      </c>
      <c r="X31" s="2">
        <f t="shared" si="12"/>
        <v>21</v>
      </c>
      <c r="Y31" s="728">
        <f t="shared" si="4"/>
        <v>0.42</v>
      </c>
      <c r="Z31" s="27">
        <f>SUM(W17:W30)</f>
        <v>222335</v>
      </c>
      <c r="AA31" s="27">
        <f>SUM(X17:X30)</f>
        <v>162885</v>
      </c>
    </row>
    <row r="32" spans="1:34" ht="15.75" thickBot="1" x14ac:dyDescent="0.3">
      <c r="A32" s="51">
        <v>240</v>
      </c>
      <c r="B32" s="47" t="s">
        <v>32</v>
      </c>
      <c r="C32" s="38">
        <v>50</v>
      </c>
      <c r="D32" s="38">
        <v>50</v>
      </c>
      <c r="E32" s="38">
        <v>50</v>
      </c>
      <c r="F32" s="38">
        <v>50</v>
      </c>
      <c r="G32" s="38">
        <v>50</v>
      </c>
      <c r="H32" s="38">
        <v>50</v>
      </c>
      <c r="I32" s="38">
        <v>50</v>
      </c>
      <c r="J32" s="38">
        <v>50</v>
      </c>
      <c r="K32" s="38">
        <v>50</v>
      </c>
      <c r="L32" s="38">
        <v>50</v>
      </c>
      <c r="M32" s="38">
        <v>50</v>
      </c>
      <c r="N32" s="38">
        <v>50</v>
      </c>
      <c r="O32" s="38">
        <v>50</v>
      </c>
      <c r="P32" s="38">
        <v>50</v>
      </c>
      <c r="Q32" s="38">
        <v>50</v>
      </c>
      <c r="R32" s="38">
        <v>50</v>
      </c>
      <c r="S32" s="38">
        <v>50</v>
      </c>
      <c r="T32" s="38">
        <v>50</v>
      </c>
      <c r="U32" s="38">
        <v>50</v>
      </c>
      <c r="V32" s="38">
        <v>50</v>
      </c>
      <c r="W32" s="38">
        <v>50</v>
      </c>
      <c r="X32" s="38">
        <v>21</v>
      </c>
      <c r="Y32" s="728">
        <f t="shared" si="4"/>
        <v>0.42</v>
      </c>
      <c r="Z32" s="1"/>
    </row>
    <row r="33" spans="1:32" ht="15.75" thickBot="1" x14ac:dyDescent="0.3">
      <c r="A33" s="856" t="s">
        <v>33</v>
      </c>
      <c r="B33" s="857"/>
      <c r="C33" s="336">
        <f t="shared" ref="C33:X33" si="13">SUM(C34:C38)</f>
        <v>60240</v>
      </c>
      <c r="D33" s="336">
        <f t="shared" si="13"/>
        <v>60255</v>
      </c>
      <c r="E33" s="336">
        <f t="shared" si="13"/>
        <v>64505</v>
      </c>
      <c r="F33" s="336">
        <f t="shared" si="13"/>
        <v>64505</v>
      </c>
      <c r="G33" s="336">
        <f t="shared" si="13"/>
        <v>64505</v>
      </c>
      <c r="H33" s="336">
        <f t="shared" si="13"/>
        <v>64505</v>
      </c>
      <c r="I33" s="336">
        <f t="shared" si="13"/>
        <v>64505</v>
      </c>
      <c r="J33" s="336">
        <f t="shared" si="13"/>
        <v>65429</v>
      </c>
      <c r="K33" s="336">
        <f t="shared" si="13"/>
        <v>65429</v>
      </c>
      <c r="L33" s="336">
        <f t="shared" si="13"/>
        <v>65969</v>
      </c>
      <c r="M33" s="336">
        <f t="shared" si="13"/>
        <v>65969</v>
      </c>
      <c r="N33" s="336">
        <f t="shared" si="13"/>
        <v>65969</v>
      </c>
      <c r="O33" s="336">
        <f t="shared" si="13"/>
        <v>65969</v>
      </c>
      <c r="P33" s="336">
        <f t="shared" si="13"/>
        <v>65969</v>
      </c>
      <c r="Q33" s="336">
        <f t="shared" si="13"/>
        <v>65969</v>
      </c>
      <c r="R33" s="336">
        <f t="shared" si="13"/>
        <v>65969</v>
      </c>
      <c r="S33" s="336">
        <f t="shared" si="13"/>
        <v>65969</v>
      </c>
      <c r="T33" s="336">
        <f t="shared" si="13"/>
        <v>65969</v>
      </c>
      <c r="U33" s="336">
        <f t="shared" si="13"/>
        <v>65969</v>
      </c>
      <c r="V33" s="336">
        <f t="shared" ref="V33:W33" si="14">SUM(V34:V38)</f>
        <v>65969</v>
      </c>
      <c r="W33" s="336">
        <f t="shared" si="14"/>
        <v>65969</v>
      </c>
      <c r="X33" s="336">
        <f t="shared" si="13"/>
        <v>42340</v>
      </c>
      <c r="Y33" s="728">
        <f t="shared" si="4"/>
        <v>0.64181661083236063</v>
      </c>
      <c r="Z33" s="1"/>
    </row>
    <row r="34" spans="1:32" x14ac:dyDescent="0.25">
      <c r="A34" s="57">
        <v>292</v>
      </c>
      <c r="B34" s="58" t="s">
        <v>36</v>
      </c>
      <c r="C34" s="61">
        <v>10000</v>
      </c>
      <c r="D34" s="695">
        <f t="shared" ref="D34:W34" si="15">10000+4250</f>
        <v>14250</v>
      </c>
      <c r="E34" s="61">
        <f>10000+4250</f>
        <v>14250</v>
      </c>
      <c r="F34" s="61">
        <f t="shared" si="15"/>
        <v>14250</v>
      </c>
      <c r="G34" s="61">
        <f t="shared" si="15"/>
        <v>14250</v>
      </c>
      <c r="H34" s="61">
        <f t="shared" si="15"/>
        <v>14250</v>
      </c>
      <c r="I34" s="61">
        <f t="shared" si="15"/>
        <v>14250</v>
      </c>
      <c r="J34" s="61">
        <f t="shared" si="15"/>
        <v>14250</v>
      </c>
      <c r="K34" s="61">
        <f t="shared" si="15"/>
        <v>14250</v>
      </c>
      <c r="L34" s="61">
        <f t="shared" si="15"/>
        <v>14250</v>
      </c>
      <c r="M34" s="61">
        <f t="shared" si="15"/>
        <v>14250</v>
      </c>
      <c r="N34" s="61">
        <f t="shared" si="15"/>
        <v>14250</v>
      </c>
      <c r="O34" s="61">
        <f t="shared" si="15"/>
        <v>14250</v>
      </c>
      <c r="P34" s="61">
        <f t="shared" si="15"/>
        <v>14250</v>
      </c>
      <c r="Q34" s="61">
        <f t="shared" si="15"/>
        <v>14250</v>
      </c>
      <c r="R34" s="61">
        <f t="shared" si="15"/>
        <v>14250</v>
      </c>
      <c r="S34" s="61">
        <f t="shared" si="15"/>
        <v>14250</v>
      </c>
      <c r="T34" s="61">
        <f t="shared" si="15"/>
        <v>14250</v>
      </c>
      <c r="U34" s="61">
        <f t="shared" si="15"/>
        <v>14250</v>
      </c>
      <c r="V34" s="61">
        <f t="shared" si="15"/>
        <v>14250</v>
      </c>
      <c r="W34" s="61">
        <f t="shared" si="15"/>
        <v>14250</v>
      </c>
      <c r="X34" s="61">
        <v>14231</v>
      </c>
      <c r="Y34" s="728">
        <f t="shared" si="4"/>
        <v>0.9986666666666667</v>
      </c>
      <c r="Z34" s="1"/>
    </row>
    <row r="35" spans="1:32" x14ac:dyDescent="0.25">
      <c r="A35" s="57">
        <v>292</v>
      </c>
      <c r="B35" s="58" t="s">
        <v>37</v>
      </c>
      <c r="C35" s="60">
        <v>500</v>
      </c>
      <c r="D35" s="60">
        <v>500</v>
      </c>
      <c r="E35" s="60">
        <v>500</v>
      </c>
      <c r="F35" s="60">
        <v>500</v>
      </c>
      <c r="G35" s="60">
        <v>500</v>
      </c>
      <c r="H35" s="60">
        <v>500</v>
      </c>
      <c r="I35" s="60">
        <v>500</v>
      </c>
      <c r="J35" s="60">
        <v>500</v>
      </c>
      <c r="K35" s="60">
        <v>500</v>
      </c>
      <c r="L35" s="60">
        <v>500</v>
      </c>
      <c r="M35" s="60">
        <v>500</v>
      </c>
      <c r="N35" s="60">
        <v>500</v>
      </c>
      <c r="O35" s="60">
        <v>500</v>
      </c>
      <c r="P35" s="60">
        <v>500</v>
      </c>
      <c r="Q35" s="60">
        <v>500</v>
      </c>
      <c r="R35" s="60">
        <v>500</v>
      </c>
      <c r="S35" s="60">
        <v>500</v>
      </c>
      <c r="T35" s="60">
        <v>500</v>
      </c>
      <c r="U35" s="60">
        <v>500</v>
      </c>
      <c r="V35" s="60">
        <v>500</v>
      </c>
      <c r="W35" s="60">
        <v>500</v>
      </c>
      <c r="X35" s="60">
        <v>197</v>
      </c>
      <c r="Y35" s="728">
        <f t="shared" si="4"/>
        <v>0.39400000000000002</v>
      </c>
      <c r="Z35" s="1"/>
    </row>
    <row r="36" spans="1:32" x14ac:dyDescent="0.25">
      <c r="A36" s="57">
        <v>292</v>
      </c>
      <c r="B36" s="18" t="s">
        <v>38</v>
      </c>
      <c r="C36" s="64">
        <v>380</v>
      </c>
      <c r="D36" s="689">
        <f t="shared" ref="D36:W36" si="16">380+15</f>
        <v>395</v>
      </c>
      <c r="E36" s="64">
        <f t="shared" si="16"/>
        <v>395</v>
      </c>
      <c r="F36" s="64">
        <f t="shared" si="16"/>
        <v>395</v>
      </c>
      <c r="G36" s="64">
        <f t="shared" si="16"/>
        <v>395</v>
      </c>
      <c r="H36" s="64">
        <f t="shared" si="16"/>
        <v>395</v>
      </c>
      <c r="I36" s="64">
        <f t="shared" si="16"/>
        <v>395</v>
      </c>
      <c r="J36" s="64">
        <f t="shared" si="16"/>
        <v>395</v>
      </c>
      <c r="K36" s="64">
        <f t="shared" si="16"/>
        <v>395</v>
      </c>
      <c r="L36" s="64">
        <f t="shared" si="16"/>
        <v>395</v>
      </c>
      <c r="M36" s="64">
        <f t="shared" si="16"/>
        <v>395</v>
      </c>
      <c r="N36" s="64">
        <f t="shared" si="16"/>
        <v>395</v>
      </c>
      <c r="O36" s="64">
        <f t="shared" si="16"/>
        <v>395</v>
      </c>
      <c r="P36" s="64">
        <f t="shared" si="16"/>
        <v>395</v>
      </c>
      <c r="Q36" s="64">
        <f t="shared" si="16"/>
        <v>395</v>
      </c>
      <c r="R36" s="64">
        <f t="shared" si="16"/>
        <v>395</v>
      </c>
      <c r="S36" s="64">
        <f t="shared" si="16"/>
        <v>395</v>
      </c>
      <c r="T36" s="64">
        <f t="shared" si="16"/>
        <v>395</v>
      </c>
      <c r="U36" s="64">
        <f t="shared" si="16"/>
        <v>395</v>
      </c>
      <c r="V36" s="64">
        <f t="shared" si="16"/>
        <v>395</v>
      </c>
      <c r="W36" s="64">
        <f t="shared" si="16"/>
        <v>395</v>
      </c>
      <c r="X36" s="64">
        <v>394</v>
      </c>
      <c r="Y36" s="728">
        <f t="shared" si="4"/>
        <v>0.99746835443037973</v>
      </c>
      <c r="Z36" s="1"/>
    </row>
    <row r="37" spans="1:32" x14ac:dyDescent="0.25">
      <c r="A37" s="57">
        <v>292</v>
      </c>
      <c r="B37" s="58" t="s">
        <v>188</v>
      </c>
      <c r="C37" s="60">
        <f>49730-C36</f>
        <v>49350</v>
      </c>
      <c r="D37" s="694">
        <f>49730+15-4250-D36</f>
        <v>45100</v>
      </c>
      <c r="E37" s="694">
        <f t="shared" ref="E37:H37" si="17">49730+15-4250-E36+4250</f>
        <v>49350</v>
      </c>
      <c r="F37" s="60">
        <f t="shared" si="17"/>
        <v>49350</v>
      </c>
      <c r="G37" s="60">
        <f t="shared" si="17"/>
        <v>49350</v>
      </c>
      <c r="H37" s="60">
        <f t="shared" si="17"/>
        <v>49350</v>
      </c>
      <c r="I37" s="694">
        <f>49730+15-4250-I36+4250-924</f>
        <v>48426</v>
      </c>
      <c r="J37" s="60">
        <f>49730+15-4250-J36+4250-924</f>
        <v>48426</v>
      </c>
      <c r="K37" s="60">
        <f>49730+15-4250-K36+4250-924</f>
        <v>48426</v>
      </c>
      <c r="L37" s="694">
        <f>49730+15-4250-L36+4250-924+540</f>
        <v>48966</v>
      </c>
      <c r="M37" s="60">
        <f>49730+15-4250-M36+4250-924+540</f>
        <v>48966</v>
      </c>
      <c r="N37" s="694">
        <f>49730+15-4250-N36+4250-924+540+924</f>
        <v>49890</v>
      </c>
      <c r="O37" s="60">
        <f>49730+15-4250-O36+4250-924+540+924</f>
        <v>49890</v>
      </c>
      <c r="P37" s="60">
        <f>49730+15-4250-P36+4250-924+540+924</f>
        <v>49890</v>
      </c>
      <c r="Q37" s="60">
        <f t="shared" ref="Q37:U37" si="18">49730+15-4250-Q36+4250-924+540+924</f>
        <v>49890</v>
      </c>
      <c r="R37" s="60">
        <f t="shared" si="18"/>
        <v>49890</v>
      </c>
      <c r="S37" s="60">
        <f t="shared" si="18"/>
        <v>49890</v>
      </c>
      <c r="T37" s="60">
        <f t="shared" si="18"/>
        <v>49890</v>
      </c>
      <c r="U37" s="60">
        <f t="shared" si="18"/>
        <v>49890</v>
      </c>
      <c r="V37" s="60">
        <f t="shared" ref="V37:W37" si="19">49730+15-4250-V36+4250-924+540+924</f>
        <v>49890</v>
      </c>
      <c r="W37" s="60">
        <f t="shared" si="19"/>
        <v>49890</v>
      </c>
      <c r="X37" s="60">
        <f>26987-X36</f>
        <v>26593</v>
      </c>
      <c r="Y37" s="728">
        <f t="shared" si="4"/>
        <v>0.53303267187813186</v>
      </c>
      <c r="Z37" s="27">
        <f>SUM(W36:W37)</f>
        <v>50285</v>
      </c>
      <c r="AA37" s="27">
        <f>SUM(X36:X37)</f>
        <v>26987</v>
      </c>
      <c r="AB37" s="27"/>
      <c r="AC37" s="27"/>
      <c r="AD37" s="27"/>
      <c r="AE37" s="27"/>
      <c r="AF37" s="27"/>
    </row>
    <row r="38" spans="1:32" ht="15.75" thickBot="1" x14ac:dyDescent="0.3">
      <c r="A38" s="57">
        <v>292</v>
      </c>
      <c r="B38" s="58" t="s">
        <v>260</v>
      </c>
      <c r="C38" s="60">
        <v>10</v>
      </c>
      <c r="D38" s="60">
        <v>10</v>
      </c>
      <c r="E38" s="60">
        <v>10</v>
      </c>
      <c r="F38" s="60">
        <v>10</v>
      </c>
      <c r="G38" s="60">
        <v>10</v>
      </c>
      <c r="H38" s="60">
        <v>10</v>
      </c>
      <c r="I38" s="694">
        <f t="shared" ref="I38" si="20">10+924</f>
        <v>934</v>
      </c>
      <c r="J38" s="694">
        <f>10+924+924</f>
        <v>1858</v>
      </c>
      <c r="K38" s="60">
        <f t="shared" ref="K38:M38" si="21">10+924+924</f>
        <v>1858</v>
      </c>
      <c r="L38" s="60">
        <f t="shared" si="21"/>
        <v>1858</v>
      </c>
      <c r="M38" s="60">
        <f t="shared" si="21"/>
        <v>1858</v>
      </c>
      <c r="N38" s="694">
        <f>10+924+924-924</f>
        <v>934</v>
      </c>
      <c r="O38" s="60">
        <f>10+924+924-924</f>
        <v>934</v>
      </c>
      <c r="P38" s="60">
        <f>10+924+924-924</f>
        <v>934</v>
      </c>
      <c r="Q38" s="60">
        <f t="shared" ref="Q38:W38" si="22">10+924+924-924</f>
        <v>934</v>
      </c>
      <c r="R38" s="60">
        <f t="shared" si="22"/>
        <v>934</v>
      </c>
      <c r="S38" s="60">
        <f t="shared" si="22"/>
        <v>934</v>
      </c>
      <c r="T38" s="60">
        <f t="shared" si="22"/>
        <v>934</v>
      </c>
      <c r="U38" s="60">
        <f t="shared" si="22"/>
        <v>934</v>
      </c>
      <c r="V38" s="60">
        <f t="shared" si="22"/>
        <v>934</v>
      </c>
      <c r="W38" s="60">
        <f t="shared" si="22"/>
        <v>934</v>
      </c>
      <c r="X38" s="60">
        <v>925</v>
      </c>
      <c r="Y38" s="728">
        <f t="shared" si="4"/>
        <v>0.99036402569593152</v>
      </c>
      <c r="Z38" s="426">
        <f>Z16+W17+W18+Z30+W32+W33+0</f>
        <v>316379</v>
      </c>
      <c r="AA38" s="426">
        <f>AA16+X17+X18+AA30+X32+X33+0</f>
        <v>229375</v>
      </c>
    </row>
    <row r="39" spans="1:32" ht="15.75" thickBot="1" x14ac:dyDescent="0.3">
      <c r="A39" s="65" t="s">
        <v>39</v>
      </c>
      <c r="B39" s="340"/>
      <c r="C39" s="336">
        <f t="shared" ref="C39:X39" si="23">SUM(C40:C68)</f>
        <v>1306665</v>
      </c>
      <c r="D39" s="336">
        <f t="shared" si="23"/>
        <v>1306322</v>
      </c>
      <c r="E39" s="336">
        <f t="shared" si="23"/>
        <v>1319182</v>
      </c>
      <c r="F39" s="336">
        <f t="shared" si="23"/>
        <v>1312406</v>
      </c>
      <c r="G39" s="336">
        <f t="shared" si="23"/>
        <v>1312406</v>
      </c>
      <c r="H39" s="336">
        <f t="shared" si="23"/>
        <v>1312406</v>
      </c>
      <c r="I39" s="336">
        <f t="shared" si="23"/>
        <v>1324362</v>
      </c>
      <c r="J39" s="336">
        <f t="shared" si="23"/>
        <v>1324362</v>
      </c>
      <c r="K39" s="336">
        <f t="shared" si="23"/>
        <v>1422191</v>
      </c>
      <c r="L39" s="336">
        <f t="shared" si="23"/>
        <v>1422191</v>
      </c>
      <c r="M39" s="336">
        <f t="shared" si="23"/>
        <v>1422191</v>
      </c>
      <c r="N39" s="336">
        <f t="shared" si="23"/>
        <v>1426590</v>
      </c>
      <c r="O39" s="336">
        <f t="shared" si="23"/>
        <v>1428787</v>
      </c>
      <c r="P39" s="336">
        <f t="shared" si="23"/>
        <v>1430387</v>
      </c>
      <c r="Q39" s="336">
        <f t="shared" si="23"/>
        <v>1430387</v>
      </c>
      <c r="R39" s="336">
        <f t="shared" si="23"/>
        <v>1471668</v>
      </c>
      <c r="S39" s="336">
        <f t="shared" si="23"/>
        <v>1496516</v>
      </c>
      <c r="T39" s="336">
        <f t="shared" si="23"/>
        <v>1496516</v>
      </c>
      <c r="U39" s="336">
        <f t="shared" si="23"/>
        <v>1526689</v>
      </c>
      <c r="V39" s="336">
        <f t="shared" si="23"/>
        <v>1526689</v>
      </c>
      <c r="W39" s="336">
        <f t="shared" si="23"/>
        <v>1554270</v>
      </c>
      <c r="X39" s="336">
        <f t="shared" si="23"/>
        <v>1509454</v>
      </c>
      <c r="Y39" s="728">
        <f t="shared" si="4"/>
        <v>0.97116588494920442</v>
      </c>
      <c r="Z39" s="1"/>
    </row>
    <row r="40" spans="1:32" ht="15.75" thickBot="1" x14ac:dyDescent="0.3">
      <c r="A40" s="787">
        <v>311</v>
      </c>
      <c r="B40" s="788" t="s">
        <v>40</v>
      </c>
      <c r="C40" s="789">
        <v>0</v>
      </c>
      <c r="D40" s="789">
        <v>0</v>
      </c>
      <c r="E40" s="789">
        <v>0</v>
      </c>
      <c r="F40" s="789">
        <v>0</v>
      </c>
      <c r="G40" s="789">
        <v>0</v>
      </c>
      <c r="H40" s="789">
        <v>0</v>
      </c>
      <c r="I40" s="789">
        <v>0</v>
      </c>
      <c r="J40" s="789">
        <v>0</v>
      </c>
      <c r="K40" s="789">
        <v>0</v>
      </c>
      <c r="L40" s="789">
        <v>0</v>
      </c>
      <c r="M40" s="789">
        <v>0</v>
      </c>
      <c r="N40" s="814">
        <v>3000</v>
      </c>
      <c r="O40" s="789">
        <v>3000</v>
      </c>
      <c r="P40" s="789">
        <v>3000</v>
      </c>
      <c r="Q40" s="789">
        <v>3000</v>
      </c>
      <c r="R40" s="789">
        <v>3000</v>
      </c>
      <c r="S40" s="814">
        <f>3000+150</f>
        <v>3150</v>
      </c>
      <c r="T40" s="789">
        <f>3000+150</f>
        <v>3150</v>
      </c>
      <c r="U40" s="814">
        <f>3000+150+100</f>
        <v>3250</v>
      </c>
      <c r="V40" s="789">
        <f>3000+150+100</f>
        <v>3250</v>
      </c>
      <c r="W40" s="814">
        <f>3000+150+100+100</f>
        <v>3350</v>
      </c>
      <c r="X40" s="789">
        <v>3350</v>
      </c>
      <c r="Y40" s="728">
        <f t="shared" si="4"/>
        <v>1</v>
      </c>
      <c r="Z40" s="1"/>
    </row>
    <row r="41" spans="1:32" x14ac:dyDescent="0.25">
      <c r="A41" s="817">
        <v>312</v>
      </c>
      <c r="B41" s="818" t="s">
        <v>660</v>
      </c>
      <c r="C41" s="819">
        <v>0</v>
      </c>
      <c r="D41" s="819">
        <v>0</v>
      </c>
      <c r="E41" s="819">
        <v>0</v>
      </c>
      <c r="F41" s="819">
        <v>0</v>
      </c>
      <c r="G41" s="819">
        <v>0</v>
      </c>
      <c r="H41" s="819">
        <v>0</v>
      </c>
      <c r="I41" s="819">
        <v>0</v>
      </c>
      <c r="J41" s="819">
        <v>0</v>
      </c>
      <c r="K41" s="820">
        <f>63800</f>
        <v>63800</v>
      </c>
      <c r="L41" s="819">
        <f>63800</f>
        <v>63800</v>
      </c>
      <c r="M41" s="819">
        <f>63800</f>
        <v>63800</v>
      </c>
      <c r="N41" s="820">
        <f>63800+4</f>
        <v>63804</v>
      </c>
      <c r="O41" s="819">
        <f>63800+4</f>
        <v>63804</v>
      </c>
      <c r="P41" s="819">
        <f>63800+4</f>
        <v>63804</v>
      </c>
      <c r="Q41" s="819">
        <f t="shared" ref="Q41" si="24">63800+4</f>
        <v>63804</v>
      </c>
      <c r="R41" s="820">
        <f t="shared" ref="R41:W41" si="25">63800+4-2597</f>
        <v>61207</v>
      </c>
      <c r="S41" s="819">
        <f t="shared" si="25"/>
        <v>61207</v>
      </c>
      <c r="T41" s="819">
        <f t="shared" si="25"/>
        <v>61207</v>
      </c>
      <c r="U41" s="819">
        <f t="shared" si="25"/>
        <v>61207</v>
      </c>
      <c r="V41" s="819">
        <f t="shared" si="25"/>
        <v>61207</v>
      </c>
      <c r="W41" s="819">
        <f t="shared" si="25"/>
        <v>61207</v>
      </c>
      <c r="X41" s="819">
        <v>61200</v>
      </c>
      <c r="Y41" s="728">
        <f t="shared" si="4"/>
        <v>0.99988563399611152</v>
      </c>
      <c r="Z41" s="1"/>
    </row>
    <row r="42" spans="1:32" x14ac:dyDescent="0.25">
      <c r="A42" s="69">
        <v>312</v>
      </c>
      <c r="B42" s="333" t="s">
        <v>823</v>
      </c>
      <c r="C42" s="70">
        <v>69225</v>
      </c>
      <c r="D42" s="70">
        <v>69225</v>
      </c>
      <c r="E42" s="70">
        <v>69225</v>
      </c>
      <c r="F42" s="70">
        <v>69225</v>
      </c>
      <c r="G42" s="70">
        <v>69225</v>
      </c>
      <c r="H42" s="70">
        <v>69225</v>
      </c>
      <c r="I42" s="70">
        <v>69225</v>
      </c>
      <c r="J42" s="70">
        <v>69225</v>
      </c>
      <c r="K42" s="70">
        <v>69225</v>
      </c>
      <c r="L42" s="70">
        <v>69225</v>
      </c>
      <c r="M42" s="70">
        <v>69225</v>
      </c>
      <c r="N42" s="70">
        <v>69225</v>
      </c>
      <c r="O42" s="70">
        <v>69225</v>
      </c>
      <c r="P42" s="70">
        <v>69225</v>
      </c>
      <c r="Q42" s="70">
        <v>69225</v>
      </c>
      <c r="R42" s="847">
        <f t="shared" ref="R42:W42" si="26">69225+30025</f>
        <v>99250</v>
      </c>
      <c r="S42" s="70">
        <f t="shared" si="26"/>
        <v>99250</v>
      </c>
      <c r="T42" s="70">
        <f t="shared" si="26"/>
        <v>99250</v>
      </c>
      <c r="U42" s="70">
        <f t="shared" si="26"/>
        <v>99250</v>
      </c>
      <c r="V42" s="70">
        <f t="shared" si="26"/>
        <v>99250</v>
      </c>
      <c r="W42" s="70">
        <f t="shared" si="26"/>
        <v>99250</v>
      </c>
      <c r="X42" s="70">
        <v>99246</v>
      </c>
      <c r="Y42" s="728">
        <f t="shared" si="4"/>
        <v>0.99995969773299753</v>
      </c>
      <c r="Z42" s="1"/>
    </row>
    <row r="43" spans="1:32" x14ac:dyDescent="0.25">
      <c r="A43" s="71">
        <v>312</v>
      </c>
      <c r="B43" s="334" t="s">
        <v>193</v>
      </c>
      <c r="C43" s="16">
        <f t="shared" ref="C43:W43" si="27">62400+500</f>
        <v>62900</v>
      </c>
      <c r="D43" s="16">
        <f t="shared" si="27"/>
        <v>62900</v>
      </c>
      <c r="E43" s="16">
        <f t="shared" si="27"/>
        <v>62900</v>
      </c>
      <c r="F43" s="16">
        <f t="shared" si="27"/>
        <v>62900</v>
      </c>
      <c r="G43" s="16">
        <f t="shared" si="27"/>
        <v>62900</v>
      </c>
      <c r="H43" s="16">
        <f t="shared" si="27"/>
        <v>62900</v>
      </c>
      <c r="I43" s="16">
        <f t="shared" si="27"/>
        <v>62900</v>
      </c>
      <c r="J43" s="16">
        <f t="shared" si="27"/>
        <v>62900</v>
      </c>
      <c r="K43" s="16">
        <f t="shared" si="27"/>
        <v>62900</v>
      </c>
      <c r="L43" s="16">
        <f t="shared" si="27"/>
        <v>62900</v>
      </c>
      <c r="M43" s="16">
        <f t="shared" si="27"/>
        <v>62900</v>
      </c>
      <c r="N43" s="16">
        <f t="shared" si="27"/>
        <v>62900</v>
      </c>
      <c r="O43" s="16">
        <f t="shared" si="27"/>
        <v>62900</v>
      </c>
      <c r="P43" s="16">
        <f t="shared" si="27"/>
        <v>62900</v>
      </c>
      <c r="Q43" s="16">
        <f t="shared" si="27"/>
        <v>62900</v>
      </c>
      <c r="R43" s="16">
        <f t="shared" si="27"/>
        <v>62900</v>
      </c>
      <c r="S43" s="16">
        <f t="shared" si="27"/>
        <v>62900</v>
      </c>
      <c r="T43" s="16">
        <f t="shared" si="27"/>
        <v>62900</v>
      </c>
      <c r="U43" s="16">
        <f t="shared" si="27"/>
        <v>62900</v>
      </c>
      <c r="V43" s="16">
        <f t="shared" si="27"/>
        <v>62900</v>
      </c>
      <c r="W43" s="16">
        <f t="shared" si="27"/>
        <v>62900</v>
      </c>
      <c r="X43" s="16">
        <v>60949</v>
      </c>
      <c r="Y43" s="728">
        <f t="shared" si="4"/>
        <v>0.96898251192368834</v>
      </c>
      <c r="Z43" s="1"/>
    </row>
    <row r="44" spans="1:32" x14ac:dyDescent="0.25">
      <c r="A44" s="71">
        <v>312</v>
      </c>
      <c r="B44" s="334" t="s">
        <v>194</v>
      </c>
      <c r="C44" s="16">
        <v>500</v>
      </c>
      <c r="D44" s="16">
        <v>500</v>
      </c>
      <c r="E44" s="16">
        <v>500</v>
      </c>
      <c r="F44" s="16">
        <v>500</v>
      </c>
      <c r="G44" s="16">
        <v>500</v>
      </c>
      <c r="H44" s="16">
        <v>500</v>
      </c>
      <c r="I44" s="781">
        <f t="shared" ref="I44:O44" si="28">500+580</f>
        <v>1080</v>
      </c>
      <c r="J44" s="16">
        <f t="shared" si="28"/>
        <v>1080</v>
      </c>
      <c r="K44" s="16">
        <f t="shared" si="28"/>
        <v>1080</v>
      </c>
      <c r="L44" s="16">
        <f t="shared" si="28"/>
        <v>1080</v>
      </c>
      <c r="M44" s="16">
        <f t="shared" si="28"/>
        <v>1080</v>
      </c>
      <c r="N44" s="16">
        <f t="shared" si="28"/>
        <v>1080</v>
      </c>
      <c r="O44" s="16">
        <f t="shared" si="28"/>
        <v>1080</v>
      </c>
      <c r="P44" s="781">
        <f>500+580+600</f>
        <v>1680</v>
      </c>
      <c r="Q44" s="16">
        <f t="shared" ref="Q44:V44" si="29">500+580+600</f>
        <v>1680</v>
      </c>
      <c r="R44" s="16">
        <f t="shared" si="29"/>
        <v>1680</v>
      </c>
      <c r="S44" s="16">
        <f t="shared" si="29"/>
        <v>1680</v>
      </c>
      <c r="T44" s="16">
        <f t="shared" si="29"/>
        <v>1680</v>
      </c>
      <c r="U44" s="16">
        <f t="shared" si="29"/>
        <v>1680</v>
      </c>
      <c r="V44" s="16">
        <f t="shared" si="29"/>
        <v>1680</v>
      </c>
      <c r="W44" s="781">
        <f>500+580+600-300</f>
        <v>1380</v>
      </c>
      <c r="X44" s="16">
        <v>1380</v>
      </c>
      <c r="Y44" s="728">
        <f t="shared" si="4"/>
        <v>1</v>
      </c>
      <c r="Z44" s="27"/>
    </row>
    <row r="45" spans="1:32" x14ac:dyDescent="0.25">
      <c r="A45" s="71">
        <v>312</v>
      </c>
      <c r="B45" s="114" t="s">
        <v>41</v>
      </c>
      <c r="C45" s="73">
        <v>0</v>
      </c>
      <c r="D45" s="696">
        <f t="shared" ref="D45:M45" si="30">57+660</f>
        <v>717</v>
      </c>
      <c r="E45" s="73">
        <f t="shared" si="30"/>
        <v>717</v>
      </c>
      <c r="F45" s="73">
        <f t="shared" si="30"/>
        <v>717</v>
      </c>
      <c r="G45" s="73">
        <f t="shared" si="30"/>
        <v>717</v>
      </c>
      <c r="H45" s="73">
        <f t="shared" si="30"/>
        <v>717</v>
      </c>
      <c r="I45" s="73">
        <f t="shared" si="30"/>
        <v>717</v>
      </c>
      <c r="J45" s="73">
        <f t="shared" si="30"/>
        <v>717</v>
      </c>
      <c r="K45" s="73">
        <f t="shared" si="30"/>
        <v>717</v>
      </c>
      <c r="L45" s="73">
        <f t="shared" si="30"/>
        <v>717</v>
      </c>
      <c r="M45" s="73">
        <f t="shared" si="30"/>
        <v>717</v>
      </c>
      <c r="N45" s="696">
        <f>57+660+570</f>
        <v>1287</v>
      </c>
      <c r="O45" s="73">
        <f>57+660+570</f>
        <v>1287</v>
      </c>
      <c r="P45" s="73">
        <f>57+660+570</f>
        <v>1287</v>
      </c>
      <c r="Q45" s="73">
        <f t="shared" ref="Q45:W45" si="31">57+660+570</f>
        <v>1287</v>
      </c>
      <c r="R45" s="73">
        <f t="shared" si="31"/>
        <v>1287</v>
      </c>
      <c r="S45" s="73">
        <f t="shared" si="31"/>
        <v>1287</v>
      </c>
      <c r="T45" s="73">
        <f t="shared" si="31"/>
        <v>1287</v>
      </c>
      <c r="U45" s="73">
        <f t="shared" si="31"/>
        <v>1287</v>
      </c>
      <c r="V45" s="73">
        <f t="shared" si="31"/>
        <v>1287</v>
      </c>
      <c r="W45" s="73">
        <f t="shared" si="31"/>
        <v>1287</v>
      </c>
      <c r="X45" s="73">
        <v>970</v>
      </c>
      <c r="Y45" s="728">
        <f t="shared" si="4"/>
        <v>0.75369075369075367</v>
      </c>
      <c r="Z45" s="27"/>
    </row>
    <row r="46" spans="1:32" x14ac:dyDescent="0.25">
      <c r="A46" s="83">
        <v>312</v>
      </c>
      <c r="B46" s="114" t="s">
        <v>344</v>
      </c>
      <c r="C46" s="501">
        <v>9680</v>
      </c>
      <c r="D46" s="501">
        <v>9680</v>
      </c>
      <c r="E46" s="501">
        <v>9680</v>
      </c>
      <c r="F46" s="501">
        <v>9680</v>
      </c>
      <c r="G46" s="501">
        <v>9680</v>
      </c>
      <c r="H46" s="501">
        <v>9680</v>
      </c>
      <c r="I46" s="501">
        <v>9680</v>
      </c>
      <c r="J46" s="501">
        <v>9680</v>
      </c>
      <c r="K46" s="501">
        <v>9680</v>
      </c>
      <c r="L46" s="501">
        <v>9680</v>
      </c>
      <c r="M46" s="501">
        <v>9680</v>
      </c>
      <c r="N46" s="501">
        <v>9680</v>
      </c>
      <c r="O46" s="501">
        <v>9680</v>
      </c>
      <c r="P46" s="501">
        <v>9680</v>
      </c>
      <c r="Q46" s="501">
        <v>9680</v>
      </c>
      <c r="R46" s="501">
        <v>9680</v>
      </c>
      <c r="S46" s="501">
        <v>9680</v>
      </c>
      <c r="T46" s="501">
        <v>9680</v>
      </c>
      <c r="U46" s="501">
        <v>9680</v>
      </c>
      <c r="V46" s="501">
        <v>9680</v>
      </c>
      <c r="W46" s="501">
        <v>9680</v>
      </c>
      <c r="X46" s="501">
        <v>9669</v>
      </c>
      <c r="Y46" s="728">
        <f t="shared" si="4"/>
        <v>0.9988636363636364</v>
      </c>
      <c r="Z46" s="27"/>
      <c r="AA46" s="426"/>
    </row>
    <row r="47" spans="1:32" x14ac:dyDescent="0.25">
      <c r="A47" s="83">
        <v>312</v>
      </c>
      <c r="B47" s="114" t="s">
        <v>346</v>
      </c>
      <c r="C47" s="501">
        <v>1450</v>
      </c>
      <c r="D47" s="501">
        <v>1450</v>
      </c>
      <c r="E47" s="501">
        <v>1450</v>
      </c>
      <c r="F47" s="501">
        <v>1450</v>
      </c>
      <c r="G47" s="501">
        <v>1450</v>
      </c>
      <c r="H47" s="501">
        <v>1450</v>
      </c>
      <c r="I47" s="501">
        <v>1450</v>
      </c>
      <c r="J47" s="501">
        <v>1450</v>
      </c>
      <c r="K47" s="501">
        <v>1450</v>
      </c>
      <c r="L47" s="501">
        <v>1450</v>
      </c>
      <c r="M47" s="501">
        <v>1450</v>
      </c>
      <c r="N47" s="501">
        <v>1450</v>
      </c>
      <c r="O47" s="501">
        <v>1450</v>
      </c>
      <c r="P47" s="501">
        <v>1450</v>
      </c>
      <c r="Q47" s="501">
        <v>1450</v>
      </c>
      <c r="R47" s="501">
        <v>1450</v>
      </c>
      <c r="S47" s="501">
        <v>1450</v>
      </c>
      <c r="T47" s="501">
        <v>1450</v>
      </c>
      <c r="U47" s="501">
        <v>1450</v>
      </c>
      <c r="V47" s="501">
        <v>1450</v>
      </c>
      <c r="W47" s="501">
        <v>1450</v>
      </c>
      <c r="X47" s="501">
        <v>0</v>
      </c>
      <c r="Y47" s="728">
        <f t="shared" si="4"/>
        <v>0</v>
      </c>
      <c r="Z47" s="27"/>
      <c r="AA47" s="426"/>
    </row>
    <row r="48" spans="1:32" x14ac:dyDescent="0.25">
      <c r="A48" s="83">
        <v>312</v>
      </c>
      <c r="B48" s="114" t="s">
        <v>336</v>
      </c>
      <c r="C48" s="501">
        <v>5000</v>
      </c>
      <c r="D48" s="34">
        <v>5000</v>
      </c>
      <c r="E48" s="34">
        <v>5000</v>
      </c>
      <c r="F48" s="34">
        <v>5000</v>
      </c>
      <c r="G48" s="34">
        <v>5000</v>
      </c>
      <c r="H48" s="34">
        <v>5000</v>
      </c>
      <c r="I48" s="34">
        <v>5000</v>
      </c>
      <c r="J48" s="34">
        <v>5000</v>
      </c>
      <c r="K48" s="34">
        <v>5000</v>
      </c>
      <c r="L48" s="34">
        <v>5000</v>
      </c>
      <c r="M48" s="34">
        <v>5000</v>
      </c>
      <c r="N48" s="34">
        <v>5000</v>
      </c>
      <c r="O48" s="34">
        <v>5000</v>
      </c>
      <c r="P48" s="34">
        <v>5000</v>
      </c>
      <c r="Q48" s="34">
        <v>5000</v>
      </c>
      <c r="R48" s="34">
        <v>5000</v>
      </c>
      <c r="S48" s="34">
        <v>5000</v>
      </c>
      <c r="T48" s="34">
        <v>5000</v>
      </c>
      <c r="U48" s="34">
        <v>5000</v>
      </c>
      <c r="V48" s="34">
        <v>5000</v>
      </c>
      <c r="W48" s="34">
        <v>5000</v>
      </c>
      <c r="X48" s="501">
        <v>0</v>
      </c>
      <c r="Y48" s="728">
        <f t="shared" si="4"/>
        <v>0</v>
      </c>
      <c r="Z48" s="27"/>
      <c r="AA48" s="426"/>
    </row>
    <row r="49" spans="1:28" x14ac:dyDescent="0.25">
      <c r="A49" s="476">
        <v>312</v>
      </c>
      <c r="B49" s="155" t="s">
        <v>501</v>
      </c>
      <c r="C49" s="561">
        <v>0</v>
      </c>
      <c r="D49" s="561">
        <v>0</v>
      </c>
      <c r="E49" s="756">
        <v>12860</v>
      </c>
      <c r="F49" s="561">
        <v>12860</v>
      </c>
      <c r="G49" s="561">
        <v>12860</v>
      </c>
      <c r="H49" s="561">
        <v>12860</v>
      </c>
      <c r="I49" s="561">
        <v>12860</v>
      </c>
      <c r="J49" s="561">
        <v>12860</v>
      </c>
      <c r="K49" s="561">
        <v>12860</v>
      </c>
      <c r="L49" s="561">
        <v>12860</v>
      </c>
      <c r="M49" s="561">
        <v>12860</v>
      </c>
      <c r="N49" s="561">
        <v>12860</v>
      </c>
      <c r="O49" s="561">
        <v>12860</v>
      </c>
      <c r="P49" s="561">
        <v>12860</v>
      </c>
      <c r="Q49" s="561">
        <v>12860</v>
      </c>
      <c r="R49" s="561">
        <v>12860</v>
      </c>
      <c r="S49" s="561">
        <v>12860</v>
      </c>
      <c r="T49" s="561">
        <v>12860</v>
      </c>
      <c r="U49" s="561">
        <v>12860</v>
      </c>
      <c r="V49" s="561">
        <v>12860</v>
      </c>
      <c r="W49" s="561">
        <v>12860</v>
      </c>
      <c r="X49" s="561">
        <v>10790</v>
      </c>
      <c r="Y49" s="728">
        <f t="shared" si="4"/>
        <v>0.83903576982892691</v>
      </c>
      <c r="Z49" s="27"/>
      <c r="AA49" s="426"/>
    </row>
    <row r="50" spans="1:28" x14ac:dyDescent="0.25">
      <c r="A50" s="83">
        <v>312</v>
      </c>
      <c r="B50" s="848" t="s">
        <v>914</v>
      </c>
      <c r="C50" s="501">
        <v>0</v>
      </c>
      <c r="D50" s="501">
        <v>0</v>
      </c>
      <c r="E50" s="501">
        <v>0</v>
      </c>
      <c r="F50" s="501">
        <v>0</v>
      </c>
      <c r="G50" s="501">
        <v>0</v>
      </c>
      <c r="H50" s="501">
        <v>0</v>
      </c>
      <c r="I50" s="501">
        <v>0</v>
      </c>
      <c r="J50" s="501">
        <v>0</v>
      </c>
      <c r="K50" s="501">
        <v>0</v>
      </c>
      <c r="L50" s="501">
        <v>0</v>
      </c>
      <c r="M50" s="501">
        <v>0</v>
      </c>
      <c r="N50" s="501">
        <v>0</v>
      </c>
      <c r="O50" s="501">
        <v>0</v>
      </c>
      <c r="P50" s="501">
        <v>0</v>
      </c>
      <c r="Q50" s="501">
        <v>0</v>
      </c>
      <c r="R50" s="501">
        <v>0</v>
      </c>
      <c r="S50" s="501">
        <v>0</v>
      </c>
      <c r="T50" s="501">
        <v>0</v>
      </c>
      <c r="U50" s="859">
        <f>24880</f>
        <v>24880</v>
      </c>
      <c r="V50" s="501">
        <f>24880</f>
        <v>24880</v>
      </c>
      <c r="W50" s="501">
        <f>24880</f>
        <v>24880</v>
      </c>
      <c r="X50" s="501">
        <v>16721</v>
      </c>
      <c r="Y50" s="728">
        <f t="shared" si="4"/>
        <v>0.67206591639871383</v>
      </c>
      <c r="Z50" s="27"/>
      <c r="AA50" s="426"/>
    </row>
    <row r="51" spans="1:28" x14ac:dyDescent="0.25">
      <c r="A51" s="83">
        <v>312</v>
      </c>
      <c r="B51" s="848" t="s">
        <v>345</v>
      </c>
      <c r="C51" s="501">
        <v>0</v>
      </c>
      <c r="D51" s="501">
        <v>0</v>
      </c>
      <c r="E51" s="501">
        <v>0</v>
      </c>
      <c r="F51" s="501">
        <v>0</v>
      </c>
      <c r="G51" s="501">
        <v>0</v>
      </c>
      <c r="H51" s="501">
        <v>0</v>
      </c>
      <c r="I51" s="501">
        <v>0</v>
      </c>
      <c r="J51" s="501">
        <v>0</v>
      </c>
      <c r="K51" s="501">
        <v>0</v>
      </c>
      <c r="L51" s="501">
        <v>0</v>
      </c>
      <c r="M51" s="501">
        <v>0</v>
      </c>
      <c r="N51" s="501">
        <v>0</v>
      </c>
      <c r="O51" s="501">
        <v>0</v>
      </c>
      <c r="P51" s="501">
        <v>0</v>
      </c>
      <c r="Q51" s="501">
        <v>0</v>
      </c>
      <c r="R51" s="501">
        <v>0</v>
      </c>
      <c r="S51" s="501">
        <v>0</v>
      </c>
      <c r="T51" s="501">
        <v>0</v>
      </c>
      <c r="U51" s="501">
        <v>0</v>
      </c>
      <c r="V51" s="501">
        <v>0</v>
      </c>
      <c r="W51" s="859">
        <v>1720</v>
      </c>
      <c r="X51" s="501">
        <v>1720</v>
      </c>
      <c r="Y51" s="728">
        <v>0</v>
      </c>
      <c r="Z51" s="27"/>
      <c r="AA51" s="426"/>
    </row>
    <row r="52" spans="1:28" x14ac:dyDescent="0.25">
      <c r="A52" s="67">
        <v>312</v>
      </c>
      <c r="B52" s="341" t="s">
        <v>43</v>
      </c>
      <c r="C52" s="68">
        <v>50</v>
      </c>
      <c r="D52" s="68">
        <v>50</v>
      </c>
      <c r="E52" s="68">
        <v>50</v>
      </c>
      <c r="F52" s="68">
        <v>50</v>
      </c>
      <c r="G52" s="68">
        <v>50</v>
      </c>
      <c r="H52" s="68">
        <v>50</v>
      </c>
      <c r="I52" s="68">
        <v>50</v>
      </c>
      <c r="J52" s="68">
        <v>50</v>
      </c>
      <c r="K52" s="68">
        <v>50</v>
      </c>
      <c r="L52" s="68">
        <v>50</v>
      </c>
      <c r="M52" s="68">
        <v>50</v>
      </c>
      <c r="N52" s="68">
        <v>50</v>
      </c>
      <c r="O52" s="68">
        <v>50</v>
      </c>
      <c r="P52" s="68">
        <v>50</v>
      </c>
      <c r="Q52" s="68">
        <v>50</v>
      </c>
      <c r="R52" s="68">
        <v>50</v>
      </c>
      <c r="S52" s="68">
        <v>50</v>
      </c>
      <c r="T52" s="68">
        <v>50</v>
      </c>
      <c r="U52" s="68">
        <v>50</v>
      </c>
      <c r="V52" s="68">
        <v>50</v>
      </c>
      <c r="W52" s="68">
        <v>50</v>
      </c>
      <c r="X52" s="68">
        <v>47</v>
      </c>
      <c r="Y52" s="728">
        <f t="shared" si="4"/>
        <v>0.94</v>
      </c>
      <c r="Z52" s="1"/>
    </row>
    <row r="53" spans="1:28" ht="15.75" thickBot="1" x14ac:dyDescent="0.3">
      <c r="A53" s="330">
        <v>312</v>
      </c>
      <c r="B53" s="342" t="s">
        <v>273</v>
      </c>
      <c r="C53" s="331">
        <v>4000</v>
      </c>
      <c r="D53" s="331">
        <v>4000</v>
      </c>
      <c r="E53" s="331">
        <v>4000</v>
      </c>
      <c r="F53" s="331">
        <v>4000</v>
      </c>
      <c r="G53" s="331">
        <v>4000</v>
      </c>
      <c r="H53" s="331">
        <v>4000</v>
      </c>
      <c r="I53" s="331">
        <v>4000</v>
      </c>
      <c r="J53" s="331">
        <v>4000</v>
      </c>
      <c r="K53" s="796">
        <f t="shared" ref="K53:W53" si="32">4000+380</f>
        <v>4380</v>
      </c>
      <c r="L53" s="331">
        <f t="shared" si="32"/>
        <v>4380</v>
      </c>
      <c r="M53" s="331">
        <f t="shared" si="32"/>
        <v>4380</v>
      </c>
      <c r="N53" s="331">
        <f t="shared" si="32"/>
        <v>4380</v>
      </c>
      <c r="O53" s="331">
        <f t="shared" si="32"/>
        <v>4380</v>
      </c>
      <c r="P53" s="331">
        <f t="shared" si="32"/>
        <v>4380</v>
      </c>
      <c r="Q53" s="331">
        <f t="shared" si="32"/>
        <v>4380</v>
      </c>
      <c r="R53" s="331">
        <f t="shared" si="32"/>
        <v>4380</v>
      </c>
      <c r="S53" s="331">
        <f t="shared" si="32"/>
        <v>4380</v>
      </c>
      <c r="T53" s="331">
        <f t="shared" si="32"/>
        <v>4380</v>
      </c>
      <c r="U53" s="331">
        <f t="shared" si="32"/>
        <v>4380</v>
      </c>
      <c r="V53" s="331">
        <f t="shared" si="32"/>
        <v>4380</v>
      </c>
      <c r="W53" s="331">
        <f t="shared" si="32"/>
        <v>4380</v>
      </c>
      <c r="X53" s="331">
        <v>4379</v>
      </c>
      <c r="Y53" s="728">
        <f t="shared" si="4"/>
        <v>0.99977168949771689</v>
      </c>
      <c r="Z53" s="27"/>
    </row>
    <row r="54" spans="1:28" x14ac:dyDescent="0.25">
      <c r="A54" s="71">
        <v>312</v>
      </c>
      <c r="B54" s="84" t="s">
        <v>44</v>
      </c>
      <c r="C54" s="16">
        <v>1600</v>
      </c>
      <c r="D54" s="16">
        <v>1600</v>
      </c>
      <c r="E54" s="16">
        <v>1600</v>
      </c>
      <c r="F54" s="16">
        <v>1600</v>
      </c>
      <c r="G54" s="16">
        <v>1600</v>
      </c>
      <c r="H54" s="16">
        <v>1600</v>
      </c>
      <c r="I54" s="16">
        <v>1600</v>
      </c>
      <c r="J54" s="16">
        <v>1600</v>
      </c>
      <c r="K54" s="16">
        <v>1600</v>
      </c>
      <c r="L54" s="16">
        <v>1600</v>
      </c>
      <c r="M54" s="16">
        <v>1600</v>
      </c>
      <c r="N54" s="16">
        <v>1600</v>
      </c>
      <c r="O54" s="16">
        <v>1600</v>
      </c>
      <c r="P54" s="16">
        <v>1600</v>
      </c>
      <c r="Q54" s="16">
        <v>1600</v>
      </c>
      <c r="R54" s="16">
        <v>1600</v>
      </c>
      <c r="S54" s="16">
        <v>1600</v>
      </c>
      <c r="T54" s="16">
        <v>1600</v>
      </c>
      <c r="U54" s="16">
        <v>1600</v>
      </c>
      <c r="V54" s="16">
        <v>1600</v>
      </c>
      <c r="W54" s="16">
        <v>1600</v>
      </c>
      <c r="X54" s="16">
        <v>1300</v>
      </c>
      <c r="Y54" s="728">
        <f t="shared" si="4"/>
        <v>0.8125</v>
      </c>
      <c r="Z54" s="1"/>
    </row>
    <row r="55" spans="1:28" ht="15.75" thickBot="1" x14ac:dyDescent="0.3">
      <c r="A55" s="77">
        <v>312</v>
      </c>
      <c r="B55" s="161" t="s">
        <v>46</v>
      </c>
      <c r="C55" s="79">
        <f t="shared" ref="C55:M55" si="33">350+5600</f>
        <v>5950</v>
      </c>
      <c r="D55" s="79">
        <f t="shared" si="33"/>
        <v>5950</v>
      </c>
      <c r="E55" s="79">
        <f t="shared" si="33"/>
        <v>5950</v>
      </c>
      <c r="F55" s="79">
        <f t="shared" si="33"/>
        <v>5950</v>
      </c>
      <c r="G55" s="79">
        <f t="shared" si="33"/>
        <v>5950</v>
      </c>
      <c r="H55" s="79">
        <f t="shared" si="33"/>
        <v>5950</v>
      </c>
      <c r="I55" s="79">
        <f t="shared" si="33"/>
        <v>5950</v>
      </c>
      <c r="J55" s="79">
        <f t="shared" si="33"/>
        <v>5950</v>
      </c>
      <c r="K55" s="79">
        <f t="shared" si="33"/>
        <v>5950</v>
      </c>
      <c r="L55" s="79">
        <f t="shared" si="33"/>
        <v>5950</v>
      </c>
      <c r="M55" s="79">
        <f t="shared" si="33"/>
        <v>5950</v>
      </c>
      <c r="N55" s="815">
        <f>350+5600-3755</f>
        <v>2195</v>
      </c>
      <c r="O55" s="79">
        <f>350+5600-3755</f>
        <v>2195</v>
      </c>
      <c r="P55" s="79">
        <f>350+5600-3755</f>
        <v>2195</v>
      </c>
      <c r="Q55" s="79">
        <f t="shared" ref="Q55:W55" si="34">350+5600-3755</f>
        <v>2195</v>
      </c>
      <c r="R55" s="79">
        <f t="shared" si="34"/>
        <v>2195</v>
      </c>
      <c r="S55" s="79">
        <f t="shared" si="34"/>
        <v>2195</v>
      </c>
      <c r="T55" s="79">
        <f t="shared" si="34"/>
        <v>2195</v>
      </c>
      <c r="U55" s="79">
        <f t="shared" si="34"/>
        <v>2195</v>
      </c>
      <c r="V55" s="79">
        <f t="shared" si="34"/>
        <v>2195</v>
      </c>
      <c r="W55" s="79">
        <f t="shared" si="34"/>
        <v>2195</v>
      </c>
      <c r="X55" s="79">
        <v>2194</v>
      </c>
      <c r="Y55" s="728">
        <f t="shared" si="4"/>
        <v>0.9995444191343964</v>
      </c>
      <c r="Z55" s="1"/>
    </row>
    <row r="56" spans="1:28" x14ac:dyDescent="0.25">
      <c r="A56" s="71">
        <v>312</v>
      </c>
      <c r="B56" s="84" t="s">
        <v>347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781">
        <v>2000</v>
      </c>
      <c r="J56" s="16">
        <v>2000</v>
      </c>
      <c r="K56" s="16">
        <v>2000</v>
      </c>
      <c r="L56" s="16">
        <v>2000</v>
      </c>
      <c r="M56" s="16">
        <v>2000</v>
      </c>
      <c r="N56" s="16">
        <v>2000</v>
      </c>
      <c r="O56" s="16">
        <v>2000</v>
      </c>
      <c r="P56" s="16">
        <v>2000</v>
      </c>
      <c r="Q56" s="16">
        <v>2000</v>
      </c>
      <c r="R56" s="16">
        <v>2000</v>
      </c>
      <c r="S56" s="16">
        <v>2000</v>
      </c>
      <c r="T56" s="16">
        <v>2000</v>
      </c>
      <c r="U56" s="16">
        <v>2000</v>
      </c>
      <c r="V56" s="16">
        <v>2000</v>
      </c>
      <c r="W56" s="16">
        <v>2000</v>
      </c>
      <c r="X56" s="16">
        <v>2000</v>
      </c>
      <c r="Y56" s="728">
        <f t="shared" si="4"/>
        <v>1</v>
      </c>
      <c r="Z56" s="1"/>
    </row>
    <row r="57" spans="1:28" ht="15.75" thickBot="1" x14ac:dyDescent="0.3">
      <c r="A57" s="74">
        <v>312</v>
      </c>
      <c r="B57" s="81" t="s">
        <v>48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82">
        <v>4000</v>
      </c>
      <c r="J57" s="75">
        <v>4000</v>
      </c>
      <c r="K57" s="782">
        <f>4000+3000</f>
        <v>7000</v>
      </c>
      <c r="L57" s="75">
        <f>4000+3000</f>
        <v>7000</v>
      </c>
      <c r="M57" s="75">
        <f>4000+3000</f>
        <v>7000</v>
      </c>
      <c r="N57" s="75">
        <f>4000+3000</f>
        <v>7000</v>
      </c>
      <c r="O57" s="75">
        <f>4000+3000</f>
        <v>7000</v>
      </c>
      <c r="P57" s="782">
        <f>4000+3000+1000</f>
        <v>8000</v>
      </c>
      <c r="Q57" s="75">
        <f t="shared" ref="Q57:W57" si="35">4000+3000+1000</f>
        <v>8000</v>
      </c>
      <c r="R57" s="75">
        <f t="shared" si="35"/>
        <v>8000</v>
      </c>
      <c r="S57" s="75">
        <f t="shared" si="35"/>
        <v>8000</v>
      </c>
      <c r="T57" s="75">
        <f t="shared" si="35"/>
        <v>8000</v>
      </c>
      <c r="U57" s="75">
        <f t="shared" si="35"/>
        <v>8000</v>
      </c>
      <c r="V57" s="75">
        <f t="shared" si="35"/>
        <v>8000</v>
      </c>
      <c r="W57" s="75">
        <f t="shared" si="35"/>
        <v>8000</v>
      </c>
      <c r="X57" s="75">
        <v>8000</v>
      </c>
      <c r="Y57" s="728">
        <f t="shared" si="4"/>
        <v>1</v>
      </c>
      <c r="Z57" s="1"/>
    </row>
    <row r="58" spans="1:28" x14ac:dyDescent="0.25">
      <c r="A58" s="71">
        <v>312</v>
      </c>
      <c r="B58" s="333" t="s">
        <v>49</v>
      </c>
      <c r="C58" s="82">
        <f>4800+810+40</f>
        <v>5650</v>
      </c>
      <c r="D58" s="697">
        <f t="shared" ref="D58:J58" si="36">5650-10-10</f>
        <v>5630</v>
      </c>
      <c r="E58" s="82">
        <f t="shared" si="36"/>
        <v>5630</v>
      </c>
      <c r="F58" s="82">
        <f t="shared" si="36"/>
        <v>5630</v>
      </c>
      <c r="G58" s="82">
        <f t="shared" si="36"/>
        <v>5630</v>
      </c>
      <c r="H58" s="82">
        <f t="shared" si="36"/>
        <v>5630</v>
      </c>
      <c r="I58" s="82">
        <f t="shared" si="36"/>
        <v>5630</v>
      </c>
      <c r="J58" s="82">
        <f t="shared" si="36"/>
        <v>5630</v>
      </c>
      <c r="K58" s="697">
        <f t="shared" ref="K58:W58" si="37">5650-10-10+220</f>
        <v>5850</v>
      </c>
      <c r="L58" s="82">
        <f t="shared" si="37"/>
        <v>5850</v>
      </c>
      <c r="M58" s="82">
        <f t="shared" si="37"/>
        <v>5850</v>
      </c>
      <c r="N58" s="82">
        <f t="shared" si="37"/>
        <v>5850</v>
      </c>
      <c r="O58" s="82">
        <f t="shared" si="37"/>
        <v>5850</v>
      </c>
      <c r="P58" s="82">
        <f t="shared" si="37"/>
        <v>5850</v>
      </c>
      <c r="Q58" s="82">
        <f t="shared" si="37"/>
        <v>5850</v>
      </c>
      <c r="R58" s="82">
        <f t="shared" si="37"/>
        <v>5850</v>
      </c>
      <c r="S58" s="82">
        <f t="shared" si="37"/>
        <v>5850</v>
      </c>
      <c r="T58" s="82">
        <f t="shared" si="37"/>
        <v>5850</v>
      </c>
      <c r="U58" s="82">
        <f t="shared" si="37"/>
        <v>5850</v>
      </c>
      <c r="V58" s="82">
        <f t="shared" si="37"/>
        <v>5850</v>
      </c>
      <c r="W58" s="82">
        <f t="shared" si="37"/>
        <v>5850</v>
      </c>
      <c r="X58" s="82">
        <v>5810</v>
      </c>
      <c r="Y58" s="728">
        <f t="shared" si="4"/>
        <v>0.99316239316239319</v>
      </c>
      <c r="Z58" s="27"/>
      <c r="AA58" s="27"/>
      <c r="AB58" s="27"/>
    </row>
    <row r="59" spans="1:28" x14ac:dyDescent="0.25">
      <c r="A59" s="83">
        <v>312</v>
      </c>
      <c r="B59" s="343" t="s">
        <v>50</v>
      </c>
      <c r="C59" s="21">
        <f>7050+300+110</f>
        <v>7460</v>
      </c>
      <c r="D59" s="693">
        <f t="shared" ref="D59:H59" si="38">7460+70</f>
        <v>7530</v>
      </c>
      <c r="E59" s="21">
        <f t="shared" si="38"/>
        <v>7530</v>
      </c>
      <c r="F59" s="21">
        <f t="shared" si="38"/>
        <v>7530</v>
      </c>
      <c r="G59" s="21">
        <f t="shared" si="38"/>
        <v>7530</v>
      </c>
      <c r="H59" s="21">
        <f t="shared" si="38"/>
        <v>7530</v>
      </c>
      <c r="I59" s="693">
        <f t="shared" ref="I59:M59" si="39">7460+70+15</f>
        <v>7545</v>
      </c>
      <c r="J59" s="21">
        <f t="shared" si="39"/>
        <v>7545</v>
      </c>
      <c r="K59" s="21">
        <f t="shared" si="39"/>
        <v>7545</v>
      </c>
      <c r="L59" s="21">
        <f t="shared" si="39"/>
        <v>7545</v>
      </c>
      <c r="M59" s="21">
        <f t="shared" si="39"/>
        <v>7545</v>
      </c>
      <c r="N59" s="693">
        <f>7460+70+15-3190</f>
        <v>4355</v>
      </c>
      <c r="O59" s="21">
        <f>7460+70+15-3190</f>
        <v>4355</v>
      </c>
      <c r="P59" s="21">
        <f>7460+70+15-3190</f>
        <v>4355</v>
      </c>
      <c r="Q59" s="21">
        <f t="shared" ref="Q59:W59" si="40">7460+70+15-3190</f>
        <v>4355</v>
      </c>
      <c r="R59" s="21">
        <f t="shared" si="40"/>
        <v>4355</v>
      </c>
      <c r="S59" s="21">
        <f t="shared" si="40"/>
        <v>4355</v>
      </c>
      <c r="T59" s="21">
        <f t="shared" si="40"/>
        <v>4355</v>
      </c>
      <c r="U59" s="21">
        <f t="shared" si="40"/>
        <v>4355</v>
      </c>
      <c r="V59" s="21">
        <f t="shared" si="40"/>
        <v>4355</v>
      </c>
      <c r="W59" s="21">
        <f t="shared" si="40"/>
        <v>4355</v>
      </c>
      <c r="X59" s="21">
        <v>4347</v>
      </c>
      <c r="Y59" s="728">
        <f t="shared" si="4"/>
        <v>0.99816303099885184</v>
      </c>
      <c r="Z59" s="27"/>
      <c r="AA59" s="27"/>
      <c r="AB59" s="27"/>
    </row>
    <row r="60" spans="1:28" x14ac:dyDescent="0.25">
      <c r="A60" s="83">
        <v>312</v>
      </c>
      <c r="B60" s="344" t="s">
        <v>502</v>
      </c>
      <c r="C60" s="33">
        <v>161700</v>
      </c>
      <c r="D60" s="698">
        <f>161700+3</f>
        <v>161703</v>
      </c>
      <c r="E60" s="33">
        <f>161700+3</f>
        <v>161703</v>
      </c>
      <c r="F60" s="698">
        <f>161700+3+3863</f>
        <v>165566</v>
      </c>
      <c r="G60" s="33">
        <f>161700+3+3863</f>
        <v>165566</v>
      </c>
      <c r="H60" s="33">
        <f>161700+3+3863</f>
        <v>165566</v>
      </c>
      <c r="I60" s="698">
        <f>161700+3+3863+1722</f>
        <v>167288</v>
      </c>
      <c r="J60" s="33">
        <f>161700+3+3863+1722</f>
        <v>167288</v>
      </c>
      <c r="K60" s="698">
        <f>161700+3+3863+1722+7627</f>
        <v>174915</v>
      </c>
      <c r="L60" s="33">
        <f>161700+3+3863+1722+7627</f>
        <v>174915</v>
      </c>
      <c r="M60" s="33">
        <f>161700+3+3863+1722+7627</f>
        <v>174915</v>
      </c>
      <c r="N60" s="33">
        <f>161700+3+3863+1722+7627</f>
        <v>174915</v>
      </c>
      <c r="O60" s="698">
        <f>161700+3+3863+1722+7627+3063</f>
        <v>177978</v>
      </c>
      <c r="P60" s="33">
        <f>161700+3+3863+1722+7627+3063</f>
        <v>177978</v>
      </c>
      <c r="Q60" s="33">
        <f t="shared" ref="Q60" si="41">161700+3+3863+1722+7627+3063</f>
        <v>177978</v>
      </c>
      <c r="R60" s="698">
        <f>161700+3+3863+1722+7627+3063+3274</f>
        <v>181252</v>
      </c>
      <c r="S60" s="698">
        <f>161700+3+3863+1722+7627+3063+3274+7467</f>
        <v>188719</v>
      </c>
      <c r="T60" s="33">
        <f>161700+3+3863+1722+7627+3063+3274+7467</f>
        <v>188719</v>
      </c>
      <c r="U60" s="698">
        <f>161700+3+3863+1722+7627+3063+3274+7467+350</f>
        <v>189069</v>
      </c>
      <c r="V60" s="33">
        <f>161700+3+3863+1722+7627+3063+3274+7467+350</f>
        <v>189069</v>
      </c>
      <c r="W60" s="698">
        <f>161700+3+3863+1722+7627+3063+3274+7467+350+2169</f>
        <v>191238</v>
      </c>
      <c r="X60" s="33">
        <v>191237</v>
      </c>
      <c r="Y60" s="728">
        <f t="shared" si="4"/>
        <v>0.99999477091373057</v>
      </c>
      <c r="Z60" s="27"/>
      <c r="AA60" s="27"/>
      <c r="AB60" s="27"/>
    </row>
    <row r="61" spans="1:28" x14ac:dyDescent="0.25">
      <c r="A61" s="71">
        <v>312</v>
      </c>
      <c r="B61" s="114" t="s">
        <v>249</v>
      </c>
      <c r="C61" s="16">
        <v>190000</v>
      </c>
      <c r="D61" s="16">
        <v>190000</v>
      </c>
      <c r="E61" s="16">
        <v>190000</v>
      </c>
      <c r="F61" s="16">
        <v>190000</v>
      </c>
      <c r="G61" s="16">
        <v>190000</v>
      </c>
      <c r="H61" s="16">
        <v>190000</v>
      </c>
      <c r="I61" s="16">
        <v>190000</v>
      </c>
      <c r="J61" s="16">
        <v>190000</v>
      </c>
      <c r="K61" s="16">
        <v>190000</v>
      </c>
      <c r="L61" s="16">
        <v>190000</v>
      </c>
      <c r="M61" s="16">
        <v>190000</v>
      </c>
      <c r="N61" s="781">
        <f>190000+7770</f>
        <v>197770</v>
      </c>
      <c r="O61" s="16">
        <f>190000+7770</f>
        <v>197770</v>
      </c>
      <c r="P61" s="16">
        <f>190000+7770</f>
        <v>197770</v>
      </c>
      <c r="Q61" s="16">
        <f t="shared" ref="Q61:T61" si="42">190000+7770</f>
        <v>197770</v>
      </c>
      <c r="R61" s="16">
        <f t="shared" si="42"/>
        <v>197770</v>
      </c>
      <c r="S61" s="16">
        <f t="shared" si="42"/>
        <v>197770</v>
      </c>
      <c r="T61" s="16">
        <f t="shared" si="42"/>
        <v>197770</v>
      </c>
      <c r="U61" s="781">
        <f>190000+7770+4805</f>
        <v>202575</v>
      </c>
      <c r="V61" s="16">
        <f>190000+7770+4805</f>
        <v>202575</v>
      </c>
      <c r="W61" s="16">
        <f>190000+7770+4805</f>
        <v>202575</v>
      </c>
      <c r="X61" s="16">
        <v>186133</v>
      </c>
      <c r="Y61" s="728">
        <f t="shared" si="4"/>
        <v>0.91883499938294455</v>
      </c>
      <c r="Z61" s="27"/>
    </row>
    <row r="62" spans="1:28" x14ac:dyDescent="0.25">
      <c r="A62" s="83">
        <v>312</v>
      </c>
      <c r="B62" s="114" t="s">
        <v>51</v>
      </c>
      <c r="C62" s="21">
        <v>58200</v>
      </c>
      <c r="D62" s="21">
        <v>58200</v>
      </c>
      <c r="E62" s="21">
        <v>58200</v>
      </c>
      <c r="F62" s="21">
        <v>58200</v>
      </c>
      <c r="G62" s="21">
        <v>58200</v>
      </c>
      <c r="H62" s="21">
        <v>58200</v>
      </c>
      <c r="I62" s="21">
        <v>58200</v>
      </c>
      <c r="J62" s="21">
        <v>58200</v>
      </c>
      <c r="K62" s="21">
        <v>58200</v>
      </c>
      <c r="L62" s="21">
        <v>58200</v>
      </c>
      <c r="M62" s="21">
        <v>58200</v>
      </c>
      <c r="N62" s="21">
        <v>58200</v>
      </c>
      <c r="O62" s="21">
        <v>58200</v>
      </c>
      <c r="P62" s="21">
        <v>58200</v>
      </c>
      <c r="Q62" s="21">
        <v>58200</v>
      </c>
      <c r="R62" s="21">
        <v>58200</v>
      </c>
      <c r="S62" s="21">
        <v>58200</v>
      </c>
      <c r="T62" s="21">
        <v>58200</v>
      </c>
      <c r="U62" s="21">
        <v>58200</v>
      </c>
      <c r="V62" s="21">
        <v>58200</v>
      </c>
      <c r="W62" s="21">
        <v>58200</v>
      </c>
      <c r="X62" s="21">
        <v>49149</v>
      </c>
      <c r="Y62" s="728">
        <f t="shared" si="4"/>
        <v>0.8444845360824742</v>
      </c>
      <c r="Z62" s="27"/>
    </row>
    <row r="63" spans="1:28" x14ac:dyDescent="0.25">
      <c r="A63" s="83">
        <v>312</v>
      </c>
      <c r="B63" s="344" t="s">
        <v>887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693">
        <v>1561</v>
      </c>
      <c r="T63" s="21">
        <v>1561</v>
      </c>
      <c r="U63" s="21">
        <v>1561</v>
      </c>
      <c r="V63" s="21">
        <v>1561</v>
      </c>
      <c r="W63" s="21">
        <v>1561</v>
      </c>
      <c r="X63" s="21">
        <v>1561</v>
      </c>
      <c r="Y63" s="728">
        <f t="shared" si="4"/>
        <v>1</v>
      </c>
      <c r="Z63" s="27"/>
    </row>
    <row r="64" spans="1:28" ht="15.75" thickBot="1" x14ac:dyDescent="0.3">
      <c r="A64" s="3">
        <v>312</v>
      </c>
      <c r="B64" s="868" t="s">
        <v>995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869">
        <v>0</v>
      </c>
      <c r="T64" s="39">
        <v>0</v>
      </c>
      <c r="U64" s="39">
        <v>0</v>
      </c>
      <c r="V64" s="39">
        <v>0</v>
      </c>
      <c r="W64" s="869">
        <v>11440</v>
      </c>
      <c r="X64" s="39">
        <v>11440</v>
      </c>
      <c r="Y64" s="728">
        <f t="shared" si="4"/>
        <v>1</v>
      </c>
      <c r="Z64" s="27"/>
    </row>
    <row r="65" spans="1:45" x14ac:dyDescent="0.25">
      <c r="A65" s="71">
        <v>315</v>
      </c>
      <c r="B65" s="76" t="s">
        <v>47</v>
      </c>
      <c r="C65" s="16">
        <v>3000</v>
      </c>
      <c r="D65" s="16">
        <v>3000</v>
      </c>
      <c r="E65" s="16">
        <v>3000</v>
      </c>
      <c r="F65" s="16">
        <v>3000</v>
      </c>
      <c r="G65" s="16">
        <v>3000</v>
      </c>
      <c r="H65" s="16">
        <v>3000</v>
      </c>
      <c r="I65" s="16">
        <v>3000</v>
      </c>
      <c r="J65" s="16">
        <v>3000</v>
      </c>
      <c r="K65" s="16">
        <v>3000</v>
      </c>
      <c r="L65" s="16">
        <v>3000</v>
      </c>
      <c r="M65" s="16">
        <v>3000</v>
      </c>
      <c r="N65" s="16">
        <v>3000</v>
      </c>
      <c r="O65" s="16">
        <v>3000</v>
      </c>
      <c r="P65" s="16">
        <v>3000</v>
      </c>
      <c r="Q65" s="16">
        <v>3000</v>
      </c>
      <c r="R65" s="16">
        <v>3000</v>
      </c>
      <c r="S65" s="16">
        <v>3000</v>
      </c>
      <c r="T65" s="16">
        <v>3000</v>
      </c>
      <c r="U65" s="16">
        <v>3000</v>
      </c>
      <c r="V65" s="16">
        <v>3000</v>
      </c>
      <c r="W65" s="16">
        <v>3000</v>
      </c>
      <c r="X65" s="16">
        <v>3000</v>
      </c>
      <c r="Y65" s="728">
        <f t="shared" si="4"/>
        <v>1</v>
      </c>
      <c r="Z65" s="1"/>
    </row>
    <row r="66" spans="1:45" ht="15.75" thickBot="1" x14ac:dyDescent="0.3">
      <c r="A66" s="77">
        <v>315</v>
      </c>
      <c r="B66" s="78" t="s">
        <v>236</v>
      </c>
      <c r="C66" s="79">
        <v>300</v>
      </c>
      <c r="D66" s="79">
        <v>300</v>
      </c>
      <c r="E66" s="79">
        <v>300</v>
      </c>
      <c r="F66" s="79">
        <v>300</v>
      </c>
      <c r="G66" s="79">
        <v>300</v>
      </c>
      <c r="H66" s="79">
        <v>300</v>
      </c>
      <c r="I66" s="79">
        <v>300</v>
      </c>
      <c r="J66" s="79">
        <v>300</v>
      </c>
      <c r="K66" s="79">
        <v>300</v>
      </c>
      <c r="L66" s="79">
        <v>300</v>
      </c>
      <c r="M66" s="79">
        <v>300</v>
      </c>
      <c r="N66" s="79">
        <v>300</v>
      </c>
      <c r="O66" s="79">
        <v>300</v>
      </c>
      <c r="P66" s="79">
        <v>300</v>
      </c>
      <c r="Q66" s="79">
        <v>300</v>
      </c>
      <c r="R66" s="79">
        <v>300</v>
      </c>
      <c r="S66" s="79">
        <v>300</v>
      </c>
      <c r="T66" s="79">
        <v>300</v>
      </c>
      <c r="U66" s="79">
        <v>300</v>
      </c>
      <c r="V66" s="79">
        <v>300</v>
      </c>
      <c r="W66" s="79">
        <v>300</v>
      </c>
      <c r="X66" s="79">
        <v>300</v>
      </c>
      <c r="Y66" s="728">
        <f t="shared" si="4"/>
        <v>1</v>
      </c>
      <c r="Z66" s="27">
        <f>SUM(W65:W66)</f>
        <v>3300</v>
      </c>
      <c r="AA66" s="27">
        <f>SUM(X65:X66)</f>
        <v>3300</v>
      </c>
    </row>
    <row r="67" spans="1:45" x14ac:dyDescent="0.25">
      <c r="A67" s="514">
        <v>312</v>
      </c>
      <c r="B67" s="515" t="s">
        <v>886</v>
      </c>
      <c r="C67" s="519">
        <v>0</v>
      </c>
      <c r="D67" s="519">
        <v>0</v>
      </c>
      <c r="E67" s="519">
        <v>0</v>
      </c>
      <c r="F67" s="519">
        <v>0</v>
      </c>
      <c r="G67" s="519">
        <v>0</v>
      </c>
      <c r="H67" s="519">
        <v>0</v>
      </c>
      <c r="I67" s="519">
        <v>0</v>
      </c>
      <c r="J67" s="519">
        <v>0</v>
      </c>
      <c r="K67" s="519">
        <v>0</v>
      </c>
      <c r="L67" s="519">
        <v>0</v>
      </c>
      <c r="M67" s="519">
        <v>0</v>
      </c>
      <c r="N67" s="519">
        <v>0</v>
      </c>
      <c r="O67" s="519">
        <v>0</v>
      </c>
      <c r="P67" s="519">
        <v>0</v>
      </c>
      <c r="Q67" s="519">
        <v>0</v>
      </c>
      <c r="R67" s="519">
        <v>0</v>
      </c>
      <c r="S67" s="724">
        <v>5872</v>
      </c>
      <c r="T67" s="519">
        <v>5872</v>
      </c>
      <c r="U67" s="519">
        <v>5872</v>
      </c>
      <c r="V67" s="519">
        <v>5872</v>
      </c>
      <c r="W67" s="519">
        <v>5872</v>
      </c>
      <c r="X67" s="519">
        <v>5872</v>
      </c>
      <c r="Y67" s="728">
        <f t="shared" si="4"/>
        <v>1</v>
      </c>
      <c r="Z67" s="27"/>
      <c r="AA67" s="27"/>
    </row>
    <row r="68" spans="1:45" ht="15.75" thickBot="1" x14ac:dyDescent="0.3">
      <c r="A68" s="514">
        <v>312</v>
      </c>
      <c r="B68" s="515" t="s">
        <v>307</v>
      </c>
      <c r="C68" s="519">
        <v>720000</v>
      </c>
      <c r="D68" s="724">
        <f>720000-1806+693</f>
        <v>718887</v>
      </c>
      <c r="E68" s="519">
        <f>720000-1806+693</f>
        <v>718887</v>
      </c>
      <c r="F68" s="724">
        <f>720000-1806+693-10639</f>
        <v>708248</v>
      </c>
      <c r="G68" s="519">
        <f>720000-1806+693-10639</f>
        <v>708248</v>
      </c>
      <c r="H68" s="519">
        <f>720000-1806+693-10639</f>
        <v>708248</v>
      </c>
      <c r="I68" s="724">
        <f>720000-1806+693-10639+3639</f>
        <v>711887</v>
      </c>
      <c r="J68" s="519">
        <f>720000-1806+693-10639+3639</f>
        <v>711887</v>
      </c>
      <c r="K68" s="724">
        <f>720000-1806+693-10639+3639+22802</f>
        <v>734689</v>
      </c>
      <c r="L68" s="519">
        <f>720000-1806+693-10639+3639+22802</f>
        <v>734689</v>
      </c>
      <c r="M68" s="519">
        <f>720000-1806+693-10639+3639+22802</f>
        <v>734689</v>
      </c>
      <c r="N68" s="519">
        <f>720000-1806+693-10639+3639+22802</f>
        <v>734689</v>
      </c>
      <c r="O68" s="724">
        <f>720000-1806+693-10639+3639+22802-866</f>
        <v>733823</v>
      </c>
      <c r="P68" s="519">
        <f>720000-1806+693-10639+3639+22802-866</f>
        <v>733823</v>
      </c>
      <c r="Q68" s="519">
        <f t="shared" ref="Q68" si="43">720000-1806+693-10639+3639+22802-866</f>
        <v>733823</v>
      </c>
      <c r="R68" s="724">
        <f>720000-1806+693-10639+3639+22802-866+10579</f>
        <v>744402</v>
      </c>
      <c r="S68" s="724">
        <f>720000-1806+693-10639+3639+22802-866+10579+9798</f>
        <v>754200</v>
      </c>
      <c r="T68" s="519">
        <f>720000-1806+693-10639+3639+22802-866+10579+9798</f>
        <v>754200</v>
      </c>
      <c r="U68" s="724">
        <f>720000-1806+693-10639+3639+22802-866+10579+9798+38</f>
        <v>754238</v>
      </c>
      <c r="V68" s="519">
        <f>720000-1806+693-10639+3639+22802-866+10579+9798+38</f>
        <v>754238</v>
      </c>
      <c r="W68" s="519">
        <f>720000-1806+693-10639+3639+22802-866+10579+9798+38+12452</f>
        <v>766690</v>
      </c>
      <c r="X68" s="519">
        <v>766690</v>
      </c>
      <c r="Y68" s="728">
        <f t="shared" si="4"/>
        <v>1</v>
      </c>
      <c r="Z68" s="27">
        <f>SUM(W41:W64)+W67+W68</f>
        <v>1547620</v>
      </c>
      <c r="AA68" s="27">
        <f>SUM(X41:X64)+X67+X68</f>
        <v>1502804</v>
      </c>
      <c r="AB68" s="27"/>
    </row>
    <row r="69" spans="1:45" ht="21" customHeight="1" thickBot="1" x14ac:dyDescent="0.3">
      <c r="A69" s="85" t="s">
        <v>52</v>
      </c>
      <c r="B69" s="345"/>
      <c r="C69" s="358">
        <f t="shared" ref="C69:X69" si="44">SUM(C3+C11+C31+C33+C39)</f>
        <v>2952875</v>
      </c>
      <c r="D69" s="358">
        <f t="shared" si="44"/>
        <v>2952547</v>
      </c>
      <c r="E69" s="358">
        <f t="shared" si="44"/>
        <v>2969657</v>
      </c>
      <c r="F69" s="358">
        <f t="shared" si="44"/>
        <v>2962881</v>
      </c>
      <c r="G69" s="358">
        <f t="shared" si="44"/>
        <v>2962881</v>
      </c>
      <c r="H69" s="358">
        <f t="shared" si="44"/>
        <v>2962881</v>
      </c>
      <c r="I69" s="358">
        <f t="shared" si="44"/>
        <v>2974837</v>
      </c>
      <c r="J69" s="358">
        <f t="shared" si="44"/>
        <v>2975761</v>
      </c>
      <c r="K69" s="358">
        <f t="shared" si="44"/>
        <v>3073590</v>
      </c>
      <c r="L69" s="358">
        <f t="shared" si="44"/>
        <v>3075135</v>
      </c>
      <c r="M69" s="358">
        <f t="shared" si="44"/>
        <v>3075135</v>
      </c>
      <c r="N69" s="358">
        <f t="shared" si="44"/>
        <v>3079534</v>
      </c>
      <c r="O69" s="358">
        <f t="shared" si="44"/>
        <v>3081731</v>
      </c>
      <c r="P69" s="358">
        <f t="shared" si="44"/>
        <v>3083331</v>
      </c>
      <c r="Q69" s="358">
        <f t="shared" si="44"/>
        <v>3083331</v>
      </c>
      <c r="R69" s="358">
        <f t="shared" si="44"/>
        <v>3124612</v>
      </c>
      <c r="S69" s="358">
        <f t="shared" si="44"/>
        <v>3149460</v>
      </c>
      <c r="T69" s="358">
        <f t="shared" si="44"/>
        <v>3149460</v>
      </c>
      <c r="U69" s="358">
        <f t="shared" si="44"/>
        <v>3179633</v>
      </c>
      <c r="V69" s="358">
        <f t="shared" si="44"/>
        <v>3179633</v>
      </c>
      <c r="W69" s="358">
        <f t="shared" si="44"/>
        <v>3206949</v>
      </c>
      <c r="X69" s="358">
        <f t="shared" si="44"/>
        <v>2971413</v>
      </c>
      <c r="Y69" s="728">
        <f t="shared" ref="Y69:Y132" si="45">X69/W69</f>
        <v>0.92655449151202596</v>
      </c>
      <c r="Z69" s="27">
        <f t="shared" ref="Z69:AS69" si="46">D69-C69</f>
        <v>-328</v>
      </c>
      <c r="AA69" s="27">
        <f t="shared" si="46"/>
        <v>17110</v>
      </c>
      <c r="AB69" s="27">
        <f t="shared" si="46"/>
        <v>-6776</v>
      </c>
      <c r="AC69" s="27">
        <f t="shared" si="46"/>
        <v>0</v>
      </c>
      <c r="AD69" s="27">
        <f t="shared" si="46"/>
        <v>0</v>
      </c>
      <c r="AE69" s="27">
        <f t="shared" si="46"/>
        <v>11956</v>
      </c>
      <c r="AF69" s="27">
        <f t="shared" si="46"/>
        <v>924</v>
      </c>
      <c r="AG69" s="27">
        <f t="shared" si="46"/>
        <v>97829</v>
      </c>
      <c r="AH69" s="27">
        <f t="shared" si="46"/>
        <v>1545</v>
      </c>
      <c r="AI69" s="27">
        <f t="shared" si="46"/>
        <v>0</v>
      </c>
      <c r="AJ69" s="27">
        <f t="shared" si="46"/>
        <v>4399</v>
      </c>
      <c r="AK69" s="27">
        <f t="shared" si="46"/>
        <v>2197</v>
      </c>
      <c r="AL69" s="27">
        <f t="shared" si="46"/>
        <v>1600</v>
      </c>
      <c r="AM69" s="27">
        <f t="shared" si="46"/>
        <v>0</v>
      </c>
      <c r="AN69" s="27">
        <f t="shared" si="46"/>
        <v>41281</v>
      </c>
      <c r="AO69" s="27">
        <f t="shared" si="46"/>
        <v>24848</v>
      </c>
      <c r="AP69" s="27">
        <f t="shared" si="46"/>
        <v>0</v>
      </c>
      <c r="AQ69" s="27">
        <f t="shared" si="46"/>
        <v>30173</v>
      </c>
      <c r="AR69" s="27">
        <f t="shared" si="46"/>
        <v>0</v>
      </c>
      <c r="AS69" s="27">
        <f t="shared" si="46"/>
        <v>27316</v>
      </c>
    </row>
    <row r="70" spans="1:45" x14ac:dyDescent="0.25">
      <c r="A70" s="87" t="s">
        <v>53</v>
      </c>
      <c r="B70" s="88" t="s">
        <v>54</v>
      </c>
      <c r="C70" s="89">
        <f>1500</f>
        <v>1500</v>
      </c>
      <c r="D70" s="89">
        <f>1500</f>
        <v>1500</v>
      </c>
      <c r="E70" s="89">
        <f>1500</f>
        <v>1500</v>
      </c>
      <c r="F70" s="89">
        <f>1500</f>
        <v>1500</v>
      </c>
      <c r="G70" s="89">
        <f>1500</f>
        <v>1500</v>
      </c>
      <c r="H70" s="89">
        <f>1500</f>
        <v>1500</v>
      </c>
      <c r="I70" s="89">
        <f>1500</f>
        <v>1500</v>
      </c>
      <c r="J70" s="89">
        <f>1500</f>
        <v>1500</v>
      </c>
      <c r="K70" s="89">
        <f>1500</f>
        <v>1500</v>
      </c>
      <c r="L70" s="89">
        <f>1500</f>
        <v>1500</v>
      </c>
      <c r="M70" s="89">
        <f>1500</f>
        <v>1500</v>
      </c>
      <c r="N70" s="89">
        <f>1500</f>
        <v>1500</v>
      </c>
      <c r="O70" s="89">
        <f>1500</f>
        <v>1500</v>
      </c>
      <c r="P70" s="89">
        <f>1500</f>
        <v>1500</v>
      </c>
      <c r="Q70" s="705">
        <f>1500-1000</f>
        <v>500</v>
      </c>
      <c r="R70" s="89">
        <f>1500-1000</f>
        <v>500</v>
      </c>
      <c r="S70" s="89">
        <f>1500-1000</f>
        <v>500</v>
      </c>
      <c r="T70" s="89">
        <f>1500-1000</f>
        <v>500</v>
      </c>
      <c r="U70" s="89">
        <f>1500-1000</f>
        <v>500</v>
      </c>
      <c r="V70" s="705">
        <f>1500-1000-334-74</f>
        <v>92</v>
      </c>
      <c r="W70" s="89">
        <f>1500-1000-334-74</f>
        <v>92</v>
      </c>
      <c r="X70" s="89">
        <v>90</v>
      </c>
      <c r="Y70" s="728">
        <f t="shared" si="45"/>
        <v>0.97826086956521741</v>
      </c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 ht="15.75" thickBot="1" x14ac:dyDescent="0.3">
      <c r="A71" s="90" t="s">
        <v>53</v>
      </c>
      <c r="B71" s="88" t="s">
        <v>55</v>
      </c>
      <c r="C71" s="91">
        <v>3600</v>
      </c>
      <c r="D71" s="91">
        <v>3600</v>
      </c>
      <c r="E71" s="91">
        <v>3600</v>
      </c>
      <c r="F71" s="91">
        <v>3600</v>
      </c>
      <c r="G71" s="91">
        <v>3600</v>
      </c>
      <c r="H71" s="91">
        <v>3600</v>
      </c>
      <c r="I71" s="91">
        <v>3600</v>
      </c>
      <c r="J71" s="91">
        <v>3600</v>
      </c>
      <c r="K71" s="91">
        <v>3600</v>
      </c>
      <c r="L71" s="91">
        <v>3600</v>
      </c>
      <c r="M71" s="91">
        <v>3600</v>
      </c>
      <c r="N71" s="91">
        <v>3600</v>
      </c>
      <c r="O71" s="91">
        <v>3600</v>
      </c>
      <c r="P71" s="91">
        <v>3600</v>
      </c>
      <c r="Q71" s="91">
        <v>3600</v>
      </c>
      <c r="R71" s="91">
        <v>3600</v>
      </c>
      <c r="S71" s="91">
        <v>3600</v>
      </c>
      <c r="T71" s="91">
        <v>3600</v>
      </c>
      <c r="U71" s="91">
        <v>3600</v>
      </c>
      <c r="V71" s="695">
        <f>3600-58</f>
        <v>3542</v>
      </c>
      <c r="W71" s="91">
        <f>3600-58</f>
        <v>3542</v>
      </c>
      <c r="X71" s="91">
        <v>3542</v>
      </c>
      <c r="Y71" s="728">
        <f t="shared" si="45"/>
        <v>1</v>
      </c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 ht="19.899999999999999" customHeight="1" thickBot="1" x14ac:dyDescent="0.3">
      <c r="A72" s="894" t="s">
        <v>57</v>
      </c>
      <c r="B72" s="895"/>
      <c r="C72" s="95">
        <f t="shared" ref="C72:X72" si="47">SUM(C70:C71)</f>
        <v>5100</v>
      </c>
      <c r="D72" s="95">
        <f t="shared" si="47"/>
        <v>5100</v>
      </c>
      <c r="E72" s="95">
        <f t="shared" si="47"/>
        <v>5100</v>
      </c>
      <c r="F72" s="95">
        <f t="shared" si="47"/>
        <v>5100</v>
      </c>
      <c r="G72" s="95">
        <f t="shared" si="47"/>
        <v>5100</v>
      </c>
      <c r="H72" s="95">
        <f t="shared" si="47"/>
        <v>5100</v>
      </c>
      <c r="I72" s="95">
        <f t="shared" ref="I72:U72" si="48">SUM(I70:I71)</f>
        <v>5100</v>
      </c>
      <c r="J72" s="95">
        <f t="shared" si="48"/>
        <v>5100</v>
      </c>
      <c r="K72" s="95">
        <f t="shared" si="48"/>
        <v>5100</v>
      </c>
      <c r="L72" s="95">
        <f t="shared" si="48"/>
        <v>5100</v>
      </c>
      <c r="M72" s="95">
        <f t="shared" si="48"/>
        <v>5100</v>
      </c>
      <c r="N72" s="95">
        <f t="shared" si="48"/>
        <v>5100</v>
      </c>
      <c r="O72" s="95">
        <f t="shared" si="48"/>
        <v>5100</v>
      </c>
      <c r="P72" s="95">
        <f t="shared" si="48"/>
        <v>5100</v>
      </c>
      <c r="Q72" s="95">
        <f t="shared" si="48"/>
        <v>4100</v>
      </c>
      <c r="R72" s="95">
        <f t="shared" si="48"/>
        <v>4100</v>
      </c>
      <c r="S72" s="95">
        <f t="shared" si="48"/>
        <v>4100</v>
      </c>
      <c r="T72" s="95">
        <f t="shared" si="48"/>
        <v>4100</v>
      </c>
      <c r="U72" s="95">
        <f t="shared" si="48"/>
        <v>4100</v>
      </c>
      <c r="V72" s="95">
        <f t="shared" ref="V72:W72" si="49">SUM(V70:V71)</f>
        <v>3634</v>
      </c>
      <c r="W72" s="95">
        <f t="shared" si="49"/>
        <v>3634</v>
      </c>
      <c r="X72" s="95">
        <f t="shared" si="47"/>
        <v>3632</v>
      </c>
      <c r="Y72" s="728">
        <f t="shared" si="45"/>
        <v>0.9994496422674739</v>
      </c>
      <c r="Z72" s="27">
        <f t="shared" ref="Z72:AS72" si="50">D72-C72</f>
        <v>0</v>
      </c>
      <c r="AA72" s="27">
        <f t="shared" si="50"/>
        <v>0</v>
      </c>
      <c r="AB72" s="27">
        <f t="shared" si="50"/>
        <v>0</v>
      </c>
      <c r="AC72" s="27">
        <f t="shared" si="50"/>
        <v>0</v>
      </c>
      <c r="AD72" s="27">
        <f t="shared" si="50"/>
        <v>0</v>
      </c>
      <c r="AE72" s="27">
        <f t="shared" si="50"/>
        <v>0</v>
      </c>
      <c r="AF72" s="27">
        <f t="shared" si="50"/>
        <v>0</v>
      </c>
      <c r="AG72" s="27">
        <f t="shared" si="50"/>
        <v>0</v>
      </c>
      <c r="AH72" s="27">
        <f t="shared" si="50"/>
        <v>0</v>
      </c>
      <c r="AI72" s="27">
        <f t="shared" si="50"/>
        <v>0</v>
      </c>
      <c r="AJ72" s="27">
        <f t="shared" si="50"/>
        <v>0</v>
      </c>
      <c r="AK72" s="27">
        <f t="shared" si="50"/>
        <v>0</v>
      </c>
      <c r="AL72" s="27">
        <f t="shared" si="50"/>
        <v>0</v>
      </c>
      <c r="AM72" s="27">
        <f t="shared" si="50"/>
        <v>-1000</v>
      </c>
      <c r="AN72" s="27">
        <f t="shared" si="50"/>
        <v>0</v>
      </c>
      <c r="AO72" s="27">
        <f t="shared" si="50"/>
        <v>0</v>
      </c>
      <c r="AP72" s="27">
        <f t="shared" si="50"/>
        <v>0</v>
      </c>
      <c r="AQ72" s="27">
        <f t="shared" si="50"/>
        <v>0</v>
      </c>
      <c r="AR72" s="27">
        <f t="shared" si="50"/>
        <v>-466</v>
      </c>
      <c r="AS72" s="27">
        <f t="shared" si="50"/>
        <v>0</v>
      </c>
    </row>
    <row r="73" spans="1:45" ht="16.5" thickBot="1" x14ac:dyDescent="0.3">
      <c r="A73" s="96" t="s">
        <v>53</v>
      </c>
      <c r="B73" s="97" t="s">
        <v>58</v>
      </c>
      <c r="C73" s="418">
        <v>13600</v>
      </c>
      <c r="D73" s="418">
        <v>13600</v>
      </c>
      <c r="E73" s="418">
        <v>13600</v>
      </c>
      <c r="F73" s="418">
        <v>13600</v>
      </c>
      <c r="G73" s="418">
        <v>13600</v>
      </c>
      <c r="H73" s="418">
        <v>13600</v>
      </c>
      <c r="I73" s="418">
        <v>13600</v>
      </c>
      <c r="J73" s="418">
        <v>13600</v>
      </c>
      <c r="K73" s="418">
        <v>13600</v>
      </c>
      <c r="L73" s="418">
        <v>13600</v>
      </c>
      <c r="M73" s="418">
        <v>13600</v>
      </c>
      <c r="N73" s="418">
        <v>13600</v>
      </c>
      <c r="O73" s="418">
        <v>13600</v>
      </c>
      <c r="P73" s="418">
        <v>13600</v>
      </c>
      <c r="Q73" s="418">
        <v>13600</v>
      </c>
      <c r="R73" s="418">
        <v>13600</v>
      </c>
      <c r="S73" s="418">
        <v>13600</v>
      </c>
      <c r="T73" s="418">
        <v>13600</v>
      </c>
      <c r="U73" s="418">
        <v>13600</v>
      </c>
      <c r="V73" s="860">
        <f>13600-320</f>
        <v>13280</v>
      </c>
      <c r="W73" s="418">
        <f>13600-320</f>
        <v>13280</v>
      </c>
      <c r="X73" s="418">
        <v>13280</v>
      </c>
      <c r="Y73" s="728">
        <f t="shared" si="45"/>
        <v>1</v>
      </c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</row>
    <row r="74" spans="1:45" ht="21" customHeight="1" thickBot="1" x14ac:dyDescent="0.3">
      <c r="A74" s="894" t="s">
        <v>217</v>
      </c>
      <c r="B74" s="895"/>
      <c r="C74" s="414">
        <f t="shared" ref="C74:X74" si="51">SUM(C73:C73)</f>
        <v>13600</v>
      </c>
      <c r="D74" s="414">
        <f t="shared" si="51"/>
        <v>13600</v>
      </c>
      <c r="E74" s="414">
        <f t="shared" si="51"/>
        <v>13600</v>
      </c>
      <c r="F74" s="414">
        <f t="shared" si="51"/>
        <v>13600</v>
      </c>
      <c r="G74" s="414">
        <f t="shared" si="51"/>
        <v>13600</v>
      </c>
      <c r="H74" s="414">
        <f t="shared" si="51"/>
        <v>13600</v>
      </c>
      <c r="I74" s="414">
        <f t="shared" si="51"/>
        <v>13600</v>
      </c>
      <c r="J74" s="414">
        <f t="shared" si="51"/>
        <v>13600</v>
      </c>
      <c r="K74" s="414">
        <f t="shared" si="51"/>
        <v>13600</v>
      </c>
      <c r="L74" s="414">
        <f t="shared" si="51"/>
        <v>13600</v>
      </c>
      <c r="M74" s="414">
        <f t="shared" si="51"/>
        <v>13600</v>
      </c>
      <c r="N74" s="414">
        <f t="shared" si="51"/>
        <v>13600</v>
      </c>
      <c r="O74" s="414">
        <f t="shared" si="51"/>
        <v>13600</v>
      </c>
      <c r="P74" s="414">
        <f t="shared" si="51"/>
        <v>13600</v>
      </c>
      <c r="Q74" s="414">
        <f t="shared" si="51"/>
        <v>13600</v>
      </c>
      <c r="R74" s="414">
        <f t="shared" si="51"/>
        <v>13600</v>
      </c>
      <c r="S74" s="414">
        <f t="shared" si="51"/>
        <v>13600</v>
      </c>
      <c r="T74" s="414">
        <f t="shared" si="51"/>
        <v>13600</v>
      </c>
      <c r="U74" s="414">
        <f t="shared" si="51"/>
        <v>13600</v>
      </c>
      <c r="V74" s="414">
        <f t="shared" ref="V74:W74" si="52">SUM(V73:V73)</f>
        <v>13280</v>
      </c>
      <c r="W74" s="414">
        <f t="shared" si="52"/>
        <v>13280</v>
      </c>
      <c r="X74" s="414">
        <f t="shared" si="51"/>
        <v>13280</v>
      </c>
      <c r="Y74" s="728">
        <f t="shared" si="45"/>
        <v>1</v>
      </c>
      <c r="Z74" s="27">
        <f t="shared" ref="Z74:AI76" si="53">D74-C74</f>
        <v>0</v>
      </c>
      <c r="AA74" s="27">
        <f t="shared" si="53"/>
        <v>0</v>
      </c>
      <c r="AB74" s="27">
        <f t="shared" si="53"/>
        <v>0</v>
      </c>
      <c r="AC74" s="27">
        <f t="shared" si="53"/>
        <v>0</v>
      </c>
      <c r="AD74" s="27">
        <f t="shared" si="53"/>
        <v>0</v>
      </c>
      <c r="AE74" s="27">
        <f t="shared" si="53"/>
        <v>0</v>
      </c>
      <c r="AF74" s="27">
        <f t="shared" si="53"/>
        <v>0</v>
      </c>
      <c r="AG74" s="27">
        <f t="shared" si="53"/>
        <v>0</v>
      </c>
      <c r="AH74" s="27">
        <f t="shared" si="53"/>
        <v>0</v>
      </c>
      <c r="AI74" s="27">
        <f t="shared" si="53"/>
        <v>0</v>
      </c>
      <c r="AJ74" s="27">
        <f t="shared" ref="AJ74:AS76" si="54">N74-M74</f>
        <v>0</v>
      </c>
      <c r="AK74" s="27">
        <f t="shared" si="54"/>
        <v>0</v>
      </c>
      <c r="AL74" s="27">
        <f t="shared" si="54"/>
        <v>0</v>
      </c>
      <c r="AM74" s="27">
        <f t="shared" si="54"/>
        <v>0</v>
      </c>
      <c r="AN74" s="27">
        <f t="shared" si="54"/>
        <v>0</v>
      </c>
      <c r="AO74" s="27">
        <f t="shared" si="54"/>
        <v>0</v>
      </c>
      <c r="AP74" s="27">
        <f t="shared" si="54"/>
        <v>0</v>
      </c>
      <c r="AQ74" s="27">
        <f t="shared" si="54"/>
        <v>0</v>
      </c>
      <c r="AR74" s="27">
        <f t="shared" si="54"/>
        <v>-320</v>
      </c>
      <c r="AS74" s="27">
        <f t="shared" si="54"/>
        <v>0</v>
      </c>
    </row>
    <row r="75" spans="1:45" ht="19.5" customHeight="1" thickBot="1" x14ac:dyDescent="0.3">
      <c r="A75" s="896" t="s">
        <v>59</v>
      </c>
      <c r="B75" s="897"/>
      <c r="C75" s="99">
        <f t="shared" ref="C75:X75" si="55">C72+C74</f>
        <v>18700</v>
      </c>
      <c r="D75" s="99">
        <f t="shared" si="55"/>
        <v>18700</v>
      </c>
      <c r="E75" s="99">
        <f t="shared" si="55"/>
        <v>18700</v>
      </c>
      <c r="F75" s="99">
        <f t="shared" si="55"/>
        <v>18700</v>
      </c>
      <c r="G75" s="99">
        <f t="shared" si="55"/>
        <v>18700</v>
      </c>
      <c r="H75" s="99">
        <f t="shared" si="55"/>
        <v>18700</v>
      </c>
      <c r="I75" s="99">
        <f t="shared" si="55"/>
        <v>18700</v>
      </c>
      <c r="J75" s="99">
        <f t="shared" si="55"/>
        <v>18700</v>
      </c>
      <c r="K75" s="99">
        <f t="shared" si="55"/>
        <v>18700</v>
      </c>
      <c r="L75" s="99">
        <f t="shared" si="55"/>
        <v>18700</v>
      </c>
      <c r="M75" s="99">
        <f t="shared" si="55"/>
        <v>18700</v>
      </c>
      <c r="N75" s="99">
        <f t="shared" si="55"/>
        <v>18700</v>
      </c>
      <c r="O75" s="99">
        <f t="shared" si="55"/>
        <v>18700</v>
      </c>
      <c r="P75" s="99">
        <f t="shared" si="55"/>
        <v>18700</v>
      </c>
      <c r="Q75" s="99">
        <f t="shared" si="55"/>
        <v>17700</v>
      </c>
      <c r="R75" s="99">
        <f t="shared" si="55"/>
        <v>17700</v>
      </c>
      <c r="S75" s="99">
        <f t="shared" si="55"/>
        <v>17700</v>
      </c>
      <c r="T75" s="99">
        <f t="shared" si="55"/>
        <v>17700</v>
      </c>
      <c r="U75" s="99">
        <f t="shared" si="55"/>
        <v>17700</v>
      </c>
      <c r="V75" s="99">
        <f t="shared" ref="V75:W75" si="56">V72+V74</f>
        <v>16914</v>
      </c>
      <c r="W75" s="99">
        <f t="shared" si="56"/>
        <v>16914</v>
      </c>
      <c r="X75" s="99">
        <f t="shared" si="55"/>
        <v>16912</v>
      </c>
      <c r="Y75" s="728">
        <f t="shared" si="45"/>
        <v>0.99988175475937091</v>
      </c>
      <c r="Z75" s="27">
        <f t="shared" si="53"/>
        <v>0</v>
      </c>
      <c r="AA75" s="27">
        <f t="shared" si="53"/>
        <v>0</v>
      </c>
      <c r="AB75" s="27">
        <f t="shared" si="53"/>
        <v>0</v>
      </c>
      <c r="AC75" s="27">
        <f t="shared" si="53"/>
        <v>0</v>
      </c>
      <c r="AD75" s="27">
        <f t="shared" si="53"/>
        <v>0</v>
      </c>
      <c r="AE75" s="27">
        <f t="shared" si="53"/>
        <v>0</v>
      </c>
      <c r="AF75" s="27">
        <f t="shared" si="53"/>
        <v>0</v>
      </c>
      <c r="AG75" s="27">
        <f t="shared" si="53"/>
        <v>0</v>
      </c>
      <c r="AH75" s="27">
        <f t="shared" si="53"/>
        <v>0</v>
      </c>
      <c r="AI75" s="27">
        <f t="shared" si="53"/>
        <v>0</v>
      </c>
      <c r="AJ75" s="27">
        <f t="shared" si="54"/>
        <v>0</v>
      </c>
      <c r="AK75" s="27">
        <f t="shared" si="54"/>
        <v>0</v>
      </c>
      <c r="AL75" s="27">
        <f t="shared" si="54"/>
        <v>0</v>
      </c>
      <c r="AM75" s="27">
        <f t="shared" si="54"/>
        <v>-1000</v>
      </c>
      <c r="AN75" s="27">
        <f t="shared" si="54"/>
        <v>0</v>
      </c>
      <c r="AO75" s="27">
        <f t="shared" si="54"/>
        <v>0</v>
      </c>
      <c r="AP75" s="27">
        <f t="shared" si="54"/>
        <v>0</v>
      </c>
      <c r="AQ75" s="27">
        <f t="shared" si="54"/>
        <v>0</v>
      </c>
      <c r="AR75" s="27">
        <f t="shared" si="54"/>
        <v>-786</v>
      </c>
      <c r="AS75" s="27">
        <f t="shared" si="54"/>
        <v>0</v>
      </c>
    </row>
    <row r="76" spans="1:45" ht="30.75" customHeight="1" thickBot="1" x14ac:dyDescent="0.3">
      <c r="A76" s="85" t="s">
        <v>60</v>
      </c>
      <c r="B76" s="66"/>
      <c r="C76" s="86">
        <f t="shared" ref="C76:X76" si="57">C69+C75</f>
        <v>2971575</v>
      </c>
      <c r="D76" s="86">
        <f t="shared" si="57"/>
        <v>2971247</v>
      </c>
      <c r="E76" s="86">
        <f t="shared" si="57"/>
        <v>2988357</v>
      </c>
      <c r="F76" s="86">
        <f t="shared" si="57"/>
        <v>2981581</v>
      </c>
      <c r="G76" s="86">
        <f t="shared" si="57"/>
        <v>2981581</v>
      </c>
      <c r="H76" s="86">
        <f t="shared" si="57"/>
        <v>2981581</v>
      </c>
      <c r="I76" s="86">
        <f t="shared" si="57"/>
        <v>2993537</v>
      </c>
      <c r="J76" s="86">
        <f t="shared" si="57"/>
        <v>2994461</v>
      </c>
      <c r="K76" s="86">
        <f t="shared" si="57"/>
        <v>3092290</v>
      </c>
      <c r="L76" s="86">
        <f t="shared" si="57"/>
        <v>3093835</v>
      </c>
      <c r="M76" s="86">
        <f t="shared" si="57"/>
        <v>3093835</v>
      </c>
      <c r="N76" s="86">
        <f t="shared" si="57"/>
        <v>3098234</v>
      </c>
      <c r="O76" s="86">
        <f t="shared" si="57"/>
        <v>3100431</v>
      </c>
      <c r="P76" s="86">
        <f t="shared" si="57"/>
        <v>3102031</v>
      </c>
      <c r="Q76" s="86">
        <f t="shared" si="57"/>
        <v>3101031</v>
      </c>
      <c r="R76" s="86">
        <f t="shared" si="57"/>
        <v>3142312</v>
      </c>
      <c r="S76" s="86">
        <f t="shared" si="57"/>
        <v>3167160</v>
      </c>
      <c r="T76" s="86">
        <f t="shared" si="57"/>
        <v>3167160</v>
      </c>
      <c r="U76" s="86">
        <f t="shared" si="57"/>
        <v>3197333</v>
      </c>
      <c r="V76" s="86">
        <f t="shared" ref="V76:W76" si="58">V69+V75</f>
        <v>3196547</v>
      </c>
      <c r="W76" s="86">
        <f t="shared" si="58"/>
        <v>3223863</v>
      </c>
      <c r="X76" s="86">
        <f t="shared" si="57"/>
        <v>2988325</v>
      </c>
      <c r="Y76" s="728">
        <f t="shared" si="45"/>
        <v>0.92693920306166855</v>
      </c>
      <c r="Z76" s="27">
        <f t="shared" si="53"/>
        <v>-328</v>
      </c>
      <c r="AA76" s="27">
        <f t="shared" si="53"/>
        <v>17110</v>
      </c>
      <c r="AB76" s="27">
        <f t="shared" si="53"/>
        <v>-6776</v>
      </c>
      <c r="AC76" s="27">
        <f t="shared" si="53"/>
        <v>0</v>
      </c>
      <c r="AD76" s="27">
        <f t="shared" si="53"/>
        <v>0</v>
      </c>
      <c r="AE76" s="27">
        <f t="shared" si="53"/>
        <v>11956</v>
      </c>
      <c r="AF76" s="27">
        <f t="shared" si="53"/>
        <v>924</v>
      </c>
      <c r="AG76" s="27">
        <f t="shared" si="53"/>
        <v>97829</v>
      </c>
      <c r="AH76" s="27">
        <f t="shared" si="53"/>
        <v>1545</v>
      </c>
      <c r="AI76" s="27">
        <f t="shared" si="53"/>
        <v>0</v>
      </c>
      <c r="AJ76" s="27">
        <f t="shared" si="54"/>
        <v>4399</v>
      </c>
      <c r="AK76" s="27">
        <f t="shared" si="54"/>
        <v>2197</v>
      </c>
      <c r="AL76" s="27">
        <f t="shared" si="54"/>
        <v>1600</v>
      </c>
      <c r="AM76" s="27">
        <f t="shared" si="54"/>
        <v>-1000</v>
      </c>
      <c r="AN76" s="27">
        <f t="shared" si="54"/>
        <v>41281</v>
      </c>
      <c r="AO76" s="27">
        <f t="shared" si="54"/>
        <v>24848</v>
      </c>
      <c r="AP76" s="27">
        <f t="shared" si="54"/>
        <v>0</v>
      </c>
      <c r="AQ76" s="27">
        <f t="shared" si="54"/>
        <v>30173</v>
      </c>
      <c r="AR76" s="27">
        <f t="shared" si="54"/>
        <v>-786</v>
      </c>
      <c r="AS76" s="27">
        <f t="shared" si="54"/>
        <v>27316</v>
      </c>
    </row>
    <row r="77" spans="1:45" x14ac:dyDescent="0.25">
      <c r="A77" s="1"/>
      <c r="B77" s="1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728"/>
      <c r="Z77" s="1"/>
    </row>
    <row r="78" spans="1:45" ht="15.75" x14ac:dyDescent="0.25">
      <c r="A78" s="101"/>
      <c r="B78" s="102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728"/>
      <c r="Z78" s="1"/>
    </row>
    <row r="79" spans="1:45" ht="18.75" thickBot="1" x14ac:dyDescent="0.3">
      <c r="A79" s="898" t="s">
        <v>61</v>
      </c>
      <c r="B79" s="899"/>
      <c r="C79" s="899"/>
      <c r="D79" s="899"/>
      <c r="E79" s="899"/>
      <c r="F79" s="899"/>
      <c r="G79" s="899"/>
      <c r="H79" s="899"/>
      <c r="I79" s="899"/>
      <c r="J79" s="899"/>
      <c r="K79" s="899"/>
      <c r="L79" s="899"/>
      <c r="M79" s="899"/>
      <c r="N79" s="899"/>
      <c r="O79" s="899"/>
      <c r="P79" s="899"/>
      <c r="Q79" s="899"/>
      <c r="R79" s="899"/>
      <c r="S79" s="899"/>
      <c r="T79" s="899"/>
      <c r="U79" s="899"/>
      <c r="V79" s="899"/>
      <c r="W79" s="899"/>
      <c r="X79" s="899"/>
      <c r="Y79" s="728"/>
      <c r="Z79" s="1"/>
    </row>
    <row r="80" spans="1:45" ht="36" customHeight="1" thickBot="1" x14ac:dyDescent="0.3">
      <c r="A80" s="876" t="s">
        <v>1</v>
      </c>
      <c r="B80" s="900"/>
      <c r="C80" s="387" t="s">
        <v>467</v>
      </c>
      <c r="D80" s="387" t="s">
        <v>465</v>
      </c>
      <c r="E80" s="387" t="s">
        <v>483</v>
      </c>
      <c r="F80" s="387" t="s">
        <v>500</v>
      </c>
      <c r="G80" s="387" t="s">
        <v>533</v>
      </c>
      <c r="H80" s="387" t="s">
        <v>578</v>
      </c>
      <c r="I80" s="387" t="s">
        <v>610</v>
      </c>
      <c r="J80" s="387" t="s">
        <v>579</v>
      </c>
      <c r="K80" s="387" t="s">
        <v>646</v>
      </c>
      <c r="L80" s="387" t="s">
        <v>637</v>
      </c>
      <c r="M80" s="387" t="s">
        <v>670</v>
      </c>
      <c r="N80" s="387" t="s">
        <v>680</v>
      </c>
      <c r="O80" s="387" t="s">
        <v>749</v>
      </c>
      <c r="P80" s="387" t="s">
        <v>774</v>
      </c>
      <c r="Q80" s="387" t="s">
        <v>783</v>
      </c>
      <c r="R80" s="387" t="s">
        <v>784</v>
      </c>
      <c r="S80" s="387" t="s">
        <v>885</v>
      </c>
      <c r="T80" s="387" t="s">
        <v>894</v>
      </c>
      <c r="U80" s="387" t="s">
        <v>913</v>
      </c>
      <c r="V80" s="387" t="s">
        <v>919</v>
      </c>
      <c r="W80" s="387" t="s">
        <v>994</v>
      </c>
      <c r="X80" s="387" t="s">
        <v>993</v>
      </c>
      <c r="Y80" s="728"/>
      <c r="Z80" s="1"/>
    </row>
    <row r="81" spans="1:26" ht="15.75" thickBot="1" x14ac:dyDescent="0.3">
      <c r="A81" s="104" t="s">
        <v>62</v>
      </c>
      <c r="B81" s="105"/>
      <c r="C81" s="108">
        <f t="shared" ref="C81:X81" si="59">SUM(C82:C86)</f>
        <v>317110</v>
      </c>
      <c r="D81" s="108">
        <f t="shared" si="59"/>
        <v>317090</v>
      </c>
      <c r="E81" s="108">
        <f t="shared" si="59"/>
        <v>317090</v>
      </c>
      <c r="F81" s="108">
        <f t="shared" si="59"/>
        <v>317090</v>
      </c>
      <c r="G81" s="108">
        <f t="shared" si="59"/>
        <v>317090</v>
      </c>
      <c r="H81" s="108">
        <f t="shared" si="59"/>
        <v>317090</v>
      </c>
      <c r="I81" s="108">
        <f t="shared" si="59"/>
        <v>317090</v>
      </c>
      <c r="J81" s="108">
        <f t="shared" si="59"/>
        <v>317090</v>
      </c>
      <c r="K81" s="108">
        <f t="shared" si="59"/>
        <v>367915</v>
      </c>
      <c r="L81" s="108">
        <f t="shared" si="59"/>
        <v>367915</v>
      </c>
      <c r="M81" s="108">
        <f t="shared" si="59"/>
        <v>367915</v>
      </c>
      <c r="N81" s="108">
        <f t="shared" si="59"/>
        <v>367974</v>
      </c>
      <c r="O81" s="108">
        <f t="shared" si="59"/>
        <v>367974</v>
      </c>
      <c r="P81" s="108">
        <f t="shared" si="59"/>
        <v>367974</v>
      </c>
      <c r="Q81" s="108">
        <f t="shared" si="59"/>
        <v>367974</v>
      </c>
      <c r="R81" s="108">
        <f t="shared" si="59"/>
        <v>365377</v>
      </c>
      <c r="S81" s="108">
        <f t="shared" si="59"/>
        <v>365377</v>
      </c>
      <c r="T81" s="108">
        <f t="shared" si="59"/>
        <v>365377</v>
      </c>
      <c r="U81" s="108">
        <f t="shared" si="59"/>
        <v>365377</v>
      </c>
      <c r="V81" s="108">
        <f t="shared" ref="V81:W81" si="60">SUM(V82:V86)</f>
        <v>365377</v>
      </c>
      <c r="W81" s="108">
        <f t="shared" si="60"/>
        <v>365377</v>
      </c>
      <c r="X81" s="108">
        <f t="shared" si="59"/>
        <v>348062</v>
      </c>
      <c r="Y81" s="728">
        <f t="shared" si="45"/>
        <v>0.95261059125232295</v>
      </c>
      <c r="Z81" s="1"/>
    </row>
    <row r="82" spans="1:26" x14ac:dyDescent="0.25">
      <c r="A82" s="109" t="s">
        <v>63</v>
      </c>
      <c r="B82" s="84" t="s">
        <v>64</v>
      </c>
      <c r="C82" s="56">
        <v>155310</v>
      </c>
      <c r="D82" s="56">
        <v>155310</v>
      </c>
      <c r="E82" s="56">
        <v>155310</v>
      </c>
      <c r="F82" s="56">
        <v>155310</v>
      </c>
      <c r="G82" s="56">
        <v>155310</v>
      </c>
      <c r="H82" s="56">
        <v>155310</v>
      </c>
      <c r="I82" s="56">
        <v>155310</v>
      </c>
      <c r="J82" s="56">
        <v>155310</v>
      </c>
      <c r="K82" s="705">
        <f>155310+50605</f>
        <v>205915</v>
      </c>
      <c r="L82" s="56">
        <f>155310+50605</f>
        <v>205915</v>
      </c>
      <c r="M82" s="56">
        <f>155310+50605</f>
        <v>205915</v>
      </c>
      <c r="N82" s="705">
        <f>155310+50605+59</f>
        <v>205974</v>
      </c>
      <c r="O82" s="56">
        <f>155310+50605+59</f>
        <v>205974</v>
      </c>
      <c r="P82" s="56">
        <f>155310+50605+59</f>
        <v>205974</v>
      </c>
      <c r="Q82" s="56">
        <f t="shared" ref="Q82" si="61">155310+50605+59</f>
        <v>205974</v>
      </c>
      <c r="R82" s="705">
        <f t="shared" ref="R82:W82" si="62">155310+50605+59-2597</f>
        <v>203377</v>
      </c>
      <c r="S82" s="56">
        <f t="shared" si="62"/>
        <v>203377</v>
      </c>
      <c r="T82" s="56">
        <f t="shared" si="62"/>
        <v>203377</v>
      </c>
      <c r="U82" s="56">
        <f t="shared" si="62"/>
        <v>203377</v>
      </c>
      <c r="V82" s="56">
        <f t="shared" si="62"/>
        <v>203377</v>
      </c>
      <c r="W82" s="56">
        <f t="shared" si="62"/>
        <v>203377</v>
      </c>
      <c r="X82" s="56">
        <v>196583</v>
      </c>
      <c r="Y82" s="728">
        <f t="shared" si="45"/>
        <v>0.96659405930857467</v>
      </c>
      <c r="Z82" s="1"/>
    </row>
    <row r="83" spans="1:26" x14ac:dyDescent="0.25">
      <c r="A83" s="113" t="s">
        <v>65</v>
      </c>
      <c r="B83" s="114" t="s">
        <v>66</v>
      </c>
      <c r="C83" s="61">
        <v>91700</v>
      </c>
      <c r="D83" s="61">
        <v>91700</v>
      </c>
      <c r="E83" s="61">
        <v>91700</v>
      </c>
      <c r="F83" s="61">
        <v>91700</v>
      </c>
      <c r="G83" s="61">
        <v>91700</v>
      </c>
      <c r="H83" s="61">
        <v>91700</v>
      </c>
      <c r="I83" s="61">
        <v>91700</v>
      </c>
      <c r="J83" s="61">
        <v>91700</v>
      </c>
      <c r="K83" s="61">
        <v>91700</v>
      </c>
      <c r="L83" s="61">
        <v>91700</v>
      </c>
      <c r="M83" s="61">
        <v>91700</v>
      </c>
      <c r="N83" s="61">
        <v>91700</v>
      </c>
      <c r="O83" s="61">
        <v>91700</v>
      </c>
      <c r="P83" s="61">
        <v>91700</v>
      </c>
      <c r="Q83" s="61">
        <v>91700</v>
      </c>
      <c r="R83" s="61">
        <v>91700</v>
      </c>
      <c r="S83" s="61">
        <v>91700</v>
      </c>
      <c r="T83" s="61">
        <v>91700</v>
      </c>
      <c r="U83" s="61">
        <v>91700</v>
      </c>
      <c r="V83" s="61">
        <v>91700</v>
      </c>
      <c r="W83" s="61">
        <v>91700</v>
      </c>
      <c r="X83" s="61">
        <v>90054</v>
      </c>
      <c r="Y83" s="728">
        <f t="shared" si="45"/>
        <v>0.98205016357688113</v>
      </c>
      <c r="Z83" s="1"/>
    </row>
    <row r="84" spans="1:26" x14ac:dyDescent="0.25">
      <c r="A84" s="113" t="s">
        <v>67</v>
      </c>
      <c r="B84" s="114" t="s">
        <v>68</v>
      </c>
      <c r="C84" s="61">
        <v>5200</v>
      </c>
      <c r="D84" s="61">
        <v>5200</v>
      </c>
      <c r="E84" s="61">
        <v>5200</v>
      </c>
      <c r="F84" s="61">
        <v>5200</v>
      </c>
      <c r="G84" s="61">
        <v>5200</v>
      </c>
      <c r="H84" s="61">
        <v>5200</v>
      </c>
      <c r="I84" s="61">
        <v>5200</v>
      </c>
      <c r="J84" s="61">
        <v>5200</v>
      </c>
      <c r="K84" s="61">
        <v>5200</v>
      </c>
      <c r="L84" s="61">
        <v>5200</v>
      </c>
      <c r="M84" s="61">
        <v>5200</v>
      </c>
      <c r="N84" s="61">
        <v>5200</v>
      </c>
      <c r="O84" s="61">
        <v>5200</v>
      </c>
      <c r="P84" s="61">
        <v>5200</v>
      </c>
      <c r="Q84" s="61">
        <v>5200</v>
      </c>
      <c r="R84" s="61">
        <v>5200</v>
      </c>
      <c r="S84" s="61">
        <v>5200</v>
      </c>
      <c r="T84" s="61">
        <v>5200</v>
      </c>
      <c r="U84" s="61">
        <v>5200</v>
      </c>
      <c r="V84" s="61">
        <v>5200</v>
      </c>
      <c r="W84" s="61">
        <v>5200</v>
      </c>
      <c r="X84" s="61">
        <v>2614</v>
      </c>
      <c r="Y84" s="728">
        <f t="shared" si="45"/>
        <v>0.50269230769230766</v>
      </c>
      <c r="Z84" s="1"/>
    </row>
    <row r="85" spans="1:26" x14ac:dyDescent="0.25">
      <c r="A85" s="117" t="s">
        <v>69</v>
      </c>
      <c r="B85" s="114" t="s">
        <v>70</v>
      </c>
      <c r="C85" s="61">
        <v>64900</v>
      </c>
      <c r="D85" s="695">
        <f t="shared" ref="D85:J85" si="63">64900-10-10</f>
        <v>64880</v>
      </c>
      <c r="E85" s="61">
        <f t="shared" si="63"/>
        <v>64880</v>
      </c>
      <c r="F85" s="61">
        <f t="shared" si="63"/>
        <v>64880</v>
      </c>
      <c r="G85" s="61">
        <f t="shared" si="63"/>
        <v>64880</v>
      </c>
      <c r="H85" s="61">
        <f t="shared" si="63"/>
        <v>64880</v>
      </c>
      <c r="I85" s="61">
        <f t="shared" si="63"/>
        <v>64880</v>
      </c>
      <c r="J85" s="61">
        <f t="shared" si="63"/>
        <v>64880</v>
      </c>
      <c r="K85" s="695">
        <f t="shared" ref="K85:W85" si="64">64900-10-10+220</f>
        <v>65100</v>
      </c>
      <c r="L85" s="61">
        <f t="shared" si="64"/>
        <v>65100</v>
      </c>
      <c r="M85" s="61">
        <f t="shared" si="64"/>
        <v>65100</v>
      </c>
      <c r="N85" s="61">
        <f t="shared" si="64"/>
        <v>65100</v>
      </c>
      <c r="O85" s="61">
        <f t="shared" si="64"/>
        <v>65100</v>
      </c>
      <c r="P85" s="61">
        <f t="shared" si="64"/>
        <v>65100</v>
      </c>
      <c r="Q85" s="61">
        <f t="shared" si="64"/>
        <v>65100</v>
      </c>
      <c r="R85" s="61">
        <f t="shared" si="64"/>
        <v>65100</v>
      </c>
      <c r="S85" s="61">
        <f t="shared" si="64"/>
        <v>65100</v>
      </c>
      <c r="T85" s="61">
        <f t="shared" si="64"/>
        <v>65100</v>
      </c>
      <c r="U85" s="61">
        <f t="shared" si="64"/>
        <v>65100</v>
      </c>
      <c r="V85" s="61">
        <f t="shared" si="64"/>
        <v>65100</v>
      </c>
      <c r="W85" s="61">
        <f t="shared" si="64"/>
        <v>65100</v>
      </c>
      <c r="X85" s="61">
        <v>58811</v>
      </c>
      <c r="Y85" s="728">
        <f t="shared" si="45"/>
        <v>0.90339477726574502</v>
      </c>
      <c r="Z85" s="1"/>
    </row>
    <row r="86" spans="1:26" ht="15.75" thickBot="1" x14ac:dyDescent="0.3">
      <c r="A86" s="119" t="s">
        <v>71</v>
      </c>
      <c r="B86" s="120" t="s">
        <v>196</v>
      </c>
      <c r="C86" s="124">
        <v>0</v>
      </c>
      <c r="D86" s="124">
        <v>0</v>
      </c>
      <c r="E86" s="124">
        <v>0</v>
      </c>
      <c r="F86" s="124">
        <v>0</v>
      </c>
      <c r="G86" s="124">
        <v>0</v>
      </c>
      <c r="H86" s="124">
        <v>0</v>
      </c>
      <c r="I86" s="124">
        <v>0</v>
      </c>
      <c r="J86" s="124">
        <v>0</v>
      </c>
      <c r="K86" s="124">
        <v>0</v>
      </c>
      <c r="L86" s="124">
        <v>0</v>
      </c>
      <c r="M86" s="124">
        <v>0</v>
      </c>
      <c r="N86" s="124">
        <v>0</v>
      </c>
      <c r="O86" s="124">
        <v>0</v>
      </c>
      <c r="P86" s="124">
        <v>0</v>
      </c>
      <c r="Q86" s="124">
        <v>0</v>
      </c>
      <c r="R86" s="124">
        <v>0</v>
      </c>
      <c r="S86" s="124">
        <v>0</v>
      </c>
      <c r="T86" s="124">
        <v>0</v>
      </c>
      <c r="U86" s="124">
        <v>0</v>
      </c>
      <c r="V86" s="124">
        <v>0</v>
      </c>
      <c r="W86" s="124">
        <v>0</v>
      </c>
      <c r="X86" s="124">
        <v>0</v>
      </c>
      <c r="Y86" s="728">
        <v>0</v>
      </c>
      <c r="Z86" s="1"/>
    </row>
    <row r="87" spans="1:26" ht="15.75" thickBot="1" x14ac:dyDescent="0.3">
      <c r="A87" s="125" t="s">
        <v>72</v>
      </c>
      <c r="B87" s="126"/>
      <c r="C87" s="108">
        <f t="shared" ref="C87:X87" si="65">SUM(C88)</f>
        <v>2670</v>
      </c>
      <c r="D87" s="108">
        <f t="shared" si="65"/>
        <v>2685</v>
      </c>
      <c r="E87" s="108">
        <f t="shared" si="65"/>
        <v>2685</v>
      </c>
      <c r="F87" s="108">
        <f t="shared" si="65"/>
        <v>2685</v>
      </c>
      <c r="G87" s="108">
        <f t="shared" si="65"/>
        <v>2685</v>
      </c>
      <c r="H87" s="108">
        <f t="shared" si="65"/>
        <v>2685</v>
      </c>
      <c r="I87" s="108">
        <f t="shared" si="65"/>
        <v>2685</v>
      </c>
      <c r="J87" s="108">
        <f t="shared" si="65"/>
        <v>2685</v>
      </c>
      <c r="K87" s="108">
        <f t="shared" si="65"/>
        <v>2685</v>
      </c>
      <c r="L87" s="108">
        <f t="shared" si="65"/>
        <v>2685</v>
      </c>
      <c r="M87" s="108">
        <f t="shared" si="65"/>
        <v>2685</v>
      </c>
      <c r="N87" s="108">
        <f t="shared" si="65"/>
        <v>2685</v>
      </c>
      <c r="O87" s="108">
        <f t="shared" si="65"/>
        <v>2685</v>
      </c>
      <c r="P87" s="108">
        <f t="shared" si="65"/>
        <v>2685</v>
      </c>
      <c r="Q87" s="108">
        <f t="shared" si="65"/>
        <v>2685</v>
      </c>
      <c r="R87" s="108">
        <f t="shared" si="65"/>
        <v>2685</v>
      </c>
      <c r="S87" s="108">
        <f t="shared" si="65"/>
        <v>2685</v>
      </c>
      <c r="T87" s="108">
        <f t="shared" si="65"/>
        <v>2685</v>
      </c>
      <c r="U87" s="108">
        <f t="shared" si="65"/>
        <v>2685</v>
      </c>
      <c r="V87" s="108">
        <f t="shared" si="65"/>
        <v>2685</v>
      </c>
      <c r="W87" s="108">
        <f t="shared" si="65"/>
        <v>2685</v>
      </c>
      <c r="X87" s="108">
        <f t="shared" si="65"/>
        <v>2623</v>
      </c>
      <c r="Y87" s="728">
        <f t="shared" si="45"/>
        <v>0.97690875232774677</v>
      </c>
      <c r="Z87" s="1"/>
    </row>
    <row r="88" spans="1:26" ht="15.75" thickBot="1" x14ac:dyDescent="0.3">
      <c r="A88" s="127" t="s">
        <v>73</v>
      </c>
      <c r="B88" s="102" t="s">
        <v>219</v>
      </c>
      <c r="C88" s="130">
        <v>2670</v>
      </c>
      <c r="D88" s="713">
        <f t="shared" ref="D88:W88" si="66">2670+15</f>
        <v>2685</v>
      </c>
      <c r="E88" s="130">
        <f t="shared" si="66"/>
        <v>2685</v>
      </c>
      <c r="F88" s="130">
        <f t="shared" si="66"/>
        <v>2685</v>
      </c>
      <c r="G88" s="130">
        <f t="shared" si="66"/>
        <v>2685</v>
      </c>
      <c r="H88" s="130">
        <f t="shared" si="66"/>
        <v>2685</v>
      </c>
      <c r="I88" s="130">
        <f t="shared" si="66"/>
        <v>2685</v>
      </c>
      <c r="J88" s="130">
        <f t="shared" si="66"/>
        <v>2685</v>
      </c>
      <c r="K88" s="130">
        <f t="shared" si="66"/>
        <v>2685</v>
      </c>
      <c r="L88" s="130">
        <f t="shared" si="66"/>
        <v>2685</v>
      </c>
      <c r="M88" s="130">
        <f t="shared" si="66"/>
        <v>2685</v>
      </c>
      <c r="N88" s="130">
        <f t="shared" si="66"/>
        <v>2685</v>
      </c>
      <c r="O88" s="130">
        <f t="shared" si="66"/>
        <v>2685</v>
      </c>
      <c r="P88" s="130">
        <f t="shared" si="66"/>
        <v>2685</v>
      </c>
      <c r="Q88" s="130">
        <f t="shared" si="66"/>
        <v>2685</v>
      </c>
      <c r="R88" s="130">
        <f t="shared" si="66"/>
        <v>2685</v>
      </c>
      <c r="S88" s="130">
        <f t="shared" si="66"/>
        <v>2685</v>
      </c>
      <c r="T88" s="130">
        <f t="shared" si="66"/>
        <v>2685</v>
      </c>
      <c r="U88" s="130">
        <f t="shared" si="66"/>
        <v>2685</v>
      </c>
      <c r="V88" s="130">
        <f t="shared" si="66"/>
        <v>2685</v>
      </c>
      <c r="W88" s="130">
        <f t="shared" si="66"/>
        <v>2685</v>
      </c>
      <c r="X88" s="130">
        <v>2623</v>
      </c>
      <c r="Y88" s="728">
        <f t="shared" si="45"/>
        <v>0.97690875232774677</v>
      </c>
      <c r="Z88" s="1"/>
    </row>
    <row r="89" spans="1:26" ht="15.75" thickBot="1" x14ac:dyDescent="0.3">
      <c r="A89" s="125" t="s">
        <v>74</v>
      </c>
      <c r="B89" s="126"/>
      <c r="C89" s="108">
        <f t="shared" ref="C89:X89" si="67">SUM(C90:C91)</f>
        <v>96625</v>
      </c>
      <c r="D89" s="108">
        <f t="shared" si="67"/>
        <v>97008</v>
      </c>
      <c r="E89" s="108">
        <f t="shared" si="67"/>
        <v>94508</v>
      </c>
      <c r="F89" s="108">
        <f t="shared" si="67"/>
        <v>94508</v>
      </c>
      <c r="G89" s="108">
        <f t="shared" si="67"/>
        <v>94508</v>
      </c>
      <c r="H89" s="108">
        <f t="shared" si="67"/>
        <v>94508</v>
      </c>
      <c r="I89" s="108">
        <f t="shared" si="67"/>
        <v>94508</v>
      </c>
      <c r="J89" s="108">
        <f t="shared" si="67"/>
        <v>94508</v>
      </c>
      <c r="K89" s="108">
        <f t="shared" si="67"/>
        <v>94508</v>
      </c>
      <c r="L89" s="108">
        <f t="shared" si="67"/>
        <v>94508</v>
      </c>
      <c r="M89" s="108">
        <f t="shared" ref="M89:U89" si="68">SUM(M90:M91)</f>
        <v>94508</v>
      </c>
      <c r="N89" s="108">
        <f t="shared" si="68"/>
        <v>94508</v>
      </c>
      <c r="O89" s="108">
        <f t="shared" si="68"/>
        <v>94508</v>
      </c>
      <c r="P89" s="108">
        <f t="shared" si="68"/>
        <v>94508</v>
      </c>
      <c r="Q89" s="108">
        <f t="shared" si="68"/>
        <v>94508</v>
      </c>
      <c r="R89" s="108">
        <f t="shared" si="68"/>
        <v>124533</v>
      </c>
      <c r="S89" s="108">
        <f t="shared" si="68"/>
        <v>124683</v>
      </c>
      <c r="T89" s="108">
        <f t="shared" si="68"/>
        <v>124683</v>
      </c>
      <c r="U89" s="108">
        <f t="shared" si="68"/>
        <v>124783</v>
      </c>
      <c r="V89" s="108">
        <f t="shared" ref="V89:W89" si="69">SUM(V90:V91)</f>
        <v>124783</v>
      </c>
      <c r="W89" s="108">
        <f t="shared" si="69"/>
        <v>124883</v>
      </c>
      <c r="X89" s="108">
        <f t="shared" si="67"/>
        <v>86760</v>
      </c>
      <c r="Y89" s="728">
        <f t="shared" si="45"/>
        <v>0.69473026753040845</v>
      </c>
      <c r="Z89" s="1"/>
    </row>
    <row r="90" spans="1:26" x14ac:dyDescent="0.25">
      <c r="A90" s="131" t="s">
        <v>75</v>
      </c>
      <c r="B90" s="132" t="s">
        <v>76</v>
      </c>
      <c r="C90" s="135">
        <v>17600</v>
      </c>
      <c r="D90" s="135">
        <v>17600</v>
      </c>
      <c r="E90" s="759">
        <f t="shared" ref="E90:R90" si="70">17600-2500</f>
        <v>15100</v>
      </c>
      <c r="F90" s="135">
        <f t="shared" si="70"/>
        <v>15100</v>
      </c>
      <c r="G90" s="135">
        <f t="shared" si="70"/>
        <v>15100</v>
      </c>
      <c r="H90" s="135">
        <f t="shared" si="70"/>
        <v>15100</v>
      </c>
      <c r="I90" s="135">
        <f t="shared" si="70"/>
        <v>15100</v>
      </c>
      <c r="J90" s="135">
        <f t="shared" si="70"/>
        <v>15100</v>
      </c>
      <c r="K90" s="135">
        <f t="shared" si="70"/>
        <v>15100</v>
      </c>
      <c r="L90" s="135">
        <f t="shared" si="70"/>
        <v>15100</v>
      </c>
      <c r="M90" s="135">
        <f t="shared" si="70"/>
        <v>15100</v>
      </c>
      <c r="N90" s="135">
        <f t="shared" si="70"/>
        <v>15100</v>
      </c>
      <c r="O90" s="135">
        <f t="shared" si="70"/>
        <v>15100</v>
      </c>
      <c r="P90" s="135">
        <f t="shared" si="70"/>
        <v>15100</v>
      </c>
      <c r="Q90" s="135">
        <f t="shared" si="70"/>
        <v>15100</v>
      </c>
      <c r="R90" s="135">
        <f t="shared" si="70"/>
        <v>15100</v>
      </c>
      <c r="S90" s="759">
        <f>17600-2500+150</f>
        <v>15250</v>
      </c>
      <c r="T90" s="135">
        <f>17600-2500+150</f>
        <v>15250</v>
      </c>
      <c r="U90" s="759">
        <f>17600-2500+150+100</f>
        <v>15350</v>
      </c>
      <c r="V90" s="135">
        <f>17600-2500+150+100</f>
        <v>15350</v>
      </c>
      <c r="W90" s="759">
        <f>17600-2500+150+100+100</f>
        <v>15450</v>
      </c>
      <c r="X90" s="135">
        <v>14165</v>
      </c>
      <c r="Y90" s="728">
        <f t="shared" si="45"/>
        <v>0.91682847896440134</v>
      </c>
      <c r="Z90" s="1"/>
    </row>
    <row r="91" spans="1:26" ht="15.75" thickBot="1" x14ac:dyDescent="0.3">
      <c r="A91" s="136" t="s">
        <v>77</v>
      </c>
      <c r="B91" s="137" t="s">
        <v>78</v>
      </c>
      <c r="C91" s="124">
        <v>79025</v>
      </c>
      <c r="D91" s="714">
        <f t="shared" ref="D91:Q91" si="71">79025+383</f>
        <v>79408</v>
      </c>
      <c r="E91" s="124">
        <f t="shared" si="71"/>
        <v>79408</v>
      </c>
      <c r="F91" s="124">
        <f t="shared" si="71"/>
        <v>79408</v>
      </c>
      <c r="G91" s="124">
        <f t="shared" si="71"/>
        <v>79408</v>
      </c>
      <c r="H91" s="124">
        <f t="shared" si="71"/>
        <v>79408</v>
      </c>
      <c r="I91" s="124">
        <f t="shared" si="71"/>
        <v>79408</v>
      </c>
      <c r="J91" s="124">
        <f t="shared" si="71"/>
        <v>79408</v>
      </c>
      <c r="K91" s="124">
        <f t="shared" si="71"/>
        <v>79408</v>
      </c>
      <c r="L91" s="124">
        <f t="shared" si="71"/>
        <v>79408</v>
      </c>
      <c r="M91" s="124">
        <f t="shared" si="71"/>
        <v>79408</v>
      </c>
      <c r="N91" s="124">
        <f t="shared" si="71"/>
        <v>79408</v>
      </c>
      <c r="O91" s="124">
        <f t="shared" si="71"/>
        <v>79408</v>
      </c>
      <c r="P91" s="124">
        <f t="shared" si="71"/>
        <v>79408</v>
      </c>
      <c r="Q91" s="124">
        <f t="shared" si="71"/>
        <v>79408</v>
      </c>
      <c r="R91" s="714">
        <f t="shared" ref="R91:W91" si="72">79025+383+30025</f>
        <v>109433</v>
      </c>
      <c r="S91" s="124">
        <f t="shared" si="72"/>
        <v>109433</v>
      </c>
      <c r="T91" s="124">
        <f t="shared" si="72"/>
        <v>109433</v>
      </c>
      <c r="U91" s="124">
        <f t="shared" si="72"/>
        <v>109433</v>
      </c>
      <c r="V91" s="124">
        <f t="shared" si="72"/>
        <v>109433</v>
      </c>
      <c r="W91" s="124">
        <f t="shared" si="72"/>
        <v>109433</v>
      </c>
      <c r="X91" s="124">
        <v>72595</v>
      </c>
      <c r="Y91" s="728">
        <f t="shared" si="45"/>
        <v>0.66337393656392496</v>
      </c>
      <c r="Z91" s="1"/>
    </row>
    <row r="92" spans="1:26" ht="15.75" thickBot="1" x14ac:dyDescent="0.3">
      <c r="A92" s="104" t="s">
        <v>79</v>
      </c>
      <c r="B92" s="140"/>
      <c r="C92" s="108">
        <f t="shared" ref="C92:X92" si="73">SUM(C93:C95)</f>
        <v>122230</v>
      </c>
      <c r="D92" s="108">
        <f t="shared" si="73"/>
        <v>122300</v>
      </c>
      <c r="E92" s="108">
        <f t="shared" si="73"/>
        <v>122300</v>
      </c>
      <c r="F92" s="108">
        <f t="shared" si="73"/>
        <v>122300</v>
      </c>
      <c r="G92" s="108">
        <f t="shared" si="73"/>
        <v>117000</v>
      </c>
      <c r="H92" s="108">
        <f t="shared" si="73"/>
        <v>117000</v>
      </c>
      <c r="I92" s="108">
        <f t="shared" si="73"/>
        <v>117015</v>
      </c>
      <c r="J92" s="108">
        <f t="shared" si="73"/>
        <v>117015</v>
      </c>
      <c r="K92" s="108">
        <f t="shared" si="73"/>
        <v>117015</v>
      </c>
      <c r="L92" s="108">
        <f t="shared" si="73"/>
        <v>117015</v>
      </c>
      <c r="M92" s="108">
        <f t="shared" si="73"/>
        <v>115015</v>
      </c>
      <c r="N92" s="108">
        <f t="shared" si="73"/>
        <v>108070</v>
      </c>
      <c r="O92" s="108">
        <f t="shared" ref="O92:U92" si="74">SUM(O93:O95)</f>
        <v>108070</v>
      </c>
      <c r="P92" s="108">
        <f t="shared" si="74"/>
        <v>108070</v>
      </c>
      <c r="Q92" s="108">
        <f t="shared" si="74"/>
        <v>108070</v>
      </c>
      <c r="R92" s="108">
        <f t="shared" si="74"/>
        <v>108070</v>
      </c>
      <c r="S92" s="108">
        <f t="shared" si="74"/>
        <v>108070</v>
      </c>
      <c r="T92" s="108">
        <f t="shared" si="74"/>
        <v>101070</v>
      </c>
      <c r="U92" s="108">
        <f t="shared" si="74"/>
        <v>101070</v>
      </c>
      <c r="V92" s="108">
        <f t="shared" ref="V92:W92" si="75">SUM(V93:V95)</f>
        <v>101070</v>
      </c>
      <c r="W92" s="108">
        <f t="shared" si="75"/>
        <v>101070</v>
      </c>
      <c r="X92" s="108">
        <f t="shared" si="73"/>
        <v>77061</v>
      </c>
      <c r="Y92" s="728">
        <f t="shared" si="45"/>
        <v>0.76245176610270105</v>
      </c>
      <c r="Z92" s="1"/>
    </row>
    <row r="93" spans="1:26" x14ac:dyDescent="0.25">
      <c r="A93" s="141" t="s">
        <v>80</v>
      </c>
      <c r="B93" s="142" t="s">
        <v>81</v>
      </c>
      <c r="C93" s="55">
        <v>44750</v>
      </c>
      <c r="D93" s="55">
        <v>44750</v>
      </c>
      <c r="E93" s="55">
        <v>44750</v>
      </c>
      <c r="F93" s="55">
        <v>44750</v>
      </c>
      <c r="G93" s="55">
        <v>44750</v>
      </c>
      <c r="H93" s="55">
        <v>44750</v>
      </c>
      <c r="I93" s="55">
        <v>44750</v>
      </c>
      <c r="J93" s="55">
        <v>44750</v>
      </c>
      <c r="K93" s="55">
        <v>44750</v>
      </c>
      <c r="L93" s="55">
        <v>44750</v>
      </c>
      <c r="M93" s="55">
        <v>44750</v>
      </c>
      <c r="N93" s="55">
        <v>44750</v>
      </c>
      <c r="O93" s="55">
        <v>44750</v>
      </c>
      <c r="P93" s="55">
        <v>44750</v>
      </c>
      <c r="Q93" s="55">
        <v>44750</v>
      </c>
      <c r="R93" s="55">
        <v>44750</v>
      </c>
      <c r="S93" s="55">
        <v>44750</v>
      </c>
      <c r="T93" s="55">
        <v>44750</v>
      </c>
      <c r="U93" s="55">
        <v>44750</v>
      </c>
      <c r="V93" s="55">
        <v>44750</v>
      </c>
      <c r="W93" s="55">
        <v>44750</v>
      </c>
      <c r="X93" s="55">
        <v>39567</v>
      </c>
      <c r="Y93" s="728">
        <f t="shared" si="45"/>
        <v>0.88417877094972064</v>
      </c>
      <c r="Z93" s="1"/>
    </row>
    <row r="94" spans="1:26" x14ac:dyDescent="0.25">
      <c r="A94" s="117" t="s">
        <v>82</v>
      </c>
      <c r="B94" s="114" t="s">
        <v>83</v>
      </c>
      <c r="C94" s="60">
        <v>39680</v>
      </c>
      <c r="D94" s="694">
        <f>39680+70</f>
        <v>39750</v>
      </c>
      <c r="E94" s="60">
        <f>39680+70</f>
        <v>39750</v>
      </c>
      <c r="F94" s="60">
        <f>39680+70</f>
        <v>39750</v>
      </c>
      <c r="G94" s="694">
        <f>39680+70-5300</f>
        <v>34450</v>
      </c>
      <c r="H94" s="60">
        <f>39680+70-5300</f>
        <v>34450</v>
      </c>
      <c r="I94" s="694">
        <f t="shared" ref="I94:M94" si="76">39680+70-5300+15</f>
        <v>34465</v>
      </c>
      <c r="J94" s="60">
        <f t="shared" si="76"/>
        <v>34465</v>
      </c>
      <c r="K94" s="60">
        <f t="shared" si="76"/>
        <v>34465</v>
      </c>
      <c r="L94" s="60">
        <f t="shared" si="76"/>
        <v>34465</v>
      </c>
      <c r="M94" s="60">
        <f t="shared" si="76"/>
        <v>34465</v>
      </c>
      <c r="N94" s="694">
        <f>39680+70-5300+15-6945</f>
        <v>27520</v>
      </c>
      <c r="O94" s="60">
        <f>39680+70-5300+15-6945</f>
        <v>27520</v>
      </c>
      <c r="P94" s="60">
        <f>39680+70-5300+15-6945</f>
        <v>27520</v>
      </c>
      <c r="Q94" s="60">
        <f t="shared" ref="Q94:W94" si="77">39680+70-5300+15-6945</f>
        <v>27520</v>
      </c>
      <c r="R94" s="60">
        <f t="shared" si="77"/>
        <v>27520</v>
      </c>
      <c r="S94" s="60">
        <f t="shared" si="77"/>
        <v>27520</v>
      </c>
      <c r="T94" s="60">
        <f t="shared" si="77"/>
        <v>27520</v>
      </c>
      <c r="U94" s="60">
        <f t="shared" si="77"/>
        <v>27520</v>
      </c>
      <c r="V94" s="60">
        <f t="shared" si="77"/>
        <v>27520</v>
      </c>
      <c r="W94" s="60">
        <f t="shared" si="77"/>
        <v>27520</v>
      </c>
      <c r="X94" s="60">
        <v>17627</v>
      </c>
      <c r="Y94" s="728">
        <f t="shared" si="45"/>
        <v>0.640515988372093</v>
      </c>
      <c r="Z94" s="1"/>
    </row>
    <row r="95" spans="1:26" ht="15.75" thickBot="1" x14ac:dyDescent="0.3">
      <c r="A95" s="117" t="s">
        <v>84</v>
      </c>
      <c r="B95" s="114" t="s">
        <v>85</v>
      </c>
      <c r="C95" s="60">
        <v>37800</v>
      </c>
      <c r="D95" s="60">
        <v>37800</v>
      </c>
      <c r="E95" s="60">
        <v>37800</v>
      </c>
      <c r="F95" s="60">
        <v>37800</v>
      </c>
      <c r="G95" s="60">
        <v>37800</v>
      </c>
      <c r="H95" s="60">
        <v>37800</v>
      </c>
      <c r="I95" s="60">
        <v>37800</v>
      </c>
      <c r="J95" s="60">
        <v>37800</v>
      </c>
      <c r="K95" s="60">
        <v>37800</v>
      </c>
      <c r="L95" s="60">
        <v>37800</v>
      </c>
      <c r="M95" s="694">
        <f>37800-2000</f>
        <v>35800</v>
      </c>
      <c r="N95" s="60">
        <f>37800-2000</f>
        <v>35800</v>
      </c>
      <c r="O95" s="60">
        <f>37800-2000</f>
        <v>35800</v>
      </c>
      <c r="P95" s="60">
        <f>37800-2000</f>
        <v>35800</v>
      </c>
      <c r="Q95" s="60">
        <f t="shared" ref="Q95:S95" si="78">37800-2000</f>
        <v>35800</v>
      </c>
      <c r="R95" s="60">
        <f t="shared" si="78"/>
        <v>35800</v>
      </c>
      <c r="S95" s="60">
        <f t="shared" si="78"/>
        <v>35800</v>
      </c>
      <c r="T95" s="694">
        <f>37800-2000-7000</f>
        <v>28800</v>
      </c>
      <c r="U95" s="60">
        <f>37800-2000-7000</f>
        <v>28800</v>
      </c>
      <c r="V95" s="60">
        <f>37800-2000-7000</f>
        <v>28800</v>
      </c>
      <c r="W95" s="60">
        <f>37800-2000-7000</f>
        <v>28800</v>
      </c>
      <c r="X95" s="60">
        <v>19867</v>
      </c>
      <c r="Y95" s="728">
        <f t="shared" si="45"/>
        <v>0.68982638888888892</v>
      </c>
      <c r="Z95" s="1"/>
    </row>
    <row r="96" spans="1:26" ht="15.75" thickBot="1" x14ac:dyDescent="0.3">
      <c r="A96" s="901" t="s">
        <v>86</v>
      </c>
      <c r="B96" s="902"/>
      <c r="C96" s="108">
        <f t="shared" ref="C96:X96" si="79">SUM(C97:C100)</f>
        <v>148830</v>
      </c>
      <c r="D96" s="108">
        <f t="shared" si="79"/>
        <v>148830</v>
      </c>
      <c r="E96" s="108">
        <f t="shared" si="79"/>
        <v>173440</v>
      </c>
      <c r="F96" s="108">
        <f t="shared" si="79"/>
        <v>173440</v>
      </c>
      <c r="G96" s="108">
        <f t="shared" si="79"/>
        <v>173440</v>
      </c>
      <c r="H96" s="108">
        <f t="shared" si="79"/>
        <v>173440</v>
      </c>
      <c r="I96" s="108">
        <f t="shared" si="79"/>
        <v>173440</v>
      </c>
      <c r="J96" s="108">
        <f t="shared" si="79"/>
        <v>173440</v>
      </c>
      <c r="K96" s="108">
        <f t="shared" si="79"/>
        <v>173820</v>
      </c>
      <c r="L96" s="108">
        <f t="shared" si="79"/>
        <v>173820</v>
      </c>
      <c r="M96" s="108">
        <f t="shared" ref="M96:U96" si="80">SUM(M97:M100)</f>
        <v>175820</v>
      </c>
      <c r="N96" s="108">
        <f t="shared" si="80"/>
        <v>175820</v>
      </c>
      <c r="O96" s="108">
        <f t="shared" si="80"/>
        <v>175820</v>
      </c>
      <c r="P96" s="108">
        <f t="shared" si="80"/>
        <v>175820</v>
      </c>
      <c r="Q96" s="108">
        <f t="shared" si="80"/>
        <v>175820</v>
      </c>
      <c r="R96" s="108">
        <f t="shared" si="80"/>
        <v>175820</v>
      </c>
      <c r="S96" s="108">
        <f t="shared" si="80"/>
        <v>175820</v>
      </c>
      <c r="T96" s="108">
        <f t="shared" si="80"/>
        <v>175820</v>
      </c>
      <c r="U96" s="108">
        <f t="shared" si="80"/>
        <v>175820</v>
      </c>
      <c r="V96" s="108">
        <f t="shared" ref="V96:W96" si="81">SUM(V97:V100)</f>
        <v>175820</v>
      </c>
      <c r="W96" s="108">
        <f t="shared" si="81"/>
        <v>175820</v>
      </c>
      <c r="X96" s="108">
        <f t="shared" si="79"/>
        <v>142466</v>
      </c>
      <c r="Y96" s="728">
        <f t="shared" si="45"/>
        <v>0.81029461949721304</v>
      </c>
      <c r="Z96" s="1"/>
    </row>
    <row r="97" spans="1:26" x14ac:dyDescent="0.25">
      <c r="A97" s="149" t="s">
        <v>87</v>
      </c>
      <c r="B97" s="150" t="s">
        <v>88</v>
      </c>
      <c r="C97" s="135">
        <v>95830</v>
      </c>
      <c r="D97" s="135">
        <v>95830</v>
      </c>
      <c r="E97" s="135">
        <v>95830</v>
      </c>
      <c r="F97" s="135">
        <v>95830</v>
      </c>
      <c r="G97" s="135">
        <v>95830</v>
      </c>
      <c r="H97" s="135">
        <v>95830</v>
      </c>
      <c r="I97" s="135">
        <v>95830</v>
      </c>
      <c r="J97" s="135">
        <v>95830</v>
      </c>
      <c r="K97" s="759">
        <f>95830+380</f>
        <v>96210</v>
      </c>
      <c r="L97" s="135">
        <f>95830+380</f>
        <v>96210</v>
      </c>
      <c r="M97" s="759">
        <f>95830+380+2000</f>
        <v>98210</v>
      </c>
      <c r="N97" s="135">
        <f>95830+380+2000</f>
        <v>98210</v>
      </c>
      <c r="O97" s="135">
        <f>95830+380+2000</f>
        <v>98210</v>
      </c>
      <c r="P97" s="759">
        <f>95830+380+2000+9885-9885</f>
        <v>98210</v>
      </c>
      <c r="Q97" s="135">
        <f t="shared" ref="Q97:W97" si="82">95830+380+2000+9885-9885</f>
        <v>98210</v>
      </c>
      <c r="R97" s="135">
        <f t="shared" si="82"/>
        <v>98210</v>
      </c>
      <c r="S97" s="135">
        <f t="shared" si="82"/>
        <v>98210</v>
      </c>
      <c r="T97" s="135">
        <f t="shared" si="82"/>
        <v>98210</v>
      </c>
      <c r="U97" s="135">
        <f t="shared" si="82"/>
        <v>98210</v>
      </c>
      <c r="V97" s="135">
        <f t="shared" si="82"/>
        <v>98210</v>
      </c>
      <c r="W97" s="135">
        <f t="shared" si="82"/>
        <v>98210</v>
      </c>
      <c r="X97" s="135">
        <v>83232</v>
      </c>
      <c r="Y97" s="728">
        <f t="shared" si="45"/>
        <v>0.8474900722940637</v>
      </c>
      <c r="Z97" s="1"/>
    </row>
    <row r="98" spans="1:26" x14ac:dyDescent="0.25">
      <c r="A98" s="117" t="s">
        <v>89</v>
      </c>
      <c r="B98" s="114" t="s">
        <v>90</v>
      </c>
      <c r="C98" s="148">
        <v>39000</v>
      </c>
      <c r="D98" s="148">
        <v>39000</v>
      </c>
      <c r="E98" s="757">
        <f t="shared" ref="E98:W98" si="83">39000-1575</f>
        <v>37425</v>
      </c>
      <c r="F98" s="148">
        <f t="shared" si="83"/>
        <v>37425</v>
      </c>
      <c r="G98" s="148">
        <f t="shared" si="83"/>
        <v>37425</v>
      </c>
      <c r="H98" s="148">
        <f t="shared" si="83"/>
        <v>37425</v>
      </c>
      <c r="I98" s="148">
        <f t="shared" si="83"/>
        <v>37425</v>
      </c>
      <c r="J98" s="148">
        <f t="shared" si="83"/>
        <v>37425</v>
      </c>
      <c r="K98" s="148">
        <f t="shared" si="83"/>
        <v>37425</v>
      </c>
      <c r="L98" s="148">
        <f t="shared" si="83"/>
        <v>37425</v>
      </c>
      <c r="M98" s="148">
        <f t="shared" si="83"/>
        <v>37425</v>
      </c>
      <c r="N98" s="148">
        <f t="shared" si="83"/>
        <v>37425</v>
      </c>
      <c r="O98" s="148">
        <f t="shared" si="83"/>
        <v>37425</v>
      </c>
      <c r="P98" s="148">
        <f t="shared" si="83"/>
        <v>37425</v>
      </c>
      <c r="Q98" s="148">
        <f t="shared" si="83"/>
        <v>37425</v>
      </c>
      <c r="R98" s="148">
        <f t="shared" si="83"/>
        <v>37425</v>
      </c>
      <c r="S98" s="148">
        <f t="shared" si="83"/>
        <v>37425</v>
      </c>
      <c r="T98" s="148">
        <f t="shared" si="83"/>
        <v>37425</v>
      </c>
      <c r="U98" s="148">
        <f t="shared" si="83"/>
        <v>37425</v>
      </c>
      <c r="V98" s="148">
        <f t="shared" si="83"/>
        <v>37425</v>
      </c>
      <c r="W98" s="148">
        <f t="shared" si="83"/>
        <v>37425</v>
      </c>
      <c r="X98" s="148">
        <v>35147</v>
      </c>
      <c r="Y98" s="728">
        <f t="shared" si="45"/>
        <v>0.93913159652638611</v>
      </c>
      <c r="Z98" s="1"/>
    </row>
    <row r="99" spans="1:26" x14ac:dyDescent="0.25">
      <c r="A99" s="127" t="s">
        <v>91</v>
      </c>
      <c r="B99" s="155" t="s">
        <v>92</v>
      </c>
      <c r="C99" s="159">
        <v>2000</v>
      </c>
      <c r="D99" s="159">
        <v>2000</v>
      </c>
      <c r="E99" s="159">
        <v>2000</v>
      </c>
      <c r="F99" s="159">
        <v>2000</v>
      </c>
      <c r="G99" s="159">
        <v>2000</v>
      </c>
      <c r="H99" s="159">
        <v>2000</v>
      </c>
      <c r="I99" s="159">
        <v>2000</v>
      </c>
      <c r="J99" s="159">
        <v>2000</v>
      </c>
      <c r="K99" s="159">
        <v>2000</v>
      </c>
      <c r="L99" s="159">
        <v>2000</v>
      </c>
      <c r="M99" s="159">
        <v>2000</v>
      </c>
      <c r="N99" s="159">
        <v>2000</v>
      </c>
      <c r="O99" s="159">
        <v>2000</v>
      </c>
      <c r="P99" s="159">
        <v>2000</v>
      </c>
      <c r="Q99" s="159">
        <v>2000</v>
      </c>
      <c r="R99" s="159">
        <v>2000</v>
      </c>
      <c r="S99" s="159">
        <v>2000</v>
      </c>
      <c r="T99" s="159">
        <v>2000</v>
      </c>
      <c r="U99" s="159">
        <v>2000</v>
      </c>
      <c r="V99" s="159">
        <v>2000</v>
      </c>
      <c r="W99" s="159">
        <v>2000</v>
      </c>
      <c r="X99" s="159">
        <v>1465</v>
      </c>
      <c r="Y99" s="728">
        <f t="shared" si="45"/>
        <v>0.73250000000000004</v>
      </c>
      <c r="Z99" s="1"/>
    </row>
    <row r="100" spans="1:26" ht="15.75" thickBot="1" x14ac:dyDescent="0.3">
      <c r="A100" s="160" t="s">
        <v>93</v>
      </c>
      <c r="B100" s="161" t="s">
        <v>94</v>
      </c>
      <c r="C100" s="170">
        <v>12000</v>
      </c>
      <c r="D100" s="170">
        <v>12000</v>
      </c>
      <c r="E100" s="758">
        <f t="shared" ref="E100:W100" si="84">12000+26185</f>
        <v>38185</v>
      </c>
      <c r="F100" s="170">
        <f t="shared" si="84"/>
        <v>38185</v>
      </c>
      <c r="G100" s="170">
        <f t="shared" si="84"/>
        <v>38185</v>
      </c>
      <c r="H100" s="170">
        <f t="shared" si="84"/>
        <v>38185</v>
      </c>
      <c r="I100" s="170">
        <f t="shared" si="84"/>
        <v>38185</v>
      </c>
      <c r="J100" s="170">
        <f t="shared" si="84"/>
        <v>38185</v>
      </c>
      <c r="K100" s="170">
        <f t="shared" si="84"/>
        <v>38185</v>
      </c>
      <c r="L100" s="170">
        <f t="shared" si="84"/>
        <v>38185</v>
      </c>
      <c r="M100" s="170">
        <f t="shared" si="84"/>
        <v>38185</v>
      </c>
      <c r="N100" s="170">
        <f t="shared" si="84"/>
        <v>38185</v>
      </c>
      <c r="O100" s="170">
        <f t="shared" si="84"/>
        <v>38185</v>
      </c>
      <c r="P100" s="170">
        <f t="shared" si="84"/>
        <v>38185</v>
      </c>
      <c r="Q100" s="170">
        <f t="shared" si="84"/>
        <v>38185</v>
      </c>
      <c r="R100" s="170">
        <f t="shared" si="84"/>
        <v>38185</v>
      </c>
      <c r="S100" s="170">
        <f t="shared" si="84"/>
        <v>38185</v>
      </c>
      <c r="T100" s="170">
        <f t="shared" si="84"/>
        <v>38185</v>
      </c>
      <c r="U100" s="170">
        <f t="shared" si="84"/>
        <v>38185</v>
      </c>
      <c r="V100" s="170">
        <f t="shared" si="84"/>
        <v>38185</v>
      </c>
      <c r="W100" s="170">
        <f t="shared" si="84"/>
        <v>38185</v>
      </c>
      <c r="X100" s="164">
        <v>22622</v>
      </c>
      <c r="Y100" s="728">
        <f t="shared" si="45"/>
        <v>0.59243158308236221</v>
      </c>
      <c r="Z100" s="1"/>
    </row>
    <row r="101" spans="1:26" ht="15.75" thickBot="1" x14ac:dyDescent="0.3">
      <c r="A101" s="104" t="s">
        <v>95</v>
      </c>
      <c r="B101" s="140"/>
      <c r="C101" s="106">
        <f t="shared" ref="C101:X101" si="85">SUM(C102:C105)</f>
        <v>222450</v>
      </c>
      <c r="D101" s="106">
        <f t="shared" si="85"/>
        <v>222450</v>
      </c>
      <c r="E101" s="106">
        <f t="shared" si="85"/>
        <v>208450</v>
      </c>
      <c r="F101" s="106">
        <f t="shared" si="85"/>
        <v>208450</v>
      </c>
      <c r="G101" s="106">
        <f t="shared" si="85"/>
        <v>208450</v>
      </c>
      <c r="H101" s="106">
        <f t="shared" si="85"/>
        <v>208450</v>
      </c>
      <c r="I101" s="106">
        <f t="shared" si="85"/>
        <v>208450</v>
      </c>
      <c r="J101" s="106">
        <f t="shared" si="85"/>
        <v>208450</v>
      </c>
      <c r="K101" s="106">
        <f t="shared" si="85"/>
        <v>208450</v>
      </c>
      <c r="L101" s="106">
        <f t="shared" si="85"/>
        <v>206795</v>
      </c>
      <c r="M101" s="106">
        <f t="shared" ref="M101:U101" si="86">SUM(M102:M105)</f>
        <v>207795</v>
      </c>
      <c r="N101" s="106">
        <f t="shared" si="86"/>
        <v>207795</v>
      </c>
      <c r="O101" s="106">
        <f t="shared" si="86"/>
        <v>207795</v>
      </c>
      <c r="P101" s="106">
        <f t="shared" si="86"/>
        <v>207795</v>
      </c>
      <c r="Q101" s="106">
        <f t="shared" si="86"/>
        <v>207795</v>
      </c>
      <c r="R101" s="106">
        <f t="shared" si="86"/>
        <v>207795</v>
      </c>
      <c r="S101" s="106">
        <f t="shared" si="86"/>
        <v>207795</v>
      </c>
      <c r="T101" s="106">
        <f t="shared" si="86"/>
        <v>214795</v>
      </c>
      <c r="U101" s="106">
        <f t="shared" si="86"/>
        <v>214795</v>
      </c>
      <c r="V101" s="106">
        <f t="shared" ref="V101:W101" si="87">SUM(V102:V105)</f>
        <v>214795</v>
      </c>
      <c r="W101" s="106">
        <f t="shared" si="87"/>
        <v>214795</v>
      </c>
      <c r="X101" s="106">
        <f t="shared" si="85"/>
        <v>184399</v>
      </c>
      <c r="Y101" s="728">
        <f t="shared" si="45"/>
        <v>0.85848832607835379</v>
      </c>
      <c r="Z101" s="1"/>
    </row>
    <row r="102" spans="1:26" x14ac:dyDescent="0.25">
      <c r="A102" s="141" t="s">
        <v>96</v>
      </c>
      <c r="B102" s="84" t="s">
        <v>97</v>
      </c>
      <c r="C102" s="112">
        <v>168170</v>
      </c>
      <c r="D102" s="112">
        <v>168170</v>
      </c>
      <c r="E102" s="112">
        <v>168170</v>
      </c>
      <c r="F102" s="112">
        <v>168170</v>
      </c>
      <c r="G102" s="112">
        <v>168170</v>
      </c>
      <c r="H102" s="112">
        <v>168170</v>
      </c>
      <c r="I102" s="112">
        <v>168170</v>
      </c>
      <c r="J102" s="112">
        <v>168170</v>
      </c>
      <c r="K102" s="112">
        <v>168170</v>
      </c>
      <c r="L102" s="792">
        <f>168170-1655</f>
        <v>166515</v>
      </c>
      <c r="M102" s="112">
        <f>168170-1655</f>
        <v>166515</v>
      </c>
      <c r="N102" s="112">
        <f>168170-1655</f>
        <v>166515</v>
      </c>
      <c r="O102" s="112">
        <f>168170-1655</f>
        <v>166515</v>
      </c>
      <c r="P102" s="112">
        <f>168170-1655</f>
        <v>166515</v>
      </c>
      <c r="Q102" s="112">
        <f t="shared" ref="Q102:S102" si="88">168170-1655</f>
        <v>166515</v>
      </c>
      <c r="R102" s="112">
        <f t="shared" si="88"/>
        <v>166515</v>
      </c>
      <c r="S102" s="112">
        <f t="shared" si="88"/>
        <v>166515</v>
      </c>
      <c r="T102" s="792">
        <f>168170-1655+7000</f>
        <v>173515</v>
      </c>
      <c r="U102" s="112">
        <f>168170-1655+7000</f>
        <v>173515</v>
      </c>
      <c r="V102" s="112">
        <f>168170-1655+7000</f>
        <v>173515</v>
      </c>
      <c r="W102" s="112">
        <f>168170-1655+7000</f>
        <v>173515</v>
      </c>
      <c r="X102" s="112">
        <v>150054</v>
      </c>
      <c r="Y102" s="728">
        <f t="shared" si="45"/>
        <v>0.86478978762643</v>
      </c>
      <c r="Z102" s="1"/>
    </row>
    <row r="103" spans="1:26" x14ac:dyDescent="0.25">
      <c r="A103" s="141" t="s">
        <v>301</v>
      </c>
      <c r="B103" s="84" t="s">
        <v>321</v>
      </c>
      <c r="C103" s="112">
        <v>1580</v>
      </c>
      <c r="D103" s="112">
        <v>1580</v>
      </c>
      <c r="E103" s="112">
        <v>1580</v>
      </c>
      <c r="F103" s="112">
        <v>1580</v>
      </c>
      <c r="G103" s="112">
        <v>1580</v>
      </c>
      <c r="H103" s="112">
        <v>1580</v>
      </c>
      <c r="I103" s="112">
        <v>1580</v>
      </c>
      <c r="J103" s="112">
        <v>1580</v>
      </c>
      <c r="K103" s="112">
        <v>1580</v>
      </c>
      <c r="L103" s="112">
        <v>1580</v>
      </c>
      <c r="M103" s="112">
        <v>1580</v>
      </c>
      <c r="N103" s="112">
        <v>1580</v>
      </c>
      <c r="O103" s="112">
        <v>1580</v>
      </c>
      <c r="P103" s="112">
        <v>1580</v>
      </c>
      <c r="Q103" s="112">
        <v>1580</v>
      </c>
      <c r="R103" s="112">
        <v>1580</v>
      </c>
      <c r="S103" s="112">
        <v>1580</v>
      </c>
      <c r="T103" s="112">
        <v>1580</v>
      </c>
      <c r="U103" s="112">
        <v>1580</v>
      </c>
      <c r="V103" s="112">
        <v>1580</v>
      </c>
      <c r="W103" s="112">
        <v>1580</v>
      </c>
      <c r="X103" s="112">
        <v>0</v>
      </c>
      <c r="Y103" s="728">
        <f t="shared" si="45"/>
        <v>0</v>
      </c>
      <c r="Z103" s="1"/>
    </row>
    <row r="104" spans="1:26" x14ac:dyDescent="0.25">
      <c r="A104" s="166" t="s">
        <v>98</v>
      </c>
      <c r="B104" s="114" t="s">
        <v>99</v>
      </c>
      <c r="C104" s="148">
        <v>35700</v>
      </c>
      <c r="D104" s="148">
        <v>35700</v>
      </c>
      <c r="E104" s="757">
        <f t="shared" ref="E104:L104" si="89">35700-14000</f>
        <v>21700</v>
      </c>
      <c r="F104" s="148">
        <f t="shared" si="89"/>
        <v>21700</v>
      </c>
      <c r="G104" s="148">
        <f t="shared" si="89"/>
        <v>21700</v>
      </c>
      <c r="H104" s="148">
        <f t="shared" si="89"/>
        <v>21700</v>
      </c>
      <c r="I104" s="148">
        <f t="shared" si="89"/>
        <v>21700</v>
      </c>
      <c r="J104" s="148">
        <f t="shared" si="89"/>
        <v>21700</v>
      </c>
      <c r="K104" s="148">
        <f t="shared" si="89"/>
        <v>21700</v>
      </c>
      <c r="L104" s="148">
        <f t="shared" si="89"/>
        <v>21700</v>
      </c>
      <c r="M104" s="757">
        <f>35700-14000+1000</f>
        <v>22700</v>
      </c>
      <c r="N104" s="148">
        <f>35700-14000+1000</f>
        <v>22700</v>
      </c>
      <c r="O104" s="148">
        <f>35700-14000+1000</f>
        <v>22700</v>
      </c>
      <c r="P104" s="148">
        <f>35700-14000+1000</f>
        <v>22700</v>
      </c>
      <c r="Q104" s="148">
        <f t="shared" ref="Q104:W104" si="90">35700-14000+1000</f>
        <v>22700</v>
      </c>
      <c r="R104" s="148">
        <f t="shared" si="90"/>
        <v>22700</v>
      </c>
      <c r="S104" s="148">
        <f t="shared" si="90"/>
        <v>22700</v>
      </c>
      <c r="T104" s="148">
        <f t="shared" si="90"/>
        <v>22700</v>
      </c>
      <c r="U104" s="148">
        <f t="shared" si="90"/>
        <v>22700</v>
      </c>
      <c r="V104" s="148">
        <f t="shared" si="90"/>
        <v>22700</v>
      </c>
      <c r="W104" s="148">
        <f t="shared" si="90"/>
        <v>22700</v>
      </c>
      <c r="X104" s="148">
        <v>21815</v>
      </c>
      <c r="Y104" s="728">
        <f t="shared" si="45"/>
        <v>0.96101321585903088</v>
      </c>
      <c r="Z104" s="1"/>
    </row>
    <row r="105" spans="1:26" ht="15.75" thickBot="1" x14ac:dyDescent="0.3">
      <c r="A105" s="167" t="s">
        <v>100</v>
      </c>
      <c r="B105" s="161" t="s">
        <v>101</v>
      </c>
      <c r="C105" s="170">
        <v>17000</v>
      </c>
      <c r="D105" s="170">
        <v>17000</v>
      </c>
      <c r="E105" s="170">
        <v>17000</v>
      </c>
      <c r="F105" s="170">
        <v>17000</v>
      </c>
      <c r="G105" s="170">
        <v>17000</v>
      </c>
      <c r="H105" s="170">
        <v>17000</v>
      </c>
      <c r="I105" s="170">
        <v>17000</v>
      </c>
      <c r="J105" s="170">
        <v>17000</v>
      </c>
      <c r="K105" s="170">
        <v>17000</v>
      </c>
      <c r="L105" s="170">
        <v>17000</v>
      </c>
      <c r="M105" s="170">
        <v>17000</v>
      </c>
      <c r="N105" s="170">
        <v>17000</v>
      </c>
      <c r="O105" s="170">
        <v>17000</v>
      </c>
      <c r="P105" s="170">
        <v>17000</v>
      </c>
      <c r="Q105" s="170">
        <v>17000</v>
      </c>
      <c r="R105" s="170">
        <v>17000</v>
      </c>
      <c r="S105" s="170">
        <v>17000</v>
      </c>
      <c r="T105" s="170">
        <v>17000</v>
      </c>
      <c r="U105" s="170">
        <v>17000</v>
      </c>
      <c r="V105" s="170">
        <v>17000</v>
      </c>
      <c r="W105" s="170">
        <v>17000</v>
      </c>
      <c r="X105" s="170">
        <v>12530</v>
      </c>
      <c r="Y105" s="728">
        <f t="shared" si="45"/>
        <v>0.73705882352941177</v>
      </c>
      <c r="Z105" s="1"/>
    </row>
    <row r="106" spans="1:26" ht="15.75" thickBot="1" x14ac:dyDescent="0.3">
      <c r="A106" s="171" t="s">
        <v>102</v>
      </c>
      <c r="B106" s="172"/>
      <c r="C106" s="173">
        <f t="shared" ref="C106:X106" si="91">SUM(C107:C109)</f>
        <v>850</v>
      </c>
      <c r="D106" s="173">
        <f t="shared" si="91"/>
        <v>850</v>
      </c>
      <c r="E106" s="173">
        <f t="shared" si="91"/>
        <v>850</v>
      </c>
      <c r="F106" s="173">
        <f t="shared" si="91"/>
        <v>850</v>
      </c>
      <c r="G106" s="173">
        <f t="shared" si="91"/>
        <v>850</v>
      </c>
      <c r="H106" s="173">
        <f t="shared" si="91"/>
        <v>850</v>
      </c>
      <c r="I106" s="173">
        <f t="shared" si="91"/>
        <v>850</v>
      </c>
      <c r="J106" s="173">
        <f t="shared" si="91"/>
        <v>850</v>
      </c>
      <c r="K106" s="173">
        <f t="shared" si="91"/>
        <v>850</v>
      </c>
      <c r="L106" s="173">
        <f t="shared" si="91"/>
        <v>850</v>
      </c>
      <c r="M106" s="173">
        <f t="shared" si="91"/>
        <v>850</v>
      </c>
      <c r="N106" s="173">
        <f t="shared" si="91"/>
        <v>850</v>
      </c>
      <c r="O106" s="173">
        <f t="shared" si="91"/>
        <v>850</v>
      </c>
      <c r="P106" s="173">
        <f t="shared" si="91"/>
        <v>850</v>
      </c>
      <c r="Q106" s="173">
        <f t="shared" si="91"/>
        <v>850</v>
      </c>
      <c r="R106" s="173">
        <f t="shared" si="91"/>
        <v>850</v>
      </c>
      <c r="S106" s="173">
        <f t="shared" si="91"/>
        <v>850</v>
      </c>
      <c r="T106" s="173">
        <f t="shared" ref="T106:U106" si="92">SUM(T107:T109)</f>
        <v>850</v>
      </c>
      <c r="U106" s="173">
        <f t="shared" si="92"/>
        <v>850</v>
      </c>
      <c r="V106" s="173">
        <f t="shared" ref="V106:W106" si="93">SUM(V107:V109)</f>
        <v>850</v>
      </c>
      <c r="W106" s="173">
        <f t="shared" si="93"/>
        <v>850</v>
      </c>
      <c r="X106" s="173">
        <f t="shared" si="91"/>
        <v>548</v>
      </c>
      <c r="Y106" s="728">
        <f t="shared" si="45"/>
        <v>0.64470588235294113</v>
      </c>
      <c r="Z106" s="1"/>
    </row>
    <row r="107" spans="1:26" x14ac:dyDescent="0.25">
      <c r="A107" s="131" t="s">
        <v>103</v>
      </c>
      <c r="B107" s="150" t="s">
        <v>104</v>
      </c>
      <c r="C107" s="177">
        <v>100</v>
      </c>
      <c r="D107" s="177">
        <v>100</v>
      </c>
      <c r="E107" s="177">
        <v>100</v>
      </c>
      <c r="F107" s="177">
        <v>100</v>
      </c>
      <c r="G107" s="177">
        <v>100</v>
      </c>
      <c r="H107" s="177">
        <v>100</v>
      </c>
      <c r="I107" s="177">
        <v>100</v>
      </c>
      <c r="J107" s="177">
        <v>100</v>
      </c>
      <c r="K107" s="177">
        <v>100</v>
      </c>
      <c r="L107" s="177">
        <v>100</v>
      </c>
      <c r="M107" s="177">
        <v>100</v>
      </c>
      <c r="N107" s="177">
        <v>100</v>
      </c>
      <c r="O107" s="177">
        <v>100</v>
      </c>
      <c r="P107" s="177">
        <v>100</v>
      </c>
      <c r="Q107" s="177">
        <v>100</v>
      </c>
      <c r="R107" s="177">
        <v>100</v>
      </c>
      <c r="S107" s="177">
        <v>100</v>
      </c>
      <c r="T107" s="177">
        <v>100</v>
      </c>
      <c r="U107" s="177">
        <v>100</v>
      </c>
      <c r="V107" s="177">
        <v>100</v>
      </c>
      <c r="W107" s="177">
        <v>100</v>
      </c>
      <c r="X107" s="177">
        <v>43</v>
      </c>
      <c r="Y107" s="728">
        <f t="shared" si="45"/>
        <v>0.43</v>
      </c>
      <c r="Z107" s="1"/>
    </row>
    <row r="108" spans="1:26" x14ac:dyDescent="0.25">
      <c r="A108" s="166" t="s">
        <v>105</v>
      </c>
      <c r="B108" s="114" t="s">
        <v>106</v>
      </c>
      <c r="C108" s="180">
        <v>100</v>
      </c>
      <c r="D108" s="180">
        <v>100</v>
      </c>
      <c r="E108" s="180">
        <v>100</v>
      </c>
      <c r="F108" s="180">
        <v>100</v>
      </c>
      <c r="G108" s="180">
        <v>100</v>
      </c>
      <c r="H108" s="180">
        <v>100</v>
      </c>
      <c r="I108" s="180">
        <v>100</v>
      </c>
      <c r="J108" s="180">
        <v>100</v>
      </c>
      <c r="K108" s="180">
        <v>100</v>
      </c>
      <c r="L108" s="180">
        <v>100</v>
      </c>
      <c r="M108" s="180">
        <v>100</v>
      </c>
      <c r="N108" s="180">
        <v>100</v>
      </c>
      <c r="O108" s="180">
        <v>100</v>
      </c>
      <c r="P108" s="180">
        <v>100</v>
      </c>
      <c r="Q108" s="180">
        <v>100</v>
      </c>
      <c r="R108" s="180">
        <v>100</v>
      </c>
      <c r="S108" s="180">
        <v>100</v>
      </c>
      <c r="T108" s="180">
        <v>100</v>
      </c>
      <c r="U108" s="180">
        <v>100</v>
      </c>
      <c r="V108" s="180">
        <v>100</v>
      </c>
      <c r="W108" s="180">
        <v>100</v>
      </c>
      <c r="X108" s="180">
        <v>35</v>
      </c>
      <c r="Y108" s="728">
        <f t="shared" si="45"/>
        <v>0.35</v>
      </c>
      <c r="Z108" s="1"/>
    </row>
    <row r="109" spans="1:26" ht="15.75" thickBot="1" x14ac:dyDescent="0.3">
      <c r="A109" s="720" t="s">
        <v>107</v>
      </c>
      <c r="B109" s="721" t="s">
        <v>108</v>
      </c>
      <c r="C109" s="208">
        <v>650</v>
      </c>
      <c r="D109" s="208">
        <v>650</v>
      </c>
      <c r="E109" s="208">
        <v>650</v>
      </c>
      <c r="F109" s="208">
        <v>650</v>
      </c>
      <c r="G109" s="208">
        <v>650</v>
      </c>
      <c r="H109" s="208">
        <v>650</v>
      </c>
      <c r="I109" s="208">
        <v>650</v>
      </c>
      <c r="J109" s="208">
        <v>650</v>
      </c>
      <c r="K109" s="208">
        <v>650</v>
      </c>
      <c r="L109" s="208">
        <v>650</v>
      </c>
      <c r="M109" s="208">
        <v>650</v>
      </c>
      <c r="N109" s="208">
        <v>650</v>
      </c>
      <c r="O109" s="208">
        <v>650</v>
      </c>
      <c r="P109" s="208">
        <v>650</v>
      </c>
      <c r="Q109" s="208">
        <v>650</v>
      </c>
      <c r="R109" s="208">
        <v>650</v>
      </c>
      <c r="S109" s="208">
        <v>650</v>
      </c>
      <c r="T109" s="208">
        <v>650</v>
      </c>
      <c r="U109" s="208">
        <v>650</v>
      </c>
      <c r="V109" s="208">
        <v>650</v>
      </c>
      <c r="W109" s="208">
        <v>650</v>
      </c>
      <c r="X109" s="208">
        <v>470</v>
      </c>
      <c r="Y109" s="728">
        <f t="shared" si="45"/>
        <v>0.72307692307692306</v>
      </c>
      <c r="Z109" s="1"/>
    </row>
    <row r="110" spans="1:26" ht="15.75" thickBot="1" x14ac:dyDescent="0.3">
      <c r="A110" s="722" t="s">
        <v>110</v>
      </c>
      <c r="B110" s="105"/>
      <c r="C110" s="106">
        <f t="shared" ref="C110:X110" si="94">SUM(C111:C115)</f>
        <v>131700</v>
      </c>
      <c r="D110" s="106">
        <f t="shared" si="94"/>
        <v>131700</v>
      </c>
      <c r="E110" s="106">
        <f t="shared" si="94"/>
        <v>132000</v>
      </c>
      <c r="F110" s="106">
        <f t="shared" si="94"/>
        <v>132000</v>
      </c>
      <c r="G110" s="106">
        <f t="shared" si="94"/>
        <v>132000</v>
      </c>
      <c r="H110" s="106">
        <f t="shared" si="94"/>
        <v>132000</v>
      </c>
      <c r="I110" s="106">
        <f t="shared" si="94"/>
        <v>138000</v>
      </c>
      <c r="J110" s="106">
        <f t="shared" si="94"/>
        <v>138924</v>
      </c>
      <c r="K110" s="106">
        <f t="shared" si="94"/>
        <v>141924</v>
      </c>
      <c r="L110" s="106">
        <f t="shared" si="94"/>
        <v>149124</v>
      </c>
      <c r="M110" s="106">
        <f t="shared" si="94"/>
        <v>148124</v>
      </c>
      <c r="N110" s="106">
        <f t="shared" si="94"/>
        <v>151124</v>
      </c>
      <c r="O110" s="106">
        <f t="shared" si="94"/>
        <v>151124</v>
      </c>
      <c r="P110" s="106">
        <f t="shared" si="94"/>
        <v>152124</v>
      </c>
      <c r="Q110" s="106">
        <f t="shared" si="94"/>
        <v>152124</v>
      </c>
      <c r="R110" s="106">
        <f t="shared" si="94"/>
        <v>152124</v>
      </c>
      <c r="S110" s="106">
        <f t="shared" si="94"/>
        <v>152124</v>
      </c>
      <c r="T110" s="106">
        <f t="shared" si="94"/>
        <v>152124</v>
      </c>
      <c r="U110" s="106">
        <f t="shared" si="94"/>
        <v>177004</v>
      </c>
      <c r="V110" s="106">
        <f t="shared" ref="V110:W110" si="95">SUM(V111:V115)</f>
        <v>177004</v>
      </c>
      <c r="W110" s="106">
        <f t="shared" si="95"/>
        <v>177004</v>
      </c>
      <c r="X110" s="106">
        <f t="shared" si="94"/>
        <v>134056</v>
      </c>
      <c r="Y110" s="728">
        <f t="shared" si="45"/>
        <v>0.75736141556123027</v>
      </c>
      <c r="Z110" s="1"/>
    </row>
    <row r="111" spans="1:26" x14ac:dyDescent="0.25">
      <c r="A111" s="149" t="s">
        <v>111</v>
      </c>
      <c r="B111" s="150" t="s">
        <v>112</v>
      </c>
      <c r="C111" s="135">
        <v>40000</v>
      </c>
      <c r="D111" s="135">
        <v>40000</v>
      </c>
      <c r="E111" s="759">
        <f t="shared" ref="E111:W111" si="96">40000-2000</f>
        <v>38000</v>
      </c>
      <c r="F111" s="135">
        <f t="shared" si="96"/>
        <v>38000</v>
      </c>
      <c r="G111" s="135">
        <f t="shared" si="96"/>
        <v>38000</v>
      </c>
      <c r="H111" s="135">
        <f t="shared" si="96"/>
        <v>38000</v>
      </c>
      <c r="I111" s="135">
        <f t="shared" si="96"/>
        <v>38000</v>
      </c>
      <c r="J111" s="135">
        <f t="shared" si="96"/>
        <v>38000</v>
      </c>
      <c r="K111" s="135">
        <f t="shared" si="96"/>
        <v>38000</v>
      </c>
      <c r="L111" s="135">
        <f t="shared" si="96"/>
        <v>38000</v>
      </c>
      <c r="M111" s="135">
        <f t="shared" si="96"/>
        <v>38000</v>
      </c>
      <c r="N111" s="135">
        <f t="shared" si="96"/>
        <v>38000</v>
      </c>
      <c r="O111" s="135">
        <f t="shared" si="96"/>
        <v>38000</v>
      </c>
      <c r="P111" s="135">
        <f t="shared" si="96"/>
        <v>38000</v>
      </c>
      <c r="Q111" s="135">
        <f t="shared" si="96"/>
        <v>38000</v>
      </c>
      <c r="R111" s="135">
        <f t="shared" si="96"/>
        <v>38000</v>
      </c>
      <c r="S111" s="135">
        <f t="shared" si="96"/>
        <v>38000</v>
      </c>
      <c r="T111" s="135">
        <f t="shared" si="96"/>
        <v>38000</v>
      </c>
      <c r="U111" s="135">
        <f t="shared" si="96"/>
        <v>38000</v>
      </c>
      <c r="V111" s="135">
        <f t="shared" si="96"/>
        <v>38000</v>
      </c>
      <c r="W111" s="135">
        <f t="shared" si="96"/>
        <v>38000</v>
      </c>
      <c r="X111" s="135">
        <v>33261</v>
      </c>
      <c r="Y111" s="728">
        <f t="shared" si="45"/>
        <v>0.87528947368421051</v>
      </c>
      <c r="Z111" s="1"/>
    </row>
    <row r="112" spans="1:26" x14ac:dyDescent="0.25">
      <c r="A112" s="192" t="s">
        <v>113</v>
      </c>
      <c r="B112" s="193" t="s">
        <v>114</v>
      </c>
      <c r="C112" s="55">
        <v>61600</v>
      </c>
      <c r="D112" s="55">
        <v>61600</v>
      </c>
      <c r="E112" s="716">
        <f>61600+1700</f>
        <v>63300</v>
      </c>
      <c r="F112" s="55">
        <f>61600+1700</f>
        <v>63300</v>
      </c>
      <c r="G112" s="55">
        <f>61600+1700</f>
        <v>63300</v>
      </c>
      <c r="H112" s="55">
        <f>61600+1700</f>
        <v>63300</v>
      </c>
      <c r="I112" s="716">
        <f>61600+1700+2000+4000</f>
        <v>69300</v>
      </c>
      <c r="J112" s="55">
        <f>61600+1700+2000+4000</f>
        <v>69300</v>
      </c>
      <c r="K112" s="55">
        <f>61600+1700+2000+4000+3000</f>
        <v>72300</v>
      </c>
      <c r="L112" s="716">
        <f>61600+1700+2000+4000+3000+7200</f>
        <v>79500</v>
      </c>
      <c r="M112" s="55">
        <f>61600+1700+2000+4000+3000+7200</f>
        <v>79500</v>
      </c>
      <c r="N112" s="716">
        <f>61600+1700+2000+4000+3000+7200+3000</f>
        <v>82500</v>
      </c>
      <c r="O112" s="55">
        <f>61600+1700+2000+4000+3000+7200+3000</f>
        <v>82500</v>
      </c>
      <c r="P112" s="716">
        <f>61600+1700+2000+4000+3000+7200+3000+1000</f>
        <v>83500</v>
      </c>
      <c r="Q112" s="55">
        <f t="shared" ref="Q112:T112" si="97">61600+1700+2000+4000+3000+7200+3000+1000</f>
        <v>83500</v>
      </c>
      <c r="R112" s="55">
        <f t="shared" si="97"/>
        <v>83500</v>
      </c>
      <c r="S112" s="55">
        <f t="shared" si="97"/>
        <v>83500</v>
      </c>
      <c r="T112" s="55">
        <f t="shared" si="97"/>
        <v>83500</v>
      </c>
      <c r="U112" s="716">
        <f>61600+1700+2000+4000+3000+7200+3000+1000-2170+27050</f>
        <v>108380</v>
      </c>
      <c r="V112" s="55">
        <f>61600+1700+2000+4000+3000+7200+3000+1000-2170+27050</f>
        <v>108380</v>
      </c>
      <c r="W112" s="55">
        <f>61600+1700+2000+4000+3000+7200+3000+1000-2170+27050</f>
        <v>108380</v>
      </c>
      <c r="X112" s="55">
        <v>77782</v>
      </c>
      <c r="Y112" s="728">
        <f t="shared" si="45"/>
        <v>0.71767853847573349</v>
      </c>
      <c r="Z112" s="1"/>
    </row>
    <row r="113" spans="1:31" x14ac:dyDescent="0.25">
      <c r="A113" s="192" t="s">
        <v>115</v>
      </c>
      <c r="B113" s="84" t="s">
        <v>116</v>
      </c>
      <c r="C113" s="55">
        <v>5900</v>
      </c>
      <c r="D113" s="55">
        <v>5900</v>
      </c>
      <c r="E113" s="55">
        <v>5900</v>
      </c>
      <c r="F113" s="55">
        <v>5900</v>
      </c>
      <c r="G113" s="55">
        <v>5900</v>
      </c>
      <c r="H113" s="55">
        <v>5900</v>
      </c>
      <c r="I113" s="55">
        <v>5900</v>
      </c>
      <c r="J113" s="55">
        <v>5900</v>
      </c>
      <c r="K113" s="55">
        <v>5900</v>
      </c>
      <c r="L113" s="55">
        <v>5900</v>
      </c>
      <c r="M113" s="55">
        <v>5900</v>
      </c>
      <c r="N113" s="55">
        <v>5900</v>
      </c>
      <c r="O113" s="55">
        <v>5900</v>
      </c>
      <c r="P113" s="55">
        <v>5900</v>
      </c>
      <c r="Q113" s="55">
        <v>5900</v>
      </c>
      <c r="R113" s="55">
        <v>5900</v>
      </c>
      <c r="S113" s="55">
        <v>5900</v>
      </c>
      <c r="T113" s="55">
        <v>5900</v>
      </c>
      <c r="U113" s="55">
        <v>5900</v>
      </c>
      <c r="V113" s="55">
        <v>5900</v>
      </c>
      <c r="W113" s="55">
        <v>5900</v>
      </c>
      <c r="X113" s="55">
        <v>4777</v>
      </c>
      <c r="Y113" s="728">
        <f t="shared" si="45"/>
        <v>0.80966101694915249</v>
      </c>
      <c r="Z113" s="1"/>
    </row>
    <row r="114" spans="1:31" x14ac:dyDescent="0.25">
      <c r="A114" s="192" t="s">
        <v>117</v>
      </c>
      <c r="B114" s="84" t="s">
        <v>118</v>
      </c>
      <c r="C114" s="55">
        <v>22400</v>
      </c>
      <c r="D114" s="55">
        <v>22400</v>
      </c>
      <c r="E114" s="55">
        <v>22400</v>
      </c>
      <c r="F114" s="55">
        <v>22400</v>
      </c>
      <c r="G114" s="55">
        <v>22400</v>
      </c>
      <c r="H114" s="55">
        <v>22400</v>
      </c>
      <c r="I114" s="55">
        <v>22400</v>
      </c>
      <c r="J114" s="55">
        <v>22400</v>
      </c>
      <c r="K114" s="55">
        <v>22400</v>
      </c>
      <c r="L114" s="55">
        <v>22400</v>
      </c>
      <c r="M114" s="716">
        <f>22400-1000</f>
        <v>21400</v>
      </c>
      <c r="N114" s="55">
        <f>22400-1000</f>
        <v>21400</v>
      </c>
      <c r="O114" s="55">
        <f>22400-1000</f>
        <v>21400</v>
      </c>
      <c r="P114" s="55">
        <f>22400-1000</f>
        <v>21400</v>
      </c>
      <c r="Q114" s="55">
        <f t="shared" ref="Q114:W114" si="98">22400-1000</f>
        <v>21400</v>
      </c>
      <c r="R114" s="55">
        <f t="shared" si="98"/>
        <v>21400</v>
      </c>
      <c r="S114" s="55">
        <f t="shared" si="98"/>
        <v>21400</v>
      </c>
      <c r="T114" s="55">
        <f t="shared" si="98"/>
        <v>21400</v>
      </c>
      <c r="U114" s="55">
        <f t="shared" si="98"/>
        <v>21400</v>
      </c>
      <c r="V114" s="55">
        <f t="shared" si="98"/>
        <v>21400</v>
      </c>
      <c r="W114" s="55">
        <f t="shared" si="98"/>
        <v>21400</v>
      </c>
      <c r="X114" s="55">
        <v>15453</v>
      </c>
      <c r="Y114" s="728">
        <f t="shared" si="45"/>
        <v>0.72210280373831781</v>
      </c>
      <c r="Z114" s="1"/>
    </row>
    <row r="115" spans="1:31" ht="15.75" thickBot="1" x14ac:dyDescent="0.3">
      <c r="A115" s="160" t="s">
        <v>119</v>
      </c>
      <c r="B115" s="161" t="s">
        <v>120</v>
      </c>
      <c r="C115" s="182">
        <v>1800</v>
      </c>
      <c r="D115" s="182">
        <v>1800</v>
      </c>
      <c r="E115" s="764">
        <f>1800+100+500</f>
        <v>2400</v>
      </c>
      <c r="F115" s="182">
        <f>1800+100+500</f>
        <v>2400</v>
      </c>
      <c r="G115" s="182">
        <f>1800+100+500</f>
        <v>2400</v>
      </c>
      <c r="H115" s="182">
        <f>1800+100+500</f>
        <v>2400</v>
      </c>
      <c r="I115" s="182">
        <f>1800+100+500</f>
        <v>2400</v>
      </c>
      <c r="J115" s="764">
        <f t="shared" ref="J115:W115" si="99">1800+100+500+924</f>
        <v>3324</v>
      </c>
      <c r="K115" s="182">
        <f t="shared" si="99"/>
        <v>3324</v>
      </c>
      <c r="L115" s="182">
        <f t="shared" si="99"/>
        <v>3324</v>
      </c>
      <c r="M115" s="182">
        <f t="shared" si="99"/>
        <v>3324</v>
      </c>
      <c r="N115" s="182">
        <f t="shared" si="99"/>
        <v>3324</v>
      </c>
      <c r="O115" s="182">
        <f t="shared" si="99"/>
        <v>3324</v>
      </c>
      <c r="P115" s="182">
        <f t="shared" si="99"/>
        <v>3324</v>
      </c>
      <c r="Q115" s="182">
        <f t="shared" si="99"/>
        <v>3324</v>
      </c>
      <c r="R115" s="182">
        <f t="shared" si="99"/>
        <v>3324</v>
      </c>
      <c r="S115" s="182">
        <f t="shared" si="99"/>
        <v>3324</v>
      </c>
      <c r="T115" s="182">
        <f t="shared" si="99"/>
        <v>3324</v>
      </c>
      <c r="U115" s="182">
        <f t="shared" si="99"/>
        <v>3324</v>
      </c>
      <c r="V115" s="182">
        <f t="shared" si="99"/>
        <v>3324</v>
      </c>
      <c r="W115" s="182">
        <f t="shared" si="99"/>
        <v>3324</v>
      </c>
      <c r="X115" s="182">
        <v>2783</v>
      </c>
      <c r="Y115" s="728">
        <f t="shared" si="45"/>
        <v>0.83724428399518647</v>
      </c>
      <c r="Z115" s="1"/>
    </row>
    <row r="116" spans="1:31" ht="15.75" thickBot="1" x14ac:dyDescent="0.3">
      <c r="A116" s="125" t="s">
        <v>121</v>
      </c>
      <c r="B116" s="126"/>
      <c r="C116" s="106">
        <f t="shared" ref="C116:J116" si="100">SUM(C117:C124)</f>
        <v>394150</v>
      </c>
      <c r="D116" s="106">
        <f t="shared" si="100"/>
        <v>393973</v>
      </c>
      <c r="E116" s="106">
        <f t="shared" si="100"/>
        <v>402673</v>
      </c>
      <c r="F116" s="106">
        <f t="shared" si="100"/>
        <v>406536</v>
      </c>
      <c r="G116" s="106">
        <f t="shared" si="100"/>
        <v>411836</v>
      </c>
      <c r="H116" s="106">
        <f t="shared" si="100"/>
        <v>411836</v>
      </c>
      <c r="I116" s="106">
        <f t="shared" si="100"/>
        <v>413558</v>
      </c>
      <c r="J116" s="106">
        <f t="shared" si="100"/>
        <v>413558</v>
      </c>
      <c r="K116" s="106">
        <f t="shared" ref="K116:U116" si="101">SUM(K117:K124)</f>
        <v>421185</v>
      </c>
      <c r="L116" s="106">
        <f t="shared" si="101"/>
        <v>421185</v>
      </c>
      <c r="M116" s="106">
        <f t="shared" si="101"/>
        <v>421185</v>
      </c>
      <c r="N116" s="106">
        <f t="shared" si="101"/>
        <v>421185</v>
      </c>
      <c r="O116" s="106">
        <f t="shared" si="101"/>
        <v>424248</v>
      </c>
      <c r="P116" s="106">
        <f t="shared" si="101"/>
        <v>424248</v>
      </c>
      <c r="Q116" s="106">
        <f t="shared" si="101"/>
        <v>424248</v>
      </c>
      <c r="R116" s="106">
        <f t="shared" si="101"/>
        <v>427522</v>
      </c>
      <c r="S116" s="106">
        <f t="shared" si="101"/>
        <v>436550</v>
      </c>
      <c r="T116" s="106">
        <f t="shared" si="101"/>
        <v>436550</v>
      </c>
      <c r="U116" s="106">
        <f t="shared" si="101"/>
        <v>436900</v>
      </c>
      <c r="V116" s="106">
        <f t="shared" ref="V116:W116" si="102">SUM(V117:V124)</f>
        <v>436900</v>
      </c>
      <c r="W116" s="106">
        <f t="shared" si="102"/>
        <v>440524</v>
      </c>
      <c r="X116" s="106">
        <f>SUM(X117:X124)</f>
        <v>359112</v>
      </c>
      <c r="Y116" s="728">
        <f t="shared" si="45"/>
        <v>0.81519281582842251</v>
      </c>
      <c r="Z116" s="1"/>
      <c r="AA116" s="27"/>
      <c r="AB116" s="27"/>
    </row>
    <row r="117" spans="1:31" x14ac:dyDescent="0.25">
      <c r="A117" s="196" t="s">
        <v>122</v>
      </c>
      <c r="B117" s="197" t="s">
        <v>123</v>
      </c>
      <c r="C117" s="201">
        <v>200400</v>
      </c>
      <c r="D117" s="715">
        <f>200400+3</f>
        <v>200403</v>
      </c>
      <c r="E117" s="715">
        <f>200400+3+5000</f>
        <v>205403</v>
      </c>
      <c r="F117" s="715">
        <f>200400+3+5000+3863</f>
        <v>209266</v>
      </c>
      <c r="G117" s="201">
        <f>200400+3+5000+3863</f>
        <v>209266</v>
      </c>
      <c r="H117" s="201">
        <f>200400+3+5000+3863</f>
        <v>209266</v>
      </c>
      <c r="I117" s="715">
        <f>200400+3+5000+3863+1722</f>
        <v>210988</v>
      </c>
      <c r="J117" s="201">
        <f>200400+3+5000+3863+1722</f>
        <v>210988</v>
      </c>
      <c r="K117" s="715">
        <f>200400+3+5000+3863+1722+7627</f>
        <v>218615</v>
      </c>
      <c r="L117" s="201">
        <f>200400+3+5000+3863+1722+7627</f>
        <v>218615</v>
      </c>
      <c r="M117" s="201">
        <f>200400+3+5000+3863+1722+7627</f>
        <v>218615</v>
      </c>
      <c r="N117" s="201">
        <f>200400+3+5000+3863+1722+7627</f>
        <v>218615</v>
      </c>
      <c r="O117" s="715">
        <f>200400+3+5000+3863+1722+7627+3063</f>
        <v>221678</v>
      </c>
      <c r="P117" s="201">
        <f>200400+3+5000+3863+1722+7627+3063</f>
        <v>221678</v>
      </c>
      <c r="Q117" s="201">
        <f t="shared" ref="Q117" si="103">200400+3+5000+3863+1722+7627+3063</f>
        <v>221678</v>
      </c>
      <c r="R117" s="715">
        <f>200400+3+5000+3863+1722+7627+3063+3274</f>
        <v>224952</v>
      </c>
      <c r="S117" s="715">
        <f>200400+3+5000+3863+1722+7627+3063+3274+7467</f>
        <v>232419</v>
      </c>
      <c r="T117" s="201">
        <f>200400+3+5000+3863+1722+7627+3063+3274+7467</f>
        <v>232419</v>
      </c>
      <c r="U117" s="715">
        <f>200400+3+5000+3863+1722+7627+3063+3274+7467+350</f>
        <v>232769</v>
      </c>
      <c r="V117" s="201">
        <f>200400+3+5000+3863+1722+7627+3063+3274+7467+350</f>
        <v>232769</v>
      </c>
      <c r="W117" s="715">
        <f>200400+3+5000+3863+1722+7627+3063+3274+7467+350+2204</f>
        <v>234973</v>
      </c>
      <c r="X117" s="201">
        <v>212172</v>
      </c>
      <c r="Y117" s="728">
        <f t="shared" si="45"/>
        <v>0.90296331918986439</v>
      </c>
      <c r="Z117" s="1"/>
    </row>
    <row r="118" spans="1:31" x14ac:dyDescent="0.25">
      <c r="A118" s="578" t="s">
        <v>124</v>
      </c>
      <c r="B118" s="142" t="s">
        <v>340</v>
      </c>
      <c r="C118" s="56">
        <v>0</v>
      </c>
      <c r="D118" s="56">
        <v>0</v>
      </c>
      <c r="E118" s="56">
        <v>0</v>
      </c>
      <c r="F118" s="56">
        <v>0</v>
      </c>
      <c r="G118" s="56">
        <v>0</v>
      </c>
      <c r="H118" s="56">
        <v>0</v>
      </c>
      <c r="I118" s="56">
        <v>0</v>
      </c>
      <c r="J118" s="56">
        <v>0</v>
      </c>
      <c r="K118" s="56">
        <v>0</v>
      </c>
      <c r="L118" s="56">
        <v>0</v>
      </c>
      <c r="M118" s="56">
        <v>0</v>
      </c>
      <c r="N118" s="56">
        <v>0</v>
      </c>
      <c r="O118" s="56">
        <v>0</v>
      </c>
      <c r="P118" s="56">
        <v>0</v>
      </c>
      <c r="Q118" s="56">
        <v>0</v>
      </c>
      <c r="R118" s="56">
        <v>0</v>
      </c>
      <c r="S118" s="56">
        <v>0</v>
      </c>
      <c r="T118" s="56">
        <v>0</v>
      </c>
      <c r="U118" s="56">
        <v>0</v>
      </c>
      <c r="V118" s="56">
        <v>0</v>
      </c>
      <c r="W118" s="705">
        <v>1720</v>
      </c>
      <c r="X118" s="56">
        <v>1720</v>
      </c>
      <c r="Y118" s="728">
        <f t="shared" si="45"/>
        <v>1</v>
      </c>
      <c r="Z118" s="1"/>
    </row>
    <row r="119" spans="1:31" x14ac:dyDescent="0.25">
      <c r="A119" s="202" t="s">
        <v>125</v>
      </c>
      <c r="B119" s="203" t="s">
        <v>512</v>
      </c>
      <c r="C119" s="61">
        <v>6500</v>
      </c>
      <c r="D119" s="61">
        <v>6500</v>
      </c>
      <c r="E119" s="695">
        <f>6500+3700</f>
        <v>10200</v>
      </c>
      <c r="F119" s="61">
        <f>6500+3700</f>
        <v>10200</v>
      </c>
      <c r="G119" s="695">
        <f t="shared" ref="G119:W119" si="104">6500+3700+5300</f>
        <v>15500</v>
      </c>
      <c r="H119" s="61">
        <f t="shared" si="104"/>
        <v>15500</v>
      </c>
      <c r="I119" s="61">
        <f t="shared" si="104"/>
        <v>15500</v>
      </c>
      <c r="J119" s="61">
        <f t="shared" si="104"/>
        <v>15500</v>
      </c>
      <c r="K119" s="61">
        <f t="shared" si="104"/>
        <v>15500</v>
      </c>
      <c r="L119" s="61">
        <f t="shared" si="104"/>
        <v>15500</v>
      </c>
      <c r="M119" s="61">
        <f t="shared" si="104"/>
        <v>15500</v>
      </c>
      <c r="N119" s="61">
        <f t="shared" si="104"/>
        <v>15500</v>
      </c>
      <c r="O119" s="61">
        <f t="shared" si="104"/>
        <v>15500</v>
      </c>
      <c r="P119" s="61">
        <f t="shared" si="104"/>
        <v>15500</v>
      </c>
      <c r="Q119" s="61">
        <f t="shared" si="104"/>
        <v>15500</v>
      </c>
      <c r="R119" s="61">
        <f t="shared" si="104"/>
        <v>15500</v>
      </c>
      <c r="S119" s="61">
        <f t="shared" si="104"/>
        <v>15500</v>
      </c>
      <c r="T119" s="61">
        <f t="shared" si="104"/>
        <v>15500</v>
      </c>
      <c r="U119" s="61">
        <f t="shared" si="104"/>
        <v>15500</v>
      </c>
      <c r="V119" s="61">
        <f t="shared" si="104"/>
        <v>15500</v>
      </c>
      <c r="W119" s="61">
        <f t="shared" si="104"/>
        <v>15500</v>
      </c>
      <c r="X119" s="61">
        <v>9722</v>
      </c>
      <c r="Y119" s="728">
        <f t="shared" si="45"/>
        <v>0.62722580645161286</v>
      </c>
      <c r="Z119" s="1"/>
    </row>
    <row r="120" spans="1:31" x14ac:dyDescent="0.25">
      <c r="A120" s="202" t="s">
        <v>127</v>
      </c>
      <c r="B120" s="203" t="s">
        <v>128</v>
      </c>
      <c r="C120" s="61">
        <v>36200</v>
      </c>
      <c r="D120" s="61">
        <v>36200</v>
      </c>
      <c r="E120" s="61">
        <v>36200</v>
      </c>
      <c r="F120" s="61">
        <v>36200</v>
      </c>
      <c r="G120" s="61">
        <v>36200</v>
      </c>
      <c r="H120" s="61">
        <v>36200</v>
      </c>
      <c r="I120" s="61">
        <v>36200</v>
      </c>
      <c r="J120" s="61">
        <v>36200</v>
      </c>
      <c r="K120" s="61">
        <v>36200</v>
      </c>
      <c r="L120" s="61">
        <v>36200</v>
      </c>
      <c r="M120" s="61">
        <v>36200</v>
      </c>
      <c r="N120" s="61">
        <v>36200</v>
      </c>
      <c r="O120" s="61">
        <v>36200</v>
      </c>
      <c r="P120" s="61">
        <v>36200</v>
      </c>
      <c r="Q120" s="61">
        <v>36200</v>
      </c>
      <c r="R120" s="61">
        <v>36200</v>
      </c>
      <c r="S120" s="61">
        <v>36200</v>
      </c>
      <c r="T120" s="61">
        <v>36200</v>
      </c>
      <c r="U120" s="61">
        <v>36200</v>
      </c>
      <c r="V120" s="61">
        <v>36200</v>
      </c>
      <c r="W120" s="61">
        <v>36200</v>
      </c>
      <c r="X120" s="61">
        <v>27611</v>
      </c>
      <c r="Y120" s="728">
        <f t="shared" si="45"/>
        <v>0.76273480662983428</v>
      </c>
      <c r="Z120" s="1"/>
    </row>
    <row r="121" spans="1:31" x14ac:dyDescent="0.25">
      <c r="A121" s="202" t="s">
        <v>129</v>
      </c>
      <c r="B121" s="203" t="s">
        <v>130</v>
      </c>
      <c r="C121" s="60">
        <v>53850</v>
      </c>
      <c r="D121" s="60">
        <v>53850</v>
      </c>
      <c r="E121" s="60">
        <v>53850</v>
      </c>
      <c r="F121" s="60">
        <v>53850</v>
      </c>
      <c r="G121" s="60">
        <v>53850</v>
      </c>
      <c r="H121" s="60">
        <v>53850</v>
      </c>
      <c r="I121" s="60">
        <v>53850</v>
      </c>
      <c r="J121" s="60">
        <v>53850</v>
      </c>
      <c r="K121" s="60">
        <v>53850</v>
      </c>
      <c r="L121" s="60">
        <v>53850</v>
      </c>
      <c r="M121" s="60">
        <v>53850</v>
      </c>
      <c r="N121" s="60">
        <v>53850</v>
      </c>
      <c r="O121" s="60">
        <v>53850</v>
      </c>
      <c r="P121" s="60">
        <v>53850</v>
      </c>
      <c r="Q121" s="60">
        <v>53850</v>
      </c>
      <c r="R121" s="60">
        <v>53850</v>
      </c>
      <c r="S121" s="60">
        <v>53850</v>
      </c>
      <c r="T121" s="60">
        <v>53850</v>
      </c>
      <c r="U121" s="60">
        <v>53850</v>
      </c>
      <c r="V121" s="60">
        <v>53850</v>
      </c>
      <c r="W121" s="60">
        <v>53850</v>
      </c>
      <c r="X121" s="60">
        <v>33219</v>
      </c>
      <c r="Y121" s="728">
        <f t="shared" si="45"/>
        <v>0.61688022284122568</v>
      </c>
      <c r="Z121" s="1"/>
      <c r="AA121" s="381"/>
      <c r="AB121" s="381"/>
      <c r="AE121" s="475"/>
    </row>
    <row r="122" spans="1:31" x14ac:dyDescent="0.25">
      <c r="A122" s="202" t="s">
        <v>131</v>
      </c>
      <c r="B122" s="203" t="s">
        <v>888</v>
      </c>
      <c r="C122" s="60">
        <v>94600</v>
      </c>
      <c r="D122" s="694">
        <f t="shared" ref="D122:R122" si="105">94600-160</f>
        <v>94440</v>
      </c>
      <c r="E122" s="60">
        <f t="shared" si="105"/>
        <v>94440</v>
      </c>
      <c r="F122" s="60">
        <f t="shared" si="105"/>
        <v>94440</v>
      </c>
      <c r="G122" s="60">
        <f t="shared" si="105"/>
        <v>94440</v>
      </c>
      <c r="H122" s="60">
        <f t="shared" si="105"/>
        <v>94440</v>
      </c>
      <c r="I122" s="60">
        <f t="shared" si="105"/>
        <v>94440</v>
      </c>
      <c r="J122" s="60">
        <f t="shared" si="105"/>
        <v>94440</v>
      </c>
      <c r="K122" s="60">
        <f t="shared" si="105"/>
        <v>94440</v>
      </c>
      <c r="L122" s="60">
        <f t="shared" si="105"/>
        <v>94440</v>
      </c>
      <c r="M122" s="60">
        <f t="shared" si="105"/>
        <v>94440</v>
      </c>
      <c r="N122" s="60">
        <f t="shared" si="105"/>
        <v>94440</v>
      </c>
      <c r="O122" s="60">
        <f t="shared" si="105"/>
        <v>94440</v>
      </c>
      <c r="P122" s="60">
        <f t="shared" si="105"/>
        <v>94440</v>
      </c>
      <c r="Q122" s="60">
        <f t="shared" si="105"/>
        <v>94440</v>
      </c>
      <c r="R122" s="60">
        <f t="shared" si="105"/>
        <v>94440</v>
      </c>
      <c r="S122" s="694">
        <f>94600-160+1561</f>
        <v>96001</v>
      </c>
      <c r="T122" s="60">
        <f>94600-160+1561</f>
        <v>96001</v>
      </c>
      <c r="U122" s="60">
        <f>94600-160+1561</f>
        <v>96001</v>
      </c>
      <c r="V122" s="60">
        <f>94600-160+1561</f>
        <v>96001</v>
      </c>
      <c r="W122" s="60">
        <f>94600-160+1561</f>
        <v>96001</v>
      </c>
      <c r="X122" s="60">
        <v>73235</v>
      </c>
      <c r="Y122" s="728">
        <f t="shared" si="45"/>
        <v>0.76285663691003214</v>
      </c>
      <c r="Z122" s="27">
        <f>SUM(T120:T122)</f>
        <v>186051</v>
      </c>
      <c r="AA122" s="27">
        <f>SUM(X120:X122)</f>
        <v>134065</v>
      </c>
      <c r="AB122" s="27"/>
    </row>
    <row r="123" spans="1:31" x14ac:dyDescent="0.25">
      <c r="A123" s="204" t="s">
        <v>132</v>
      </c>
      <c r="B123" s="203" t="s">
        <v>309</v>
      </c>
      <c r="C123" s="208">
        <v>1300</v>
      </c>
      <c r="D123" s="208">
        <v>1300</v>
      </c>
      <c r="E123" s="208">
        <v>1300</v>
      </c>
      <c r="F123" s="208">
        <v>1300</v>
      </c>
      <c r="G123" s="208">
        <v>1300</v>
      </c>
      <c r="H123" s="208">
        <v>1300</v>
      </c>
      <c r="I123" s="208">
        <v>1300</v>
      </c>
      <c r="J123" s="208">
        <v>1300</v>
      </c>
      <c r="K123" s="208">
        <v>1300</v>
      </c>
      <c r="L123" s="208">
        <v>1300</v>
      </c>
      <c r="M123" s="208">
        <v>1300</v>
      </c>
      <c r="N123" s="208">
        <v>1300</v>
      </c>
      <c r="O123" s="208">
        <v>1300</v>
      </c>
      <c r="P123" s="208">
        <v>1300</v>
      </c>
      <c r="Q123" s="208">
        <v>1300</v>
      </c>
      <c r="R123" s="208">
        <v>1300</v>
      </c>
      <c r="S123" s="208">
        <v>1300</v>
      </c>
      <c r="T123" s="208">
        <v>1300</v>
      </c>
      <c r="U123" s="208">
        <v>1300</v>
      </c>
      <c r="V123" s="208">
        <v>1300</v>
      </c>
      <c r="W123" s="208">
        <v>1300</v>
      </c>
      <c r="X123" s="208">
        <v>482</v>
      </c>
      <c r="Y123" s="728">
        <f t="shared" si="45"/>
        <v>0.3707692307692308</v>
      </c>
      <c r="Z123" s="1"/>
    </row>
    <row r="124" spans="1:31" ht="15.75" thickBot="1" x14ac:dyDescent="0.3">
      <c r="A124" s="202" t="s">
        <v>133</v>
      </c>
      <c r="B124" s="203" t="s">
        <v>207</v>
      </c>
      <c r="C124" s="208">
        <v>1300</v>
      </c>
      <c r="D124" s="723">
        <f t="shared" ref="D124:V124" si="106">1300-20</f>
        <v>1280</v>
      </c>
      <c r="E124" s="208">
        <f t="shared" si="106"/>
        <v>1280</v>
      </c>
      <c r="F124" s="208">
        <f t="shared" si="106"/>
        <v>1280</v>
      </c>
      <c r="G124" s="208">
        <f t="shared" si="106"/>
        <v>1280</v>
      </c>
      <c r="H124" s="208">
        <f t="shared" si="106"/>
        <v>1280</v>
      </c>
      <c r="I124" s="208">
        <f t="shared" si="106"/>
        <v>1280</v>
      </c>
      <c r="J124" s="208">
        <f t="shared" si="106"/>
        <v>1280</v>
      </c>
      <c r="K124" s="208">
        <f t="shared" si="106"/>
        <v>1280</v>
      </c>
      <c r="L124" s="208">
        <f t="shared" si="106"/>
        <v>1280</v>
      </c>
      <c r="M124" s="208">
        <f t="shared" si="106"/>
        <v>1280</v>
      </c>
      <c r="N124" s="208">
        <f t="shared" si="106"/>
        <v>1280</v>
      </c>
      <c r="O124" s="208">
        <f t="shared" si="106"/>
        <v>1280</v>
      </c>
      <c r="P124" s="208">
        <f t="shared" si="106"/>
        <v>1280</v>
      </c>
      <c r="Q124" s="208">
        <f t="shared" si="106"/>
        <v>1280</v>
      </c>
      <c r="R124" s="208">
        <f t="shared" si="106"/>
        <v>1280</v>
      </c>
      <c r="S124" s="208">
        <f t="shared" si="106"/>
        <v>1280</v>
      </c>
      <c r="T124" s="208">
        <f t="shared" si="106"/>
        <v>1280</v>
      </c>
      <c r="U124" s="208">
        <f t="shared" si="106"/>
        <v>1280</v>
      </c>
      <c r="V124" s="208">
        <f t="shared" si="106"/>
        <v>1280</v>
      </c>
      <c r="W124" s="723">
        <f>1300-20-300</f>
        <v>980</v>
      </c>
      <c r="X124" s="208">
        <v>951</v>
      </c>
      <c r="Y124" s="728">
        <f t="shared" si="45"/>
        <v>0.9704081632653061</v>
      </c>
      <c r="Z124" s="1"/>
    </row>
    <row r="125" spans="1:31" ht="15.75" thickBot="1" x14ac:dyDescent="0.3">
      <c r="A125" s="104" t="s">
        <v>134</v>
      </c>
      <c r="B125" s="105"/>
      <c r="C125" s="108">
        <f t="shared" ref="C125:X125" si="107">SUM(C126:C130)</f>
        <v>482770</v>
      </c>
      <c r="D125" s="108">
        <f t="shared" si="107"/>
        <v>485270</v>
      </c>
      <c r="E125" s="108">
        <f t="shared" si="107"/>
        <v>485270</v>
      </c>
      <c r="F125" s="108">
        <f t="shared" si="107"/>
        <v>485270</v>
      </c>
      <c r="G125" s="108">
        <f t="shared" si="107"/>
        <v>485270</v>
      </c>
      <c r="H125" s="108">
        <f t="shared" si="107"/>
        <v>485270</v>
      </c>
      <c r="I125" s="108">
        <f t="shared" si="107"/>
        <v>485850</v>
      </c>
      <c r="J125" s="108">
        <f t="shared" si="107"/>
        <v>485850</v>
      </c>
      <c r="K125" s="108">
        <f t="shared" si="107"/>
        <v>485850</v>
      </c>
      <c r="L125" s="108">
        <f t="shared" si="107"/>
        <v>481850</v>
      </c>
      <c r="M125" s="108">
        <f t="shared" si="107"/>
        <v>481850</v>
      </c>
      <c r="N125" s="108">
        <f t="shared" si="107"/>
        <v>490190</v>
      </c>
      <c r="O125" s="108">
        <f t="shared" si="107"/>
        <v>490190</v>
      </c>
      <c r="P125" s="108">
        <f t="shared" si="107"/>
        <v>490790</v>
      </c>
      <c r="Q125" s="108">
        <f t="shared" si="107"/>
        <v>490790</v>
      </c>
      <c r="R125" s="108">
        <f t="shared" si="107"/>
        <v>490790</v>
      </c>
      <c r="S125" s="108">
        <f t="shared" si="107"/>
        <v>490790</v>
      </c>
      <c r="T125" s="108">
        <f t="shared" si="107"/>
        <v>490790</v>
      </c>
      <c r="U125" s="108">
        <f t="shared" si="107"/>
        <v>495595</v>
      </c>
      <c r="V125" s="108">
        <f t="shared" ref="V125:W125" si="108">SUM(V126:V130)</f>
        <v>495595</v>
      </c>
      <c r="W125" s="108">
        <f t="shared" si="108"/>
        <v>506735</v>
      </c>
      <c r="X125" s="108">
        <f t="shared" si="107"/>
        <v>389533</v>
      </c>
      <c r="Y125" s="728">
        <f t="shared" si="45"/>
        <v>0.76871145667854002</v>
      </c>
      <c r="Z125" s="1"/>
    </row>
    <row r="126" spans="1:31" x14ac:dyDescent="0.25">
      <c r="A126" s="192" t="s">
        <v>135</v>
      </c>
      <c r="B126" s="84" t="s">
        <v>220</v>
      </c>
      <c r="C126" s="55">
        <v>392070</v>
      </c>
      <c r="D126" s="716">
        <f t="shared" ref="D126:K126" si="109">392070-1998</f>
        <v>390072</v>
      </c>
      <c r="E126" s="55">
        <f t="shared" si="109"/>
        <v>390072</v>
      </c>
      <c r="F126" s="55">
        <f t="shared" si="109"/>
        <v>390072</v>
      </c>
      <c r="G126" s="55">
        <f t="shared" si="109"/>
        <v>390072</v>
      </c>
      <c r="H126" s="55">
        <f t="shared" si="109"/>
        <v>390072</v>
      </c>
      <c r="I126" s="55">
        <f t="shared" si="109"/>
        <v>390072</v>
      </c>
      <c r="J126" s="55">
        <f t="shared" si="109"/>
        <v>390072</v>
      </c>
      <c r="K126" s="55">
        <f t="shared" si="109"/>
        <v>390072</v>
      </c>
      <c r="L126" s="716">
        <f>392070-1998-4000</f>
        <v>386072</v>
      </c>
      <c r="M126" s="55">
        <f>392070-1998-4000</f>
        <v>386072</v>
      </c>
      <c r="N126" s="716">
        <f>392070-1998-4000+7770</f>
        <v>393842</v>
      </c>
      <c r="O126" s="55">
        <f>392070-1998-4000+7770</f>
        <v>393842</v>
      </c>
      <c r="P126" s="716">
        <f>392070-1998-4000+7770+2000-2000</f>
        <v>393842</v>
      </c>
      <c r="Q126" s="716">
        <f>392070-1998-4000+7770+2000-2000-14300+14300</f>
        <v>393842</v>
      </c>
      <c r="R126" s="55">
        <f>392070-1998-4000+7770+2000-2000-14300+14300</f>
        <v>393842</v>
      </c>
      <c r="S126" s="55">
        <f>392070-1998-4000+7770+2000-2000-14300+14300</f>
        <v>393842</v>
      </c>
      <c r="T126" s="55">
        <f>392070-1998-4000+7770+2000-2000-14300+14300</f>
        <v>393842</v>
      </c>
      <c r="U126" s="716">
        <f>392070-1998-4000+7770+2000-2000-14300+14300+4805</f>
        <v>398647</v>
      </c>
      <c r="V126" s="55">
        <f>392070-1998-4000+7770+2000-2000-14300+14300+4805</f>
        <v>398647</v>
      </c>
      <c r="W126" s="716">
        <f>392070-1998-4000+7770+2000-2000-14300+14300+4805+11440</f>
        <v>410087</v>
      </c>
      <c r="X126" s="55">
        <v>314369</v>
      </c>
      <c r="Y126" s="728">
        <f t="shared" si="45"/>
        <v>0.76659099166762179</v>
      </c>
      <c r="Z126" s="1"/>
    </row>
    <row r="127" spans="1:31" x14ac:dyDescent="0.25">
      <c r="A127" s="192" t="s">
        <v>136</v>
      </c>
      <c r="B127" s="84" t="s">
        <v>137</v>
      </c>
      <c r="C127" s="55">
        <v>73400</v>
      </c>
      <c r="D127" s="716">
        <f t="shared" ref="D127:H127" si="110">73400+3781</f>
        <v>77181</v>
      </c>
      <c r="E127" s="55">
        <f t="shared" si="110"/>
        <v>77181</v>
      </c>
      <c r="F127" s="55">
        <f t="shared" si="110"/>
        <v>77181</v>
      </c>
      <c r="G127" s="55">
        <f t="shared" si="110"/>
        <v>77181</v>
      </c>
      <c r="H127" s="55">
        <f t="shared" si="110"/>
        <v>77181</v>
      </c>
      <c r="I127" s="716">
        <f t="shared" ref="I127:O127" si="111">73400+3781+580</f>
        <v>77761</v>
      </c>
      <c r="J127" s="55">
        <f t="shared" si="111"/>
        <v>77761</v>
      </c>
      <c r="K127" s="55">
        <f t="shared" si="111"/>
        <v>77761</v>
      </c>
      <c r="L127" s="55">
        <f t="shared" si="111"/>
        <v>77761</v>
      </c>
      <c r="M127" s="55">
        <f t="shared" si="111"/>
        <v>77761</v>
      </c>
      <c r="N127" s="55">
        <f t="shared" si="111"/>
        <v>77761</v>
      </c>
      <c r="O127" s="55">
        <f t="shared" si="111"/>
        <v>77761</v>
      </c>
      <c r="P127" s="716">
        <f>73400+3781+580+600</f>
        <v>78361</v>
      </c>
      <c r="Q127" s="55">
        <f t="shared" ref="Q127:V127" si="112">73400+3781+580+600</f>
        <v>78361</v>
      </c>
      <c r="R127" s="55">
        <f t="shared" si="112"/>
        <v>78361</v>
      </c>
      <c r="S127" s="55">
        <f t="shared" si="112"/>
        <v>78361</v>
      </c>
      <c r="T127" s="55">
        <f t="shared" si="112"/>
        <v>78361</v>
      </c>
      <c r="U127" s="55">
        <f t="shared" si="112"/>
        <v>78361</v>
      </c>
      <c r="V127" s="55">
        <f t="shared" si="112"/>
        <v>78361</v>
      </c>
      <c r="W127" s="716">
        <f>73400+3781+580+600-300</f>
        <v>78061</v>
      </c>
      <c r="X127" s="55">
        <v>59502</v>
      </c>
      <c r="Y127" s="728">
        <f t="shared" si="45"/>
        <v>0.76225003522885948</v>
      </c>
      <c r="Z127" s="1"/>
    </row>
    <row r="128" spans="1:31" x14ac:dyDescent="0.25">
      <c r="A128" s="117" t="s">
        <v>138</v>
      </c>
      <c r="B128" s="114" t="s">
        <v>139</v>
      </c>
      <c r="C128" s="60">
        <v>16300</v>
      </c>
      <c r="D128" s="694">
        <f t="shared" ref="D128:M128" si="113">16300+717</f>
        <v>17017</v>
      </c>
      <c r="E128" s="60">
        <f t="shared" si="113"/>
        <v>17017</v>
      </c>
      <c r="F128" s="60">
        <f t="shared" si="113"/>
        <v>17017</v>
      </c>
      <c r="G128" s="60">
        <f t="shared" si="113"/>
        <v>17017</v>
      </c>
      <c r="H128" s="60">
        <f t="shared" si="113"/>
        <v>17017</v>
      </c>
      <c r="I128" s="60">
        <f t="shared" si="113"/>
        <v>17017</v>
      </c>
      <c r="J128" s="60">
        <f t="shared" si="113"/>
        <v>17017</v>
      </c>
      <c r="K128" s="60">
        <f t="shared" si="113"/>
        <v>17017</v>
      </c>
      <c r="L128" s="60">
        <f t="shared" si="113"/>
        <v>17017</v>
      </c>
      <c r="M128" s="60">
        <f t="shared" si="113"/>
        <v>17017</v>
      </c>
      <c r="N128" s="694">
        <f>16300+717+570</f>
        <v>17587</v>
      </c>
      <c r="O128" s="60">
        <f>16300+717+570</f>
        <v>17587</v>
      </c>
      <c r="P128" s="60">
        <f>16300+717+570</f>
        <v>17587</v>
      </c>
      <c r="Q128" s="60">
        <f t="shared" ref="Q128:W128" si="114">16300+717+570</f>
        <v>17587</v>
      </c>
      <c r="R128" s="60">
        <f t="shared" si="114"/>
        <v>17587</v>
      </c>
      <c r="S128" s="60">
        <f t="shared" si="114"/>
        <v>17587</v>
      </c>
      <c r="T128" s="60">
        <f t="shared" si="114"/>
        <v>17587</v>
      </c>
      <c r="U128" s="60">
        <f t="shared" si="114"/>
        <v>17587</v>
      </c>
      <c r="V128" s="60">
        <f t="shared" si="114"/>
        <v>17587</v>
      </c>
      <c r="W128" s="60">
        <f t="shared" si="114"/>
        <v>17587</v>
      </c>
      <c r="X128" s="60">
        <v>15662</v>
      </c>
      <c r="Y128" s="728">
        <f t="shared" si="45"/>
        <v>0.89054415193040315</v>
      </c>
      <c r="Z128" s="1"/>
    </row>
    <row r="129" spans="1:45" x14ac:dyDescent="0.25">
      <c r="A129" s="117" t="s">
        <v>140</v>
      </c>
      <c r="B129" s="114" t="s">
        <v>141</v>
      </c>
      <c r="C129" s="60">
        <v>500</v>
      </c>
      <c r="D129" s="60">
        <v>500</v>
      </c>
      <c r="E129" s="60">
        <v>500</v>
      </c>
      <c r="F129" s="60">
        <v>500</v>
      </c>
      <c r="G129" s="60">
        <v>500</v>
      </c>
      <c r="H129" s="60">
        <v>500</v>
      </c>
      <c r="I129" s="60">
        <v>500</v>
      </c>
      <c r="J129" s="60">
        <v>500</v>
      </c>
      <c r="K129" s="60">
        <v>500</v>
      </c>
      <c r="L129" s="60">
        <v>500</v>
      </c>
      <c r="M129" s="60">
        <v>500</v>
      </c>
      <c r="N129" s="60">
        <v>500</v>
      </c>
      <c r="O129" s="60">
        <v>500</v>
      </c>
      <c r="P129" s="60">
        <v>500</v>
      </c>
      <c r="Q129" s="60">
        <v>500</v>
      </c>
      <c r="R129" s="60">
        <v>500</v>
      </c>
      <c r="S129" s="60">
        <v>500</v>
      </c>
      <c r="T129" s="60">
        <v>500</v>
      </c>
      <c r="U129" s="60">
        <v>500</v>
      </c>
      <c r="V129" s="60">
        <v>500</v>
      </c>
      <c r="W129" s="60">
        <v>500</v>
      </c>
      <c r="X129" s="60">
        <v>0</v>
      </c>
      <c r="Y129" s="728">
        <f t="shared" si="45"/>
        <v>0</v>
      </c>
      <c r="Z129" s="1"/>
    </row>
    <row r="130" spans="1:45" ht="15.75" thickBot="1" x14ac:dyDescent="0.3">
      <c r="A130" s="160" t="s">
        <v>142</v>
      </c>
      <c r="B130" s="161" t="s">
        <v>143</v>
      </c>
      <c r="C130" s="182">
        <v>500</v>
      </c>
      <c r="D130" s="182">
        <v>500</v>
      </c>
      <c r="E130" s="182">
        <v>500</v>
      </c>
      <c r="F130" s="182">
        <v>500</v>
      </c>
      <c r="G130" s="182">
        <v>500</v>
      </c>
      <c r="H130" s="182">
        <v>500</v>
      </c>
      <c r="I130" s="182">
        <v>500</v>
      </c>
      <c r="J130" s="182">
        <v>500</v>
      </c>
      <c r="K130" s="182">
        <v>500</v>
      </c>
      <c r="L130" s="182">
        <v>500</v>
      </c>
      <c r="M130" s="182">
        <v>500</v>
      </c>
      <c r="N130" s="182">
        <v>500</v>
      </c>
      <c r="O130" s="182">
        <v>500</v>
      </c>
      <c r="P130" s="182">
        <v>500</v>
      </c>
      <c r="Q130" s="182">
        <v>500</v>
      </c>
      <c r="R130" s="182">
        <v>500</v>
      </c>
      <c r="S130" s="182">
        <v>500</v>
      </c>
      <c r="T130" s="182">
        <v>500</v>
      </c>
      <c r="U130" s="182">
        <v>500</v>
      </c>
      <c r="V130" s="182">
        <v>500</v>
      </c>
      <c r="W130" s="182">
        <v>500</v>
      </c>
      <c r="X130" s="182">
        <v>0</v>
      </c>
      <c r="Y130" s="728">
        <f t="shared" si="45"/>
        <v>0</v>
      </c>
      <c r="Z130" s="1"/>
      <c r="AA130" s="27"/>
      <c r="AB130" s="27"/>
    </row>
    <row r="131" spans="1:45" ht="24.75" customHeight="1" thickBot="1" x14ac:dyDescent="0.3">
      <c r="A131" s="209" t="s">
        <v>144</v>
      </c>
      <c r="B131" s="172"/>
      <c r="C131" s="212">
        <f t="shared" ref="C131:X131" si="115">SUM(C81+C87+C89+C92+C96+C101+C106+C110+C116+C125)</f>
        <v>1919385</v>
      </c>
      <c r="D131" s="212">
        <f t="shared" si="115"/>
        <v>1922156</v>
      </c>
      <c r="E131" s="212">
        <f t="shared" si="115"/>
        <v>1939266</v>
      </c>
      <c r="F131" s="212">
        <f t="shared" si="115"/>
        <v>1943129</v>
      </c>
      <c r="G131" s="212">
        <f t="shared" si="115"/>
        <v>1943129</v>
      </c>
      <c r="H131" s="212">
        <f t="shared" si="115"/>
        <v>1943129</v>
      </c>
      <c r="I131" s="212">
        <f t="shared" si="115"/>
        <v>1951446</v>
      </c>
      <c r="J131" s="212">
        <f t="shared" si="115"/>
        <v>1952370</v>
      </c>
      <c r="K131" s="212">
        <f t="shared" si="115"/>
        <v>2014202</v>
      </c>
      <c r="L131" s="212">
        <f t="shared" si="115"/>
        <v>2015747</v>
      </c>
      <c r="M131" s="212">
        <f t="shared" si="115"/>
        <v>2015747</v>
      </c>
      <c r="N131" s="212">
        <f t="shared" si="115"/>
        <v>2020201</v>
      </c>
      <c r="O131" s="212">
        <f t="shared" ref="O131:U131" si="116">SUM(O81+O87+O89+O92+O96+O101+O106+O110+O116+O125)</f>
        <v>2023264</v>
      </c>
      <c r="P131" s="212">
        <f t="shared" si="116"/>
        <v>2024864</v>
      </c>
      <c r="Q131" s="212">
        <f t="shared" si="116"/>
        <v>2024864</v>
      </c>
      <c r="R131" s="212">
        <f t="shared" si="116"/>
        <v>2055566</v>
      </c>
      <c r="S131" s="212">
        <f t="shared" si="116"/>
        <v>2064744</v>
      </c>
      <c r="T131" s="212">
        <f t="shared" si="116"/>
        <v>2064744</v>
      </c>
      <c r="U131" s="212">
        <f t="shared" si="116"/>
        <v>2094879</v>
      </c>
      <c r="V131" s="212">
        <f t="shared" ref="V131:W131" si="117">SUM(V81+V87+V89+V92+V96+V101+V106+V110+V116+V125)</f>
        <v>2094879</v>
      </c>
      <c r="W131" s="212">
        <f t="shared" si="117"/>
        <v>2109743</v>
      </c>
      <c r="X131" s="212">
        <f t="shared" si="115"/>
        <v>1724620</v>
      </c>
      <c r="Y131" s="728">
        <f t="shared" si="45"/>
        <v>0.81745501703288026</v>
      </c>
      <c r="Z131" s="27">
        <f t="shared" ref="Z131:AS131" si="118">D131-C131</f>
        <v>2771</v>
      </c>
      <c r="AA131" s="27">
        <f t="shared" si="118"/>
        <v>17110</v>
      </c>
      <c r="AB131" s="27">
        <f t="shared" si="118"/>
        <v>3863</v>
      </c>
      <c r="AC131" s="27">
        <f t="shared" si="118"/>
        <v>0</v>
      </c>
      <c r="AD131" s="27">
        <f t="shared" si="118"/>
        <v>0</v>
      </c>
      <c r="AE131" s="27">
        <f t="shared" si="118"/>
        <v>8317</v>
      </c>
      <c r="AF131" s="27">
        <f t="shared" si="118"/>
        <v>924</v>
      </c>
      <c r="AG131" s="27">
        <f t="shared" si="118"/>
        <v>61832</v>
      </c>
      <c r="AH131" s="27">
        <f t="shared" si="118"/>
        <v>1545</v>
      </c>
      <c r="AI131" s="27">
        <f t="shared" si="118"/>
        <v>0</v>
      </c>
      <c r="AJ131" s="27">
        <f t="shared" si="118"/>
        <v>4454</v>
      </c>
      <c r="AK131" s="27">
        <f t="shared" si="118"/>
        <v>3063</v>
      </c>
      <c r="AL131" s="27">
        <f t="shared" si="118"/>
        <v>1600</v>
      </c>
      <c r="AM131" s="27">
        <f t="shared" si="118"/>
        <v>0</v>
      </c>
      <c r="AN131" s="27">
        <f t="shared" si="118"/>
        <v>30702</v>
      </c>
      <c r="AO131" s="27">
        <f t="shared" si="118"/>
        <v>9178</v>
      </c>
      <c r="AP131" s="27">
        <f t="shared" si="118"/>
        <v>0</v>
      </c>
      <c r="AQ131" s="27">
        <f t="shared" si="118"/>
        <v>30135</v>
      </c>
      <c r="AR131" s="27">
        <f t="shared" si="118"/>
        <v>0</v>
      </c>
      <c r="AS131" s="27">
        <f t="shared" si="118"/>
        <v>14864</v>
      </c>
    </row>
    <row r="132" spans="1:45" x14ac:dyDescent="0.25">
      <c r="A132" s="502" t="s">
        <v>124</v>
      </c>
      <c r="B132" s="213" t="s">
        <v>341</v>
      </c>
      <c r="C132" s="216">
        <f>C68</f>
        <v>720000</v>
      </c>
      <c r="D132" s="715">
        <f t="shared" ref="D132:R132" si="119">D68+D207</f>
        <v>722098</v>
      </c>
      <c r="E132" s="216">
        <f t="shared" si="119"/>
        <v>722098</v>
      </c>
      <c r="F132" s="715">
        <f t="shared" si="119"/>
        <v>711459</v>
      </c>
      <c r="G132" s="216">
        <f t="shared" si="119"/>
        <v>711459</v>
      </c>
      <c r="H132" s="216">
        <f t="shared" si="119"/>
        <v>711459</v>
      </c>
      <c r="I132" s="216">
        <f t="shared" si="119"/>
        <v>715098</v>
      </c>
      <c r="J132" s="216">
        <f t="shared" si="119"/>
        <v>715098</v>
      </c>
      <c r="K132" s="715">
        <f t="shared" si="119"/>
        <v>737900</v>
      </c>
      <c r="L132" s="216">
        <f t="shared" si="119"/>
        <v>737900</v>
      </c>
      <c r="M132" s="216">
        <f t="shared" si="119"/>
        <v>737900</v>
      </c>
      <c r="N132" s="216">
        <f t="shared" si="119"/>
        <v>737900</v>
      </c>
      <c r="O132" s="216">
        <f t="shared" si="119"/>
        <v>737034</v>
      </c>
      <c r="P132" s="216">
        <f t="shared" si="119"/>
        <v>737034</v>
      </c>
      <c r="Q132" s="216">
        <f t="shared" si="119"/>
        <v>737034</v>
      </c>
      <c r="R132" s="715">
        <f t="shared" si="119"/>
        <v>747613</v>
      </c>
      <c r="S132" s="715">
        <f t="shared" ref="S132:W132" si="120">S68+S207-589</f>
        <v>756822</v>
      </c>
      <c r="T132" s="216">
        <f t="shared" si="120"/>
        <v>756822</v>
      </c>
      <c r="U132" s="216">
        <f t="shared" si="120"/>
        <v>756860</v>
      </c>
      <c r="V132" s="216">
        <f t="shared" si="120"/>
        <v>756860</v>
      </c>
      <c r="W132" s="216">
        <f t="shared" si="120"/>
        <v>769312</v>
      </c>
      <c r="X132" s="216">
        <f>X68+X207-589-12452</f>
        <v>756860</v>
      </c>
      <c r="Y132" s="728">
        <f t="shared" si="45"/>
        <v>0.98381410923006529</v>
      </c>
      <c r="Z132" s="1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</row>
    <row r="133" spans="1:45" ht="15.75" thickBot="1" x14ac:dyDescent="0.3">
      <c r="A133" s="717" t="s">
        <v>124</v>
      </c>
      <c r="B133" s="718" t="s">
        <v>145</v>
      </c>
      <c r="C133" s="719">
        <f t="shared" ref="C133:X133" si="121">C70</f>
        <v>1500</v>
      </c>
      <c r="D133" s="719">
        <f t="shared" si="121"/>
        <v>1500</v>
      </c>
      <c r="E133" s="719">
        <f t="shared" si="121"/>
        <v>1500</v>
      </c>
      <c r="F133" s="719">
        <f t="shared" si="121"/>
        <v>1500</v>
      </c>
      <c r="G133" s="719">
        <f t="shared" si="121"/>
        <v>1500</v>
      </c>
      <c r="H133" s="719">
        <f t="shared" si="121"/>
        <v>1500</v>
      </c>
      <c r="I133" s="719">
        <f t="shared" si="121"/>
        <v>1500</v>
      </c>
      <c r="J133" s="719">
        <f t="shared" si="121"/>
        <v>1500</v>
      </c>
      <c r="K133" s="719">
        <f t="shared" si="121"/>
        <v>1500</v>
      </c>
      <c r="L133" s="719">
        <f t="shared" si="121"/>
        <v>1500</v>
      </c>
      <c r="M133" s="719">
        <f t="shared" si="121"/>
        <v>1500</v>
      </c>
      <c r="N133" s="719">
        <f t="shared" si="121"/>
        <v>1500</v>
      </c>
      <c r="O133" s="719">
        <f t="shared" si="121"/>
        <v>1500</v>
      </c>
      <c r="P133" s="719">
        <f t="shared" si="121"/>
        <v>1500</v>
      </c>
      <c r="Q133" s="836">
        <f t="shared" si="121"/>
        <v>500</v>
      </c>
      <c r="R133" s="719">
        <f t="shared" si="121"/>
        <v>500</v>
      </c>
      <c r="S133" s="719">
        <f t="shared" si="121"/>
        <v>500</v>
      </c>
      <c r="T133" s="719">
        <f t="shared" si="121"/>
        <v>500</v>
      </c>
      <c r="U133" s="719">
        <f t="shared" si="121"/>
        <v>500</v>
      </c>
      <c r="V133" s="836">
        <f t="shared" ref="V133:W133" si="122">V70</f>
        <v>92</v>
      </c>
      <c r="W133" s="719">
        <f t="shared" si="122"/>
        <v>92</v>
      </c>
      <c r="X133" s="719">
        <f t="shared" si="121"/>
        <v>90</v>
      </c>
      <c r="Y133" s="728">
        <f t="shared" ref="Y133:Y196" si="123">X133/W133</f>
        <v>0.97826086956521741</v>
      </c>
      <c r="Z133" s="27">
        <f>SUM(S132:S133)</f>
        <v>757322</v>
      </c>
      <c r="AA133" s="27">
        <f>SUM(X132:X133)</f>
        <v>756950</v>
      </c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</row>
    <row r="134" spans="1:45" x14ac:dyDescent="0.25">
      <c r="A134" s="226" t="s">
        <v>125</v>
      </c>
      <c r="B134" s="227" t="s">
        <v>148</v>
      </c>
      <c r="C134" s="230">
        <v>34400</v>
      </c>
      <c r="D134" s="230">
        <v>34400</v>
      </c>
      <c r="E134" s="230">
        <v>34400</v>
      </c>
      <c r="F134" s="230">
        <v>34400</v>
      </c>
      <c r="G134" s="230">
        <v>34400</v>
      </c>
      <c r="H134" s="230">
        <v>34400</v>
      </c>
      <c r="I134" s="230">
        <v>34400</v>
      </c>
      <c r="J134" s="230">
        <v>34400</v>
      </c>
      <c r="K134" s="230">
        <v>34400</v>
      </c>
      <c r="L134" s="230">
        <v>34400</v>
      </c>
      <c r="M134" s="230">
        <v>34400</v>
      </c>
      <c r="N134" s="230">
        <v>34400</v>
      </c>
      <c r="O134" s="230">
        <v>34400</v>
      </c>
      <c r="P134" s="230">
        <v>34400</v>
      </c>
      <c r="Q134" s="230">
        <v>34400</v>
      </c>
      <c r="R134" s="230">
        <v>34400</v>
      </c>
      <c r="S134" s="230">
        <v>34400</v>
      </c>
      <c r="T134" s="230">
        <v>34400</v>
      </c>
      <c r="U134" s="230">
        <v>34400</v>
      </c>
      <c r="V134" s="230">
        <v>34400</v>
      </c>
      <c r="W134" s="230">
        <v>34400</v>
      </c>
      <c r="X134" s="230">
        <v>34400</v>
      </c>
      <c r="Y134" s="728">
        <f t="shared" si="123"/>
        <v>1</v>
      </c>
      <c r="Z134" s="27"/>
    </row>
    <row r="135" spans="1:45" x14ac:dyDescent="0.25">
      <c r="A135" s="226" t="s">
        <v>125</v>
      </c>
      <c r="B135" s="227" t="s">
        <v>889</v>
      </c>
      <c r="C135" s="230">
        <v>0</v>
      </c>
      <c r="D135" s="230">
        <v>0</v>
      </c>
      <c r="E135" s="230">
        <v>0</v>
      </c>
      <c r="F135" s="230">
        <v>0</v>
      </c>
      <c r="G135" s="230">
        <v>0</v>
      </c>
      <c r="H135" s="230">
        <v>0</v>
      </c>
      <c r="I135" s="230">
        <v>0</v>
      </c>
      <c r="J135" s="230">
        <v>0</v>
      </c>
      <c r="K135" s="705">
        <v>1525</v>
      </c>
      <c r="L135" s="230">
        <v>1525</v>
      </c>
      <c r="M135" s="230">
        <v>1525</v>
      </c>
      <c r="N135" s="230">
        <v>1525</v>
      </c>
      <c r="O135" s="230">
        <v>1525</v>
      </c>
      <c r="P135" s="230">
        <v>1525</v>
      </c>
      <c r="Q135" s="230">
        <v>1525</v>
      </c>
      <c r="R135" s="230">
        <v>1525</v>
      </c>
      <c r="S135" s="230">
        <f>1525</f>
        <v>1525</v>
      </c>
      <c r="T135" s="230">
        <f>1525</f>
        <v>1525</v>
      </c>
      <c r="U135" s="230">
        <f>1525</f>
        <v>1525</v>
      </c>
      <c r="V135" s="230">
        <f>1525</f>
        <v>1525</v>
      </c>
      <c r="W135" s="230">
        <f>1525</f>
        <v>1525</v>
      </c>
      <c r="X135" s="230">
        <v>1523</v>
      </c>
      <c r="Y135" s="728">
        <f t="shared" si="123"/>
        <v>0.99868852459016388</v>
      </c>
      <c r="Z135" s="27"/>
    </row>
    <row r="136" spans="1:45" x14ac:dyDescent="0.25">
      <c r="A136" s="226" t="s">
        <v>125</v>
      </c>
      <c r="B136" s="227" t="s">
        <v>891</v>
      </c>
      <c r="C136" s="230">
        <v>0</v>
      </c>
      <c r="D136" s="230">
        <v>0</v>
      </c>
      <c r="E136" s="230">
        <v>0</v>
      </c>
      <c r="F136" s="230">
        <v>0</v>
      </c>
      <c r="G136" s="230">
        <v>0</v>
      </c>
      <c r="H136" s="230">
        <v>0</v>
      </c>
      <c r="I136" s="230">
        <v>0</v>
      </c>
      <c r="J136" s="230">
        <v>0</v>
      </c>
      <c r="K136" s="230">
        <v>0</v>
      </c>
      <c r="L136" s="230">
        <v>0</v>
      </c>
      <c r="M136" s="230">
        <v>0</v>
      </c>
      <c r="N136" s="230">
        <v>0</v>
      </c>
      <c r="O136" s="230">
        <v>0</v>
      </c>
      <c r="P136" s="230">
        <v>0</v>
      </c>
      <c r="Q136" s="230">
        <v>0</v>
      </c>
      <c r="R136" s="230">
        <v>0</v>
      </c>
      <c r="S136" s="705">
        <v>589</v>
      </c>
      <c r="T136" s="230">
        <v>589</v>
      </c>
      <c r="U136" s="230">
        <v>589</v>
      </c>
      <c r="V136" s="230">
        <v>589</v>
      </c>
      <c r="W136" s="230">
        <v>589</v>
      </c>
      <c r="X136" s="230">
        <v>589</v>
      </c>
      <c r="Y136" s="728">
        <f t="shared" si="123"/>
        <v>1</v>
      </c>
      <c r="Z136" s="27"/>
      <c r="AA136" s="426">
        <f>X132+X136</f>
        <v>757449</v>
      </c>
    </row>
    <row r="137" spans="1:45" ht="15.75" thickBot="1" x14ac:dyDescent="0.3">
      <c r="A137" s="217" t="s">
        <v>125</v>
      </c>
      <c r="B137" s="218" t="s">
        <v>149</v>
      </c>
      <c r="C137" s="221">
        <f t="shared" ref="C137:U137" si="124">C71</f>
        <v>3600</v>
      </c>
      <c r="D137" s="221">
        <f t="shared" si="124"/>
        <v>3600</v>
      </c>
      <c r="E137" s="221">
        <f t="shared" si="124"/>
        <v>3600</v>
      </c>
      <c r="F137" s="221">
        <f t="shared" si="124"/>
        <v>3600</v>
      </c>
      <c r="G137" s="221">
        <f t="shared" si="124"/>
        <v>3600</v>
      </c>
      <c r="H137" s="221">
        <f t="shared" si="124"/>
        <v>3600</v>
      </c>
      <c r="I137" s="221">
        <f t="shared" si="124"/>
        <v>3600</v>
      </c>
      <c r="J137" s="221">
        <f t="shared" si="124"/>
        <v>3600</v>
      </c>
      <c r="K137" s="221">
        <f t="shared" si="124"/>
        <v>3600</v>
      </c>
      <c r="L137" s="221">
        <f t="shared" si="124"/>
        <v>3600</v>
      </c>
      <c r="M137" s="221">
        <f t="shared" si="124"/>
        <v>3600</v>
      </c>
      <c r="N137" s="221">
        <f t="shared" si="124"/>
        <v>3600</v>
      </c>
      <c r="O137" s="221">
        <f t="shared" si="124"/>
        <v>3600</v>
      </c>
      <c r="P137" s="221">
        <f t="shared" si="124"/>
        <v>3600</v>
      </c>
      <c r="Q137" s="221">
        <f t="shared" si="124"/>
        <v>3600</v>
      </c>
      <c r="R137" s="221">
        <f t="shared" si="124"/>
        <v>3600</v>
      </c>
      <c r="S137" s="221">
        <f t="shared" si="124"/>
        <v>3600</v>
      </c>
      <c r="T137" s="221">
        <f t="shared" si="124"/>
        <v>3600</v>
      </c>
      <c r="U137" s="221">
        <f t="shared" si="124"/>
        <v>3600</v>
      </c>
      <c r="V137" s="695">
        <f t="shared" ref="V137:W137" si="125">V71</f>
        <v>3542</v>
      </c>
      <c r="W137" s="221">
        <f t="shared" si="125"/>
        <v>3542</v>
      </c>
      <c r="X137" s="221">
        <v>3542</v>
      </c>
      <c r="Y137" s="728">
        <f t="shared" si="123"/>
        <v>1</v>
      </c>
      <c r="Z137" s="27">
        <f>SUM(S134:S137)</f>
        <v>40114</v>
      </c>
      <c r="AA137" s="27">
        <f>SUM(X134:X137)</f>
        <v>40054</v>
      </c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</row>
    <row r="138" spans="1:45" ht="21.75" customHeight="1" thickBot="1" x14ac:dyDescent="0.3">
      <c r="A138" s="903" t="s">
        <v>150</v>
      </c>
      <c r="B138" s="904"/>
      <c r="C138" s="233">
        <f t="shared" ref="C138:X138" si="126">SUM(C132:C137)</f>
        <v>759500</v>
      </c>
      <c r="D138" s="233">
        <f t="shared" si="126"/>
        <v>761598</v>
      </c>
      <c r="E138" s="233">
        <f t="shared" si="126"/>
        <v>761598</v>
      </c>
      <c r="F138" s="233">
        <f t="shared" si="126"/>
        <v>750959</v>
      </c>
      <c r="G138" s="233">
        <f t="shared" si="126"/>
        <v>750959</v>
      </c>
      <c r="H138" s="233">
        <f t="shared" si="126"/>
        <v>750959</v>
      </c>
      <c r="I138" s="233">
        <f t="shared" si="126"/>
        <v>754598</v>
      </c>
      <c r="J138" s="233">
        <f t="shared" si="126"/>
        <v>754598</v>
      </c>
      <c r="K138" s="233">
        <f t="shared" si="126"/>
        <v>778925</v>
      </c>
      <c r="L138" s="233">
        <f t="shared" si="126"/>
        <v>778925</v>
      </c>
      <c r="M138" s="233">
        <f t="shared" si="126"/>
        <v>778925</v>
      </c>
      <c r="N138" s="233">
        <f t="shared" si="126"/>
        <v>778925</v>
      </c>
      <c r="O138" s="233">
        <f t="shared" si="126"/>
        <v>778059</v>
      </c>
      <c r="P138" s="233">
        <f t="shared" si="126"/>
        <v>778059</v>
      </c>
      <c r="Q138" s="233">
        <f t="shared" si="126"/>
        <v>777059</v>
      </c>
      <c r="R138" s="233">
        <f t="shared" si="126"/>
        <v>787638</v>
      </c>
      <c r="S138" s="233">
        <f t="shared" si="126"/>
        <v>797436</v>
      </c>
      <c r="T138" s="233">
        <f t="shared" si="126"/>
        <v>797436</v>
      </c>
      <c r="U138" s="233">
        <f t="shared" si="126"/>
        <v>797474</v>
      </c>
      <c r="V138" s="233">
        <f t="shared" ref="V138:W138" si="127">SUM(V132:V137)</f>
        <v>797008</v>
      </c>
      <c r="W138" s="233">
        <f t="shared" si="127"/>
        <v>809460</v>
      </c>
      <c r="X138" s="233">
        <f t="shared" si="126"/>
        <v>797004</v>
      </c>
      <c r="Y138" s="728">
        <f t="shared" si="123"/>
        <v>0.98461196353124303</v>
      </c>
      <c r="Z138" s="27">
        <f t="shared" ref="Z138:AS138" si="128">D138-C138</f>
        <v>2098</v>
      </c>
      <c r="AA138" s="27">
        <f t="shared" si="128"/>
        <v>0</v>
      </c>
      <c r="AB138" s="27">
        <f t="shared" si="128"/>
        <v>-10639</v>
      </c>
      <c r="AC138" s="27">
        <f t="shared" si="128"/>
        <v>0</v>
      </c>
      <c r="AD138" s="27">
        <f t="shared" si="128"/>
        <v>0</v>
      </c>
      <c r="AE138" s="27">
        <f t="shared" si="128"/>
        <v>3639</v>
      </c>
      <c r="AF138" s="27">
        <f t="shared" si="128"/>
        <v>0</v>
      </c>
      <c r="AG138" s="27">
        <f t="shared" si="128"/>
        <v>24327</v>
      </c>
      <c r="AH138" s="27">
        <f t="shared" si="128"/>
        <v>0</v>
      </c>
      <c r="AI138" s="27">
        <f t="shared" si="128"/>
        <v>0</v>
      </c>
      <c r="AJ138" s="27">
        <f t="shared" si="128"/>
        <v>0</v>
      </c>
      <c r="AK138" s="27">
        <f t="shared" si="128"/>
        <v>-866</v>
      </c>
      <c r="AL138" s="27">
        <f t="shared" si="128"/>
        <v>0</v>
      </c>
      <c r="AM138" s="27">
        <f t="shared" si="128"/>
        <v>-1000</v>
      </c>
      <c r="AN138" s="27">
        <f t="shared" si="128"/>
        <v>10579</v>
      </c>
      <c r="AO138" s="27">
        <f t="shared" si="128"/>
        <v>9798</v>
      </c>
      <c r="AP138" s="27">
        <f t="shared" si="128"/>
        <v>0</v>
      </c>
      <c r="AQ138" s="27">
        <f t="shared" si="128"/>
        <v>38</v>
      </c>
      <c r="AR138" s="27">
        <f t="shared" si="128"/>
        <v>-466</v>
      </c>
      <c r="AS138" s="27">
        <f t="shared" si="128"/>
        <v>12452</v>
      </c>
    </row>
    <row r="139" spans="1:45" x14ac:dyDescent="0.25">
      <c r="A139" s="234" t="s">
        <v>125</v>
      </c>
      <c r="B139" s="797" t="s">
        <v>151</v>
      </c>
      <c r="C139" s="238">
        <v>298000</v>
      </c>
      <c r="D139" s="238">
        <v>298000</v>
      </c>
      <c r="E139" s="238">
        <v>298000</v>
      </c>
      <c r="F139" s="238">
        <v>298000</v>
      </c>
      <c r="G139" s="238">
        <v>298000</v>
      </c>
      <c r="H139" s="238">
        <v>298000</v>
      </c>
      <c r="I139" s="238">
        <v>298000</v>
      </c>
      <c r="J139" s="238">
        <v>298000</v>
      </c>
      <c r="K139" s="238">
        <v>298000</v>
      </c>
      <c r="L139" s="238">
        <v>298000</v>
      </c>
      <c r="M139" s="238">
        <v>298000</v>
      </c>
      <c r="N139" s="238">
        <v>298000</v>
      </c>
      <c r="O139" s="238">
        <v>298000</v>
      </c>
      <c r="P139" s="238">
        <v>298000</v>
      </c>
      <c r="Q139" s="238">
        <v>298000</v>
      </c>
      <c r="R139" s="238">
        <v>298000</v>
      </c>
      <c r="S139" s="238">
        <v>298000</v>
      </c>
      <c r="T139" s="238">
        <v>298000</v>
      </c>
      <c r="U139" s="238">
        <v>298000</v>
      </c>
      <c r="V139" s="238">
        <v>298000</v>
      </c>
      <c r="W139" s="238">
        <v>298000</v>
      </c>
      <c r="X139" s="238">
        <v>298000</v>
      </c>
      <c r="Y139" s="728">
        <f t="shared" si="123"/>
        <v>1</v>
      </c>
      <c r="Z139" s="1"/>
    </row>
    <row r="140" spans="1:45" x14ac:dyDescent="0.25">
      <c r="A140" s="239" t="s">
        <v>125</v>
      </c>
      <c r="B140" s="240" t="s">
        <v>890</v>
      </c>
      <c r="C140" s="89">
        <v>0</v>
      </c>
      <c r="D140" s="89">
        <v>0</v>
      </c>
      <c r="E140" s="89"/>
      <c r="F140" s="89">
        <v>0</v>
      </c>
      <c r="G140" s="89">
        <v>0</v>
      </c>
      <c r="H140" s="89">
        <v>0</v>
      </c>
      <c r="I140" s="89">
        <v>0</v>
      </c>
      <c r="J140" s="89">
        <v>0</v>
      </c>
      <c r="K140" s="705">
        <v>11670</v>
      </c>
      <c r="L140" s="89">
        <v>11670</v>
      </c>
      <c r="M140" s="89">
        <v>11670</v>
      </c>
      <c r="N140" s="89">
        <f>11670-55</f>
        <v>11615</v>
      </c>
      <c r="O140" s="89">
        <f>11670-55</f>
        <v>11615</v>
      </c>
      <c r="P140" s="89">
        <f>11670-55</f>
        <v>11615</v>
      </c>
      <c r="Q140" s="89">
        <f t="shared" ref="Q140:W140" si="129">11670-55</f>
        <v>11615</v>
      </c>
      <c r="R140" s="89">
        <f t="shared" si="129"/>
        <v>11615</v>
      </c>
      <c r="S140" s="89">
        <f t="shared" si="129"/>
        <v>11615</v>
      </c>
      <c r="T140" s="89">
        <f t="shared" si="129"/>
        <v>11615</v>
      </c>
      <c r="U140" s="89">
        <f t="shared" si="129"/>
        <v>11615</v>
      </c>
      <c r="V140" s="89">
        <f t="shared" si="129"/>
        <v>11615</v>
      </c>
      <c r="W140" s="89">
        <f t="shared" si="129"/>
        <v>11615</v>
      </c>
      <c r="X140" s="89">
        <v>11614</v>
      </c>
      <c r="Y140" s="728">
        <f t="shared" si="123"/>
        <v>0.9999139044339217</v>
      </c>
      <c r="Z140" s="1"/>
    </row>
    <row r="141" spans="1:45" x14ac:dyDescent="0.25">
      <c r="A141" s="239" t="s">
        <v>125</v>
      </c>
      <c r="B141" s="240" t="s">
        <v>892</v>
      </c>
      <c r="C141" s="89">
        <v>0</v>
      </c>
      <c r="D141" s="89">
        <v>0</v>
      </c>
      <c r="E141" s="89">
        <v>0</v>
      </c>
      <c r="F141" s="89">
        <v>0</v>
      </c>
      <c r="G141" s="89">
        <v>0</v>
      </c>
      <c r="H141" s="89">
        <v>0</v>
      </c>
      <c r="I141" s="89">
        <v>0</v>
      </c>
      <c r="J141" s="89">
        <v>0</v>
      </c>
      <c r="K141" s="89">
        <v>0</v>
      </c>
      <c r="L141" s="89">
        <v>0</v>
      </c>
      <c r="M141" s="89">
        <v>0</v>
      </c>
      <c r="N141" s="89">
        <v>0</v>
      </c>
      <c r="O141" s="89">
        <v>0</v>
      </c>
      <c r="P141" s="89">
        <v>0</v>
      </c>
      <c r="Q141" s="89">
        <v>0</v>
      </c>
      <c r="R141" s="89">
        <v>0</v>
      </c>
      <c r="S141" s="705">
        <f>S67</f>
        <v>5872</v>
      </c>
      <c r="T141" s="89">
        <f>T67</f>
        <v>5872</v>
      </c>
      <c r="U141" s="89">
        <f>U67</f>
        <v>5872</v>
      </c>
      <c r="V141" s="89">
        <f>V67</f>
        <v>5872</v>
      </c>
      <c r="W141" s="89">
        <f>W67</f>
        <v>5872</v>
      </c>
      <c r="X141" s="89">
        <v>5872</v>
      </c>
      <c r="Y141" s="728">
        <f t="shared" si="123"/>
        <v>1</v>
      </c>
      <c r="Z141" s="1"/>
    </row>
    <row r="142" spans="1:45" ht="15.75" thickBot="1" x14ac:dyDescent="0.3">
      <c r="A142" s="239" t="s">
        <v>125</v>
      </c>
      <c r="B142" s="240" t="s">
        <v>152</v>
      </c>
      <c r="C142" s="89">
        <f t="shared" ref="C142:X142" si="130">C73</f>
        <v>13600</v>
      </c>
      <c r="D142" s="89">
        <f t="shared" si="130"/>
        <v>13600</v>
      </c>
      <c r="E142" s="89">
        <f t="shared" si="130"/>
        <v>13600</v>
      </c>
      <c r="F142" s="89">
        <f t="shared" si="130"/>
        <v>13600</v>
      </c>
      <c r="G142" s="89">
        <f t="shared" si="130"/>
        <v>13600</v>
      </c>
      <c r="H142" s="89">
        <f t="shared" si="130"/>
        <v>13600</v>
      </c>
      <c r="I142" s="89">
        <f t="shared" si="130"/>
        <v>13600</v>
      </c>
      <c r="J142" s="89">
        <f t="shared" si="130"/>
        <v>13600</v>
      </c>
      <c r="K142" s="89">
        <f t="shared" si="130"/>
        <v>13600</v>
      </c>
      <c r="L142" s="89">
        <f t="shared" si="130"/>
        <v>13600</v>
      </c>
      <c r="M142" s="89">
        <f t="shared" si="130"/>
        <v>13600</v>
      </c>
      <c r="N142" s="89">
        <f t="shared" si="130"/>
        <v>13600</v>
      </c>
      <c r="O142" s="89">
        <f t="shared" si="130"/>
        <v>13600</v>
      </c>
      <c r="P142" s="89">
        <f t="shared" si="130"/>
        <v>13600</v>
      </c>
      <c r="Q142" s="89">
        <f t="shared" si="130"/>
        <v>13600</v>
      </c>
      <c r="R142" s="89">
        <f t="shared" si="130"/>
        <v>13600</v>
      </c>
      <c r="S142" s="89">
        <f t="shared" si="130"/>
        <v>13600</v>
      </c>
      <c r="T142" s="89">
        <f t="shared" si="130"/>
        <v>13600</v>
      </c>
      <c r="U142" s="89">
        <f t="shared" si="130"/>
        <v>13600</v>
      </c>
      <c r="V142" s="705">
        <f t="shared" ref="V142:W142" si="131">V73</f>
        <v>13280</v>
      </c>
      <c r="W142" s="89">
        <f t="shared" si="131"/>
        <v>13280</v>
      </c>
      <c r="X142" s="89">
        <f t="shared" si="130"/>
        <v>13280</v>
      </c>
      <c r="Y142" s="728">
        <f t="shared" si="123"/>
        <v>1</v>
      </c>
      <c r="Z142" s="1"/>
    </row>
    <row r="143" spans="1:45" ht="21.6" customHeight="1" thickBot="1" x14ac:dyDescent="0.3">
      <c r="A143" s="886" t="s">
        <v>153</v>
      </c>
      <c r="B143" s="887"/>
      <c r="C143" s="245">
        <f t="shared" ref="C143:X143" si="132">SUM(C139:C142)</f>
        <v>311600</v>
      </c>
      <c r="D143" s="245">
        <f t="shared" si="132"/>
        <v>311600</v>
      </c>
      <c r="E143" s="245">
        <f t="shared" si="132"/>
        <v>311600</v>
      </c>
      <c r="F143" s="245">
        <f t="shared" si="132"/>
        <v>311600</v>
      </c>
      <c r="G143" s="245">
        <f t="shared" si="132"/>
        <v>311600</v>
      </c>
      <c r="H143" s="245">
        <f t="shared" si="132"/>
        <v>311600</v>
      </c>
      <c r="I143" s="245">
        <f t="shared" si="132"/>
        <v>311600</v>
      </c>
      <c r="J143" s="245">
        <f t="shared" si="132"/>
        <v>311600</v>
      </c>
      <c r="K143" s="245">
        <f t="shared" si="132"/>
        <v>323270</v>
      </c>
      <c r="L143" s="245">
        <f t="shared" si="132"/>
        <v>323270</v>
      </c>
      <c r="M143" s="245">
        <f t="shared" si="132"/>
        <v>323270</v>
      </c>
      <c r="N143" s="245">
        <f t="shared" si="132"/>
        <v>323215</v>
      </c>
      <c r="O143" s="245">
        <f t="shared" si="132"/>
        <v>323215</v>
      </c>
      <c r="P143" s="245">
        <f t="shared" si="132"/>
        <v>323215</v>
      </c>
      <c r="Q143" s="245">
        <f t="shared" si="132"/>
        <v>323215</v>
      </c>
      <c r="R143" s="245">
        <f t="shared" si="132"/>
        <v>323215</v>
      </c>
      <c r="S143" s="245">
        <f t="shared" si="132"/>
        <v>329087</v>
      </c>
      <c r="T143" s="245">
        <f t="shared" si="132"/>
        <v>329087</v>
      </c>
      <c r="U143" s="245">
        <f t="shared" si="132"/>
        <v>329087</v>
      </c>
      <c r="V143" s="245">
        <f t="shared" ref="V143:W143" si="133">SUM(V139:V142)</f>
        <v>328767</v>
      </c>
      <c r="W143" s="245">
        <f t="shared" si="133"/>
        <v>328767</v>
      </c>
      <c r="X143" s="245">
        <f t="shared" si="132"/>
        <v>328766</v>
      </c>
      <c r="Y143" s="728">
        <f t="shared" si="123"/>
        <v>0.99999695833219271</v>
      </c>
      <c r="Z143" s="27">
        <f t="shared" ref="Z143:AI145" si="134">D143-C143</f>
        <v>0</v>
      </c>
      <c r="AA143" s="27">
        <f t="shared" si="134"/>
        <v>0</v>
      </c>
      <c r="AB143" s="27">
        <f t="shared" si="134"/>
        <v>0</v>
      </c>
      <c r="AC143" s="27">
        <f t="shared" si="134"/>
        <v>0</v>
      </c>
      <c r="AD143" s="27">
        <f t="shared" si="134"/>
        <v>0</v>
      </c>
      <c r="AE143" s="27">
        <f t="shared" si="134"/>
        <v>0</v>
      </c>
      <c r="AF143" s="27">
        <f t="shared" si="134"/>
        <v>0</v>
      </c>
      <c r="AG143" s="27">
        <f t="shared" si="134"/>
        <v>11670</v>
      </c>
      <c r="AH143" s="27">
        <f t="shared" si="134"/>
        <v>0</v>
      </c>
      <c r="AI143" s="27">
        <f t="shared" si="134"/>
        <v>0</v>
      </c>
      <c r="AJ143" s="27">
        <f t="shared" ref="AJ143:AS145" si="135">N143-M143</f>
        <v>-55</v>
      </c>
      <c r="AK143" s="27">
        <f t="shared" si="135"/>
        <v>0</v>
      </c>
      <c r="AL143" s="27">
        <f t="shared" si="135"/>
        <v>0</v>
      </c>
      <c r="AM143" s="27">
        <f t="shared" si="135"/>
        <v>0</v>
      </c>
      <c r="AN143" s="27">
        <f t="shared" si="135"/>
        <v>0</v>
      </c>
      <c r="AO143" s="27">
        <f t="shared" si="135"/>
        <v>5872</v>
      </c>
      <c r="AP143" s="27">
        <f t="shared" si="135"/>
        <v>0</v>
      </c>
      <c r="AQ143" s="27">
        <f t="shared" si="135"/>
        <v>0</v>
      </c>
      <c r="AR143" s="27">
        <f t="shared" si="135"/>
        <v>-320</v>
      </c>
      <c r="AS143" s="27">
        <f t="shared" si="135"/>
        <v>0</v>
      </c>
    </row>
    <row r="144" spans="1:45" ht="22.5" customHeight="1" thickBot="1" x14ac:dyDescent="0.3">
      <c r="A144" s="872" t="s">
        <v>154</v>
      </c>
      <c r="B144" s="873"/>
      <c r="C144" s="248">
        <f t="shared" ref="C144:X144" si="136">C138+C143</f>
        <v>1071100</v>
      </c>
      <c r="D144" s="248">
        <f t="shared" si="136"/>
        <v>1073198</v>
      </c>
      <c r="E144" s="248">
        <f t="shared" si="136"/>
        <v>1073198</v>
      </c>
      <c r="F144" s="248">
        <f t="shared" si="136"/>
        <v>1062559</v>
      </c>
      <c r="G144" s="248">
        <f t="shared" si="136"/>
        <v>1062559</v>
      </c>
      <c r="H144" s="248">
        <f t="shared" si="136"/>
        <v>1062559</v>
      </c>
      <c r="I144" s="248">
        <f t="shared" si="136"/>
        <v>1066198</v>
      </c>
      <c r="J144" s="248">
        <f t="shared" si="136"/>
        <v>1066198</v>
      </c>
      <c r="K144" s="248">
        <f t="shared" si="136"/>
        <v>1102195</v>
      </c>
      <c r="L144" s="248">
        <f t="shared" si="136"/>
        <v>1102195</v>
      </c>
      <c r="M144" s="248">
        <f t="shared" si="136"/>
        <v>1102195</v>
      </c>
      <c r="N144" s="248">
        <f t="shared" si="136"/>
        <v>1102140</v>
      </c>
      <c r="O144" s="248">
        <f t="shared" si="136"/>
        <v>1101274</v>
      </c>
      <c r="P144" s="248">
        <f t="shared" si="136"/>
        <v>1101274</v>
      </c>
      <c r="Q144" s="248">
        <f t="shared" si="136"/>
        <v>1100274</v>
      </c>
      <c r="R144" s="248">
        <f t="shared" si="136"/>
        <v>1110853</v>
      </c>
      <c r="S144" s="248">
        <f t="shared" si="136"/>
        <v>1126523</v>
      </c>
      <c r="T144" s="248">
        <f t="shared" si="136"/>
        <v>1126523</v>
      </c>
      <c r="U144" s="248">
        <f t="shared" si="136"/>
        <v>1126561</v>
      </c>
      <c r="V144" s="248">
        <f t="shared" ref="V144:W144" si="137">V138+V143</f>
        <v>1125775</v>
      </c>
      <c r="W144" s="248">
        <f t="shared" si="137"/>
        <v>1138227</v>
      </c>
      <c r="X144" s="248">
        <f t="shared" si="136"/>
        <v>1125770</v>
      </c>
      <c r="Y144" s="728">
        <f t="shared" si="123"/>
        <v>0.98905578588453802</v>
      </c>
      <c r="Z144" s="27">
        <f t="shared" si="134"/>
        <v>2098</v>
      </c>
      <c r="AA144" s="27">
        <f t="shared" si="134"/>
        <v>0</v>
      </c>
      <c r="AB144" s="27">
        <f t="shared" si="134"/>
        <v>-10639</v>
      </c>
      <c r="AC144" s="27">
        <f t="shared" si="134"/>
        <v>0</v>
      </c>
      <c r="AD144" s="27">
        <f t="shared" si="134"/>
        <v>0</v>
      </c>
      <c r="AE144" s="27">
        <f t="shared" si="134"/>
        <v>3639</v>
      </c>
      <c r="AF144" s="27">
        <f t="shared" si="134"/>
        <v>0</v>
      </c>
      <c r="AG144" s="27">
        <f t="shared" si="134"/>
        <v>35997</v>
      </c>
      <c r="AH144" s="27">
        <f t="shared" si="134"/>
        <v>0</v>
      </c>
      <c r="AI144" s="27">
        <f t="shared" si="134"/>
        <v>0</v>
      </c>
      <c r="AJ144" s="27">
        <f t="shared" si="135"/>
        <v>-55</v>
      </c>
      <c r="AK144" s="27">
        <f t="shared" si="135"/>
        <v>-866</v>
      </c>
      <c r="AL144" s="27">
        <f t="shared" si="135"/>
        <v>0</v>
      </c>
      <c r="AM144" s="27">
        <f t="shared" si="135"/>
        <v>-1000</v>
      </c>
      <c r="AN144" s="27">
        <f t="shared" si="135"/>
        <v>10579</v>
      </c>
      <c r="AO144" s="27">
        <f t="shared" si="135"/>
        <v>15670</v>
      </c>
      <c r="AP144" s="27">
        <f t="shared" si="135"/>
        <v>0</v>
      </c>
      <c r="AQ144" s="27">
        <f t="shared" si="135"/>
        <v>38</v>
      </c>
      <c r="AR144" s="27">
        <f t="shared" si="135"/>
        <v>-786</v>
      </c>
      <c r="AS144" s="27">
        <f t="shared" si="135"/>
        <v>12452</v>
      </c>
    </row>
    <row r="145" spans="1:45" ht="27.75" customHeight="1" thickBot="1" x14ac:dyDescent="0.3">
      <c r="A145" s="249" t="s">
        <v>155</v>
      </c>
      <c r="B145" s="140"/>
      <c r="C145" s="252">
        <f t="shared" ref="C145:X145" si="138">C131+C144</f>
        <v>2990485</v>
      </c>
      <c r="D145" s="252">
        <f t="shared" si="138"/>
        <v>2995354</v>
      </c>
      <c r="E145" s="252">
        <f t="shared" si="138"/>
        <v>3012464</v>
      </c>
      <c r="F145" s="252">
        <f t="shared" si="138"/>
        <v>3005688</v>
      </c>
      <c r="G145" s="252">
        <f t="shared" si="138"/>
        <v>3005688</v>
      </c>
      <c r="H145" s="252">
        <f t="shared" si="138"/>
        <v>3005688</v>
      </c>
      <c r="I145" s="252">
        <f t="shared" si="138"/>
        <v>3017644</v>
      </c>
      <c r="J145" s="252">
        <f t="shared" si="138"/>
        <v>3018568</v>
      </c>
      <c r="K145" s="252">
        <f t="shared" si="138"/>
        <v>3116397</v>
      </c>
      <c r="L145" s="252">
        <f t="shared" si="138"/>
        <v>3117942</v>
      </c>
      <c r="M145" s="252">
        <f t="shared" si="138"/>
        <v>3117942</v>
      </c>
      <c r="N145" s="252">
        <f t="shared" si="138"/>
        <v>3122341</v>
      </c>
      <c r="O145" s="252">
        <f t="shared" si="138"/>
        <v>3124538</v>
      </c>
      <c r="P145" s="252">
        <f t="shared" si="138"/>
        <v>3126138</v>
      </c>
      <c r="Q145" s="252">
        <f t="shared" si="138"/>
        <v>3125138</v>
      </c>
      <c r="R145" s="252">
        <f t="shared" si="138"/>
        <v>3166419</v>
      </c>
      <c r="S145" s="252">
        <f t="shared" si="138"/>
        <v>3191267</v>
      </c>
      <c r="T145" s="252">
        <f t="shared" si="138"/>
        <v>3191267</v>
      </c>
      <c r="U145" s="252">
        <f t="shared" si="138"/>
        <v>3221440</v>
      </c>
      <c r="V145" s="252">
        <f t="shared" ref="V145:W145" si="139">V131+V144</f>
        <v>3220654</v>
      </c>
      <c r="W145" s="252">
        <f t="shared" si="139"/>
        <v>3247970</v>
      </c>
      <c r="X145" s="252">
        <f t="shared" si="138"/>
        <v>2850390</v>
      </c>
      <c r="Y145" s="728">
        <f t="shared" si="123"/>
        <v>0.87759123390918015</v>
      </c>
      <c r="Z145" s="27">
        <f t="shared" si="134"/>
        <v>4869</v>
      </c>
      <c r="AA145" s="27">
        <f t="shared" si="134"/>
        <v>17110</v>
      </c>
      <c r="AB145" s="27">
        <f t="shared" si="134"/>
        <v>-6776</v>
      </c>
      <c r="AC145" s="27">
        <f t="shared" si="134"/>
        <v>0</v>
      </c>
      <c r="AD145" s="27">
        <f t="shared" si="134"/>
        <v>0</v>
      </c>
      <c r="AE145" s="27">
        <f t="shared" si="134"/>
        <v>11956</v>
      </c>
      <c r="AF145" s="27">
        <f t="shared" si="134"/>
        <v>924</v>
      </c>
      <c r="AG145" s="27">
        <f t="shared" si="134"/>
        <v>97829</v>
      </c>
      <c r="AH145" s="27">
        <f t="shared" si="134"/>
        <v>1545</v>
      </c>
      <c r="AI145" s="27">
        <f t="shared" si="134"/>
        <v>0</v>
      </c>
      <c r="AJ145" s="27">
        <f t="shared" si="135"/>
        <v>4399</v>
      </c>
      <c r="AK145" s="27">
        <f t="shared" si="135"/>
        <v>2197</v>
      </c>
      <c r="AL145" s="27">
        <f t="shared" si="135"/>
        <v>1600</v>
      </c>
      <c r="AM145" s="27">
        <f t="shared" si="135"/>
        <v>-1000</v>
      </c>
      <c r="AN145" s="27">
        <f t="shared" si="135"/>
        <v>41281</v>
      </c>
      <c r="AO145" s="27">
        <f t="shared" si="135"/>
        <v>24848</v>
      </c>
      <c r="AP145" s="27">
        <f t="shared" si="135"/>
        <v>0</v>
      </c>
      <c r="AQ145" s="27">
        <f t="shared" si="135"/>
        <v>30173</v>
      </c>
      <c r="AR145" s="27">
        <f t="shared" si="135"/>
        <v>-786</v>
      </c>
      <c r="AS145" s="27">
        <f t="shared" si="135"/>
        <v>27316</v>
      </c>
    </row>
    <row r="146" spans="1:4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7">
        <f>K145-J145</f>
        <v>97829</v>
      </c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728"/>
      <c r="Z146" s="1"/>
    </row>
    <row r="147" spans="1:4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728"/>
      <c r="Z147" s="1"/>
    </row>
    <row r="148" spans="1:45" ht="26.25" customHeight="1" thickBot="1" x14ac:dyDescent="0.3">
      <c r="A148" s="874" t="s">
        <v>156</v>
      </c>
      <c r="B148" s="875"/>
      <c r="C148" s="875"/>
      <c r="D148" s="875"/>
      <c r="E148" s="875"/>
      <c r="F148" s="875"/>
      <c r="G148" s="875"/>
      <c r="H148" s="875"/>
      <c r="I148" s="875"/>
      <c r="J148" s="875"/>
      <c r="K148" s="875"/>
      <c r="L148" s="875"/>
      <c r="M148" s="875"/>
      <c r="N148" s="875"/>
      <c r="O148" s="875"/>
      <c r="P148" s="875"/>
      <c r="Q148" s="875"/>
      <c r="R148" s="875"/>
      <c r="S148" s="875"/>
      <c r="T148" s="875"/>
      <c r="U148" s="875"/>
      <c r="V148" s="875"/>
      <c r="W148" s="875"/>
      <c r="X148" s="875"/>
      <c r="Y148" s="728"/>
      <c r="Z148" s="1"/>
    </row>
    <row r="149" spans="1:45" ht="38.25" customHeight="1" thickBot="1" x14ac:dyDescent="0.3">
      <c r="A149" s="876" t="s">
        <v>1</v>
      </c>
      <c r="B149" s="877"/>
      <c r="C149" s="387" t="s">
        <v>467</v>
      </c>
      <c r="D149" s="387" t="s">
        <v>465</v>
      </c>
      <c r="E149" s="387" t="s">
        <v>483</v>
      </c>
      <c r="F149" s="387" t="s">
        <v>500</v>
      </c>
      <c r="G149" s="387" t="s">
        <v>533</v>
      </c>
      <c r="H149" s="387" t="s">
        <v>578</v>
      </c>
      <c r="I149" s="387" t="s">
        <v>610</v>
      </c>
      <c r="J149" s="387" t="s">
        <v>579</v>
      </c>
      <c r="K149" s="387" t="s">
        <v>646</v>
      </c>
      <c r="L149" s="387" t="s">
        <v>637</v>
      </c>
      <c r="M149" s="387" t="s">
        <v>670</v>
      </c>
      <c r="N149" s="387" t="s">
        <v>680</v>
      </c>
      <c r="O149" s="387" t="s">
        <v>749</v>
      </c>
      <c r="P149" s="387" t="s">
        <v>774</v>
      </c>
      <c r="Q149" s="387" t="s">
        <v>783</v>
      </c>
      <c r="R149" s="387" t="s">
        <v>784</v>
      </c>
      <c r="S149" s="387" t="s">
        <v>885</v>
      </c>
      <c r="T149" s="387" t="s">
        <v>894</v>
      </c>
      <c r="U149" s="387" t="s">
        <v>913</v>
      </c>
      <c r="V149" s="387" t="s">
        <v>919</v>
      </c>
      <c r="W149" s="387" t="s">
        <v>994</v>
      </c>
      <c r="X149" s="387" t="s">
        <v>993</v>
      </c>
      <c r="Y149" s="728"/>
      <c r="Z149" s="1"/>
    </row>
    <row r="150" spans="1:45" ht="25.5" customHeight="1" thickBot="1" x14ac:dyDescent="0.3">
      <c r="A150" s="878" t="s">
        <v>157</v>
      </c>
      <c r="B150" s="879"/>
      <c r="C150" s="253">
        <f t="shared" ref="C150:X150" si="140">SUM(C151:C169)</f>
        <v>2593450</v>
      </c>
      <c r="D150" s="253">
        <f t="shared" si="140"/>
        <v>2523450</v>
      </c>
      <c r="E150" s="253">
        <f t="shared" si="140"/>
        <v>2511270</v>
      </c>
      <c r="F150" s="253">
        <f t="shared" si="140"/>
        <v>2511270</v>
      </c>
      <c r="G150" s="253">
        <f t="shared" si="140"/>
        <v>2541070</v>
      </c>
      <c r="H150" s="253">
        <f t="shared" si="140"/>
        <v>2541070</v>
      </c>
      <c r="I150" s="253">
        <f t="shared" si="140"/>
        <v>2541070</v>
      </c>
      <c r="J150" s="253">
        <f t="shared" si="140"/>
        <v>2541070</v>
      </c>
      <c r="K150" s="253">
        <f t="shared" si="140"/>
        <v>2541070</v>
      </c>
      <c r="L150" s="253">
        <f t="shared" si="140"/>
        <v>2614470</v>
      </c>
      <c r="M150" s="253">
        <f t="shared" si="140"/>
        <v>2714670</v>
      </c>
      <c r="N150" s="253">
        <f t="shared" si="140"/>
        <v>2714670</v>
      </c>
      <c r="O150" s="253">
        <f t="shared" si="140"/>
        <v>2809670</v>
      </c>
      <c r="P150" s="253">
        <f t="shared" si="140"/>
        <v>2809670</v>
      </c>
      <c r="Q150" s="253">
        <f t="shared" si="140"/>
        <v>3949970</v>
      </c>
      <c r="R150" s="253">
        <f t="shared" si="140"/>
        <v>3949970</v>
      </c>
      <c r="S150" s="253">
        <f t="shared" si="140"/>
        <v>3949970</v>
      </c>
      <c r="T150" s="253">
        <f t="shared" si="140"/>
        <v>3949970</v>
      </c>
      <c r="U150" s="253">
        <f t="shared" si="140"/>
        <v>3949970</v>
      </c>
      <c r="V150" s="253">
        <f t="shared" ref="V150:W150" si="141">SUM(V151:V169)</f>
        <v>3949970</v>
      </c>
      <c r="W150" s="253">
        <f t="shared" si="141"/>
        <v>3949970</v>
      </c>
      <c r="X150" s="253">
        <f t="shared" si="140"/>
        <v>1762647.73</v>
      </c>
      <c r="Y150" s="728">
        <f t="shared" si="123"/>
        <v>0.44624332083534812</v>
      </c>
      <c r="Z150" s="27">
        <f t="shared" ref="Z150:AO150" si="142">D150-C150</f>
        <v>-70000</v>
      </c>
      <c r="AA150" s="27">
        <f t="shared" si="142"/>
        <v>-12180</v>
      </c>
      <c r="AB150" s="27">
        <f t="shared" si="142"/>
        <v>0</v>
      </c>
      <c r="AC150" s="27">
        <f t="shared" si="142"/>
        <v>29800</v>
      </c>
      <c r="AD150" s="27">
        <f t="shared" si="142"/>
        <v>0</v>
      </c>
      <c r="AE150" s="27">
        <f t="shared" si="142"/>
        <v>0</v>
      </c>
      <c r="AF150" s="27">
        <f t="shared" si="142"/>
        <v>0</v>
      </c>
      <c r="AG150" s="27">
        <f t="shared" si="142"/>
        <v>0</v>
      </c>
      <c r="AH150" s="27">
        <f t="shared" si="142"/>
        <v>73400</v>
      </c>
      <c r="AI150" s="27">
        <f t="shared" si="142"/>
        <v>100200</v>
      </c>
      <c r="AJ150" s="27">
        <f t="shared" si="142"/>
        <v>0</v>
      </c>
      <c r="AK150" s="27">
        <f t="shared" si="142"/>
        <v>95000</v>
      </c>
      <c r="AL150" s="27">
        <f t="shared" si="142"/>
        <v>0</v>
      </c>
      <c r="AM150" s="27">
        <f t="shared" si="142"/>
        <v>1140300</v>
      </c>
      <c r="AN150" s="27">
        <f t="shared" si="142"/>
        <v>0</v>
      </c>
      <c r="AO150" s="27">
        <f t="shared" si="142"/>
        <v>0</v>
      </c>
    </row>
    <row r="151" spans="1:45" ht="15.75" thickBot="1" x14ac:dyDescent="0.3">
      <c r="A151" s="77">
        <v>233</v>
      </c>
      <c r="B151" s="311" t="s">
        <v>158</v>
      </c>
      <c r="C151" s="255">
        <v>3000</v>
      </c>
      <c r="D151" s="255">
        <v>3000</v>
      </c>
      <c r="E151" s="255">
        <v>3000</v>
      </c>
      <c r="F151" s="255">
        <v>3000</v>
      </c>
      <c r="G151" s="255">
        <v>3000</v>
      </c>
      <c r="H151" s="255">
        <v>3000</v>
      </c>
      <c r="I151" s="255">
        <v>3000</v>
      </c>
      <c r="J151" s="255">
        <v>3000</v>
      </c>
      <c r="K151" s="255">
        <v>3000</v>
      </c>
      <c r="L151" s="255">
        <v>3000</v>
      </c>
      <c r="M151" s="255">
        <v>3000</v>
      </c>
      <c r="N151" s="255">
        <v>3000</v>
      </c>
      <c r="O151" s="255">
        <v>3000</v>
      </c>
      <c r="P151" s="255">
        <v>3000</v>
      </c>
      <c r="Q151" s="255">
        <v>3000</v>
      </c>
      <c r="R151" s="255">
        <v>3000</v>
      </c>
      <c r="S151" s="255">
        <v>3000</v>
      </c>
      <c r="T151" s="255">
        <v>3000</v>
      </c>
      <c r="U151" s="255">
        <v>3000</v>
      </c>
      <c r="V151" s="255">
        <v>3000</v>
      </c>
      <c r="W151" s="255">
        <v>3000</v>
      </c>
      <c r="X151" s="255">
        <v>0</v>
      </c>
      <c r="Y151" s="728">
        <f t="shared" si="123"/>
        <v>0</v>
      </c>
      <c r="Z151" s="1"/>
    </row>
    <row r="152" spans="1:45" x14ac:dyDescent="0.25">
      <c r="A152" s="261">
        <v>322</v>
      </c>
      <c r="B152" s="264" t="s">
        <v>356</v>
      </c>
      <c r="C152" s="260">
        <v>145000</v>
      </c>
      <c r="D152" s="260">
        <v>145000</v>
      </c>
      <c r="E152" s="260">
        <v>145000</v>
      </c>
      <c r="F152" s="260">
        <v>145000</v>
      </c>
      <c r="G152" s="260">
        <v>145000</v>
      </c>
      <c r="H152" s="260">
        <v>145000</v>
      </c>
      <c r="I152" s="260">
        <v>145000</v>
      </c>
      <c r="J152" s="260">
        <v>145000</v>
      </c>
      <c r="K152" s="260">
        <v>145000</v>
      </c>
      <c r="L152" s="260">
        <v>145000</v>
      </c>
      <c r="M152" s="260">
        <v>145000</v>
      </c>
      <c r="N152" s="260">
        <v>145000</v>
      </c>
      <c r="O152" s="260">
        <v>145000</v>
      </c>
      <c r="P152" s="260">
        <v>145000</v>
      </c>
      <c r="Q152" s="260">
        <v>145000</v>
      </c>
      <c r="R152" s="260">
        <v>145000</v>
      </c>
      <c r="S152" s="260">
        <v>145000</v>
      </c>
      <c r="T152" s="260">
        <v>145000</v>
      </c>
      <c r="U152" s="260">
        <v>145000</v>
      </c>
      <c r="V152" s="260">
        <v>145000</v>
      </c>
      <c r="W152" s="260">
        <v>145000</v>
      </c>
      <c r="X152" s="699">
        <v>0</v>
      </c>
      <c r="Y152" s="728">
        <f t="shared" si="123"/>
        <v>0</v>
      </c>
      <c r="Z152" s="1"/>
    </row>
    <row r="153" spans="1:45" x14ac:dyDescent="0.25">
      <c r="A153" s="261">
        <v>322</v>
      </c>
      <c r="B153" s="76" t="s">
        <v>355</v>
      </c>
      <c r="C153" s="263">
        <v>430000</v>
      </c>
      <c r="D153" s="263">
        <v>430000</v>
      </c>
      <c r="E153" s="263">
        <v>430000</v>
      </c>
      <c r="F153" s="263">
        <v>430000</v>
      </c>
      <c r="G153" s="263">
        <v>430000</v>
      </c>
      <c r="H153" s="263">
        <v>430000</v>
      </c>
      <c r="I153" s="263">
        <v>430000</v>
      </c>
      <c r="J153" s="263">
        <v>430000</v>
      </c>
      <c r="K153" s="263">
        <v>430000</v>
      </c>
      <c r="L153" s="263">
        <v>430000</v>
      </c>
      <c r="M153" s="263">
        <v>430000</v>
      </c>
      <c r="N153" s="263">
        <v>430000</v>
      </c>
      <c r="O153" s="263">
        <v>430000</v>
      </c>
      <c r="P153" s="263">
        <v>430000</v>
      </c>
      <c r="Q153" s="263">
        <v>430000</v>
      </c>
      <c r="R153" s="263">
        <v>430000</v>
      </c>
      <c r="S153" s="263">
        <v>430000</v>
      </c>
      <c r="T153" s="263">
        <v>430000</v>
      </c>
      <c r="U153" s="263">
        <v>430000</v>
      </c>
      <c r="V153" s="263">
        <v>430000</v>
      </c>
      <c r="W153" s="263">
        <v>430000</v>
      </c>
      <c r="X153" s="263">
        <v>238643.73</v>
      </c>
      <c r="Y153" s="728">
        <f t="shared" si="123"/>
        <v>0.55498541860465123</v>
      </c>
      <c r="Z153" s="1"/>
    </row>
    <row r="154" spans="1:45" x14ac:dyDescent="0.25">
      <c r="A154" s="261">
        <v>322</v>
      </c>
      <c r="B154" s="84" t="s">
        <v>348</v>
      </c>
      <c r="C154" s="263">
        <v>138200</v>
      </c>
      <c r="D154" s="263">
        <v>138200</v>
      </c>
      <c r="E154" s="263">
        <v>138200</v>
      </c>
      <c r="F154" s="263">
        <v>138200</v>
      </c>
      <c r="G154" s="263">
        <v>138200</v>
      </c>
      <c r="H154" s="263">
        <v>138200</v>
      </c>
      <c r="I154" s="263">
        <v>138200</v>
      </c>
      <c r="J154" s="263">
        <v>138200</v>
      </c>
      <c r="K154" s="263">
        <v>138200</v>
      </c>
      <c r="L154" s="263">
        <v>138200</v>
      </c>
      <c r="M154" s="263">
        <v>138200</v>
      </c>
      <c r="N154" s="263">
        <v>138200</v>
      </c>
      <c r="O154" s="263">
        <v>138200</v>
      </c>
      <c r="P154" s="263">
        <v>138200</v>
      </c>
      <c r="Q154" s="263">
        <v>138200</v>
      </c>
      <c r="R154" s="263">
        <v>138200</v>
      </c>
      <c r="S154" s="263">
        <v>138200</v>
      </c>
      <c r="T154" s="263">
        <v>138200</v>
      </c>
      <c r="U154" s="263">
        <v>138200</v>
      </c>
      <c r="V154" s="263">
        <v>138200</v>
      </c>
      <c r="W154" s="263">
        <v>138200</v>
      </c>
      <c r="X154" s="260">
        <v>138128</v>
      </c>
      <c r="Y154" s="728">
        <f t="shared" si="123"/>
        <v>0.99947901591895805</v>
      </c>
      <c r="Z154" s="1"/>
    </row>
    <row r="155" spans="1:45" x14ac:dyDescent="0.25">
      <c r="A155" s="261">
        <v>322</v>
      </c>
      <c r="B155" s="76" t="s">
        <v>353</v>
      </c>
      <c r="C155" s="263">
        <v>1146000</v>
      </c>
      <c r="D155" s="263">
        <v>1146000</v>
      </c>
      <c r="E155" s="263">
        <v>1146000</v>
      </c>
      <c r="F155" s="263">
        <v>1146000</v>
      </c>
      <c r="G155" s="263">
        <v>1146000</v>
      </c>
      <c r="H155" s="263">
        <v>1146000</v>
      </c>
      <c r="I155" s="263">
        <v>1146000</v>
      </c>
      <c r="J155" s="263">
        <v>1146000</v>
      </c>
      <c r="K155" s="263">
        <v>1146000</v>
      </c>
      <c r="L155" s="263">
        <v>1146000</v>
      </c>
      <c r="M155" s="812">
        <f>1146000+200</f>
        <v>1146200</v>
      </c>
      <c r="N155" s="263">
        <f>1146000+200</f>
        <v>1146200</v>
      </c>
      <c r="O155" s="263">
        <f>1146000+200</f>
        <v>1146200</v>
      </c>
      <c r="P155" s="263">
        <f>1146000+200</f>
        <v>1146200</v>
      </c>
      <c r="Q155" s="263">
        <f t="shared" ref="Q155:W155" si="143">1146000+200</f>
        <v>1146200</v>
      </c>
      <c r="R155" s="263">
        <f t="shared" si="143"/>
        <v>1146200</v>
      </c>
      <c r="S155" s="263">
        <f t="shared" si="143"/>
        <v>1146200</v>
      </c>
      <c r="T155" s="263">
        <f t="shared" si="143"/>
        <v>1146200</v>
      </c>
      <c r="U155" s="263">
        <f t="shared" si="143"/>
        <v>1146200</v>
      </c>
      <c r="V155" s="263">
        <f t="shared" si="143"/>
        <v>1146200</v>
      </c>
      <c r="W155" s="263">
        <f t="shared" si="143"/>
        <v>1146200</v>
      </c>
      <c r="X155" s="260">
        <v>789076</v>
      </c>
      <c r="Y155" s="728">
        <f t="shared" si="123"/>
        <v>0.68842784854301164</v>
      </c>
      <c r="Z155" s="1"/>
    </row>
    <row r="156" spans="1:45" x14ac:dyDescent="0.25">
      <c r="A156" s="258">
        <v>322</v>
      </c>
      <c r="B156" s="72" t="s">
        <v>352</v>
      </c>
      <c r="C156" s="260">
        <v>379400</v>
      </c>
      <c r="D156" s="260">
        <v>379400</v>
      </c>
      <c r="E156" s="763">
        <f t="shared" ref="E156:W156" si="144">379400+680</f>
        <v>380080</v>
      </c>
      <c r="F156" s="260">
        <f t="shared" si="144"/>
        <v>380080</v>
      </c>
      <c r="G156" s="260">
        <f t="shared" si="144"/>
        <v>380080</v>
      </c>
      <c r="H156" s="260">
        <f t="shared" si="144"/>
        <v>380080</v>
      </c>
      <c r="I156" s="260">
        <f t="shared" si="144"/>
        <v>380080</v>
      </c>
      <c r="J156" s="260">
        <f t="shared" si="144"/>
        <v>380080</v>
      </c>
      <c r="K156" s="260">
        <f t="shared" si="144"/>
        <v>380080</v>
      </c>
      <c r="L156" s="260">
        <f t="shared" si="144"/>
        <v>380080</v>
      </c>
      <c r="M156" s="260">
        <f t="shared" si="144"/>
        <v>380080</v>
      </c>
      <c r="N156" s="260">
        <f t="shared" si="144"/>
        <v>380080</v>
      </c>
      <c r="O156" s="260">
        <f t="shared" si="144"/>
        <v>380080</v>
      </c>
      <c r="P156" s="260">
        <f t="shared" si="144"/>
        <v>380080</v>
      </c>
      <c r="Q156" s="260">
        <f t="shared" si="144"/>
        <v>380080</v>
      </c>
      <c r="R156" s="260">
        <f t="shared" si="144"/>
        <v>380080</v>
      </c>
      <c r="S156" s="260">
        <f t="shared" si="144"/>
        <v>380080</v>
      </c>
      <c r="T156" s="260">
        <f t="shared" si="144"/>
        <v>380080</v>
      </c>
      <c r="U156" s="260">
        <f t="shared" si="144"/>
        <v>380080</v>
      </c>
      <c r="V156" s="260">
        <f t="shared" si="144"/>
        <v>380080</v>
      </c>
      <c r="W156" s="260">
        <f t="shared" si="144"/>
        <v>380080</v>
      </c>
      <c r="X156" s="260">
        <v>238871</v>
      </c>
      <c r="Y156" s="728">
        <f t="shared" si="123"/>
        <v>0.62847558408756055</v>
      </c>
      <c r="Z156" s="1"/>
    </row>
    <row r="157" spans="1:45" x14ac:dyDescent="0.25">
      <c r="A157" s="258">
        <v>322</v>
      </c>
      <c r="B157" s="72" t="s">
        <v>351</v>
      </c>
      <c r="C157" s="257">
        <v>50000</v>
      </c>
      <c r="D157" s="257">
        <v>50000</v>
      </c>
      <c r="E157" s="257">
        <v>50000</v>
      </c>
      <c r="F157" s="257">
        <v>50000</v>
      </c>
      <c r="G157" s="257">
        <v>50000</v>
      </c>
      <c r="H157" s="257">
        <v>50000</v>
      </c>
      <c r="I157" s="257">
        <v>50000</v>
      </c>
      <c r="J157" s="257">
        <v>50000</v>
      </c>
      <c r="K157" s="257">
        <v>50000</v>
      </c>
      <c r="L157" s="257">
        <v>50000</v>
      </c>
      <c r="M157" s="257">
        <v>50000</v>
      </c>
      <c r="N157" s="257">
        <v>50000</v>
      </c>
      <c r="O157" s="257">
        <v>50000</v>
      </c>
      <c r="P157" s="257">
        <v>50000</v>
      </c>
      <c r="Q157" s="257">
        <v>50000</v>
      </c>
      <c r="R157" s="257">
        <v>50000</v>
      </c>
      <c r="S157" s="257">
        <v>50000</v>
      </c>
      <c r="T157" s="257">
        <v>50000</v>
      </c>
      <c r="U157" s="257">
        <v>50000</v>
      </c>
      <c r="V157" s="257">
        <v>50000</v>
      </c>
      <c r="W157" s="257">
        <v>50000</v>
      </c>
      <c r="X157" s="260">
        <v>0</v>
      </c>
      <c r="Y157" s="728">
        <f t="shared" si="123"/>
        <v>0</v>
      </c>
      <c r="Z157" s="1"/>
    </row>
    <row r="158" spans="1:45" x14ac:dyDescent="0.25">
      <c r="A158" s="258">
        <v>322</v>
      </c>
      <c r="B158" s="114" t="s">
        <v>349</v>
      </c>
      <c r="C158" s="257">
        <v>196500</v>
      </c>
      <c r="D158" s="257">
        <v>196500</v>
      </c>
      <c r="E158" s="688">
        <f t="shared" ref="E158:W158" si="145">196500-12860</f>
        <v>183640</v>
      </c>
      <c r="F158" s="257">
        <f t="shared" si="145"/>
        <v>183640</v>
      </c>
      <c r="G158" s="257">
        <f t="shared" si="145"/>
        <v>183640</v>
      </c>
      <c r="H158" s="257">
        <f t="shared" si="145"/>
        <v>183640</v>
      </c>
      <c r="I158" s="257">
        <f t="shared" si="145"/>
        <v>183640</v>
      </c>
      <c r="J158" s="257">
        <f t="shared" si="145"/>
        <v>183640</v>
      </c>
      <c r="K158" s="257">
        <f t="shared" si="145"/>
        <v>183640</v>
      </c>
      <c r="L158" s="257">
        <f t="shared" si="145"/>
        <v>183640</v>
      </c>
      <c r="M158" s="257">
        <f t="shared" si="145"/>
        <v>183640</v>
      </c>
      <c r="N158" s="257">
        <f t="shared" si="145"/>
        <v>183640</v>
      </c>
      <c r="O158" s="257">
        <f t="shared" si="145"/>
        <v>183640</v>
      </c>
      <c r="P158" s="257">
        <f t="shared" si="145"/>
        <v>183640</v>
      </c>
      <c r="Q158" s="257">
        <f t="shared" si="145"/>
        <v>183640</v>
      </c>
      <c r="R158" s="257">
        <f t="shared" si="145"/>
        <v>183640</v>
      </c>
      <c r="S158" s="257">
        <f t="shared" si="145"/>
        <v>183640</v>
      </c>
      <c r="T158" s="257">
        <f t="shared" si="145"/>
        <v>183640</v>
      </c>
      <c r="U158" s="257">
        <f t="shared" si="145"/>
        <v>183640</v>
      </c>
      <c r="V158" s="257">
        <f t="shared" si="145"/>
        <v>183640</v>
      </c>
      <c r="W158" s="257">
        <f t="shared" si="145"/>
        <v>183640</v>
      </c>
      <c r="X158" s="260">
        <v>154141</v>
      </c>
      <c r="Y158" s="728">
        <f t="shared" si="123"/>
        <v>0.83936506207797867</v>
      </c>
      <c r="Z158" s="1"/>
    </row>
    <row r="159" spans="1:45" x14ac:dyDescent="0.25">
      <c r="A159" s="258">
        <v>322</v>
      </c>
      <c r="B159" s="114" t="s">
        <v>635</v>
      </c>
      <c r="C159" s="257">
        <v>0</v>
      </c>
      <c r="D159" s="257">
        <v>0</v>
      </c>
      <c r="E159" s="257">
        <v>0</v>
      </c>
      <c r="F159" s="257">
        <v>0</v>
      </c>
      <c r="G159" s="688">
        <v>29800</v>
      </c>
      <c r="H159" s="257">
        <v>29800</v>
      </c>
      <c r="I159" s="257">
        <v>29800</v>
      </c>
      <c r="J159" s="257">
        <v>29800</v>
      </c>
      <c r="K159" s="257">
        <v>29800</v>
      </c>
      <c r="L159" s="257">
        <v>29800</v>
      </c>
      <c r="M159" s="257">
        <v>29800</v>
      </c>
      <c r="N159" s="257">
        <v>29800</v>
      </c>
      <c r="O159" s="257">
        <v>29800</v>
      </c>
      <c r="P159" s="257">
        <v>29800</v>
      </c>
      <c r="Q159" s="257">
        <v>29800</v>
      </c>
      <c r="R159" s="257">
        <v>29800</v>
      </c>
      <c r="S159" s="257">
        <v>29800</v>
      </c>
      <c r="T159" s="257">
        <v>29800</v>
      </c>
      <c r="U159" s="257">
        <v>29800</v>
      </c>
      <c r="V159" s="257">
        <v>29800</v>
      </c>
      <c r="W159" s="257">
        <v>29800</v>
      </c>
      <c r="X159" s="260">
        <v>29788</v>
      </c>
      <c r="Y159" s="728">
        <f t="shared" si="123"/>
        <v>0.99959731543624164</v>
      </c>
      <c r="Z159" s="1"/>
    </row>
    <row r="160" spans="1:45" x14ac:dyDescent="0.25">
      <c r="A160" s="83">
        <v>322</v>
      </c>
      <c r="B160" s="522" t="s">
        <v>638</v>
      </c>
      <c r="C160" s="257">
        <v>0</v>
      </c>
      <c r="D160" s="257">
        <v>0</v>
      </c>
      <c r="E160" s="257">
        <v>0</v>
      </c>
      <c r="F160" s="257">
        <v>0</v>
      </c>
      <c r="G160" s="257">
        <v>0</v>
      </c>
      <c r="H160" s="257">
        <v>0</v>
      </c>
      <c r="I160" s="257">
        <v>0</v>
      </c>
      <c r="J160" s="257">
        <v>0</v>
      </c>
      <c r="K160" s="257">
        <v>0</v>
      </c>
      <c r="L160" s="688">
        <v>73400</v>
      </c>
      <c r="M160" s="257">
        <v>73400</v>
      </c>
      <c r="N160" s="257">
        <v>73400</v>
      </c>
      <c r="O160" s="257">
        <v>73400</v>
      </c>
      <c r="P160" s="257">
        <v>73400</v>
      </c>
      <c r="Q160" s="257">
        <v>73400</v>
      </c>
      <c r="R160" s="257">
        <v>73400</v>
      </c>
      <c r="S160" s="257">
        <v>73400</v>
      </c>
      <c r="T160" s="257">
        <v>73400</v>
      </c>
      <c r="U160" s="257">
        <v>73400</v>
      </c>
      <c r="V160" s="257">
        <v>73400</v>
      </c>
      <c r="W160" s="257">
        <v>73400</v>
      </c>
      <c r="X160" s="260">
        <v>0</v>
      </c>
      <c r="Y160" s="728">
        <f t="shared" si="123"/>
        <v>0</v>
      </c>
      <c r="Z160" s="1"/>
    </row>
    <row r="161" spans="1:41" x14ac:dyDescent="0.25">
      <c r="A161" s="258">
        <v>322</v>
      </c>
      <c r="B161" s="522" t="s">
        <v>681</v>
      </c>
      <c r="C161" s="257">
        <v>0</v>
      </c>
      <c r="D161" s="257">
        <v>0</v>
      </c>
      <c r="E161" s="257">
        <v>0</v>
      </c>
      <c r="F161" s="257">
        <v>0</v>
      </c>
      <c r="G161" s="257">
        <v>0</v>
      </c>
      <c r="H161" s="257">
        <v>0</v>
      </c>
      <c r="I161" s="257">
        <v>0</v>
      </c>
      <c r="J161" s="257">
        <v>0</v>
      </c>
      <c r="K161" s="257">
        <v>0</v>
      </c>
      <c r="L161" s="257">
        <v>0</v>
      </c>
      <c r="M161" s="688">
        <v>100000</v>
      </c>
      <c r="N161" s="257">
        <v>100000</v>
      </c>
      <c r="O161" s="257">
        <v>100000</v>
      </c>
      <c r="P161" s="257">
        <v>100000</v>
      </c>
      <c r="Q161" s="257">
        <v>100000</v>
      </c>
      <c r="R161" s="257">
        <v>100000</v>
      </c>
      <c r="S161" s="257">
        <v>100000</v>
      </c>
      <c r="T161" s="257">
        <v>100000</v>
      </c>
      <c r="U161" s="257">
        <v>100000</v>
      </c>
      <c r="V161" s="257">
        <v>100000</v>
      </c>
      <c r="W161" s="257">
        <v>100000</v>
      </c>
      <c r="X161" s="260">
        <v>0</v>
      </c>
      <c r="Y161" s="728">
        <f t="shared" si="123"/>
        <v>0</v>
      </c>
      <c r="Z161" s="1"/>
    </row>
    <row r="162" spans="1:41" x14ac:dyDescent="0.25">
      <c r="A162" s="258">
        <v>322</v>
      </c>
      <c r="B162" s="522" t="s">
        <v>842</v>
      </c>
      <c r="C162" s="257">
        <v>0</v>
      </c>
      <c r="D162" s="257">
        <v>0</v>
      </c>
      <c r="E162" s="257">
        <v>0</v>
      </c>
      <c r="F162" s="257">
        <v>0</v>
      </c>
      <c r="G162" s="257">
        <v>0</v>
      </c>
      <c r="H162" s="257">
        <v>0</v>
      </c>
      <c r="I162" s="257">
        <v>0</v>
      </c>
      <c r="J162" s="257">
        <v>0</v>
      </c>
      <c r="K162" s="257">
        <v>0</v>
      </c>
      <c r="L162" s="257">
        <v>0</v>
      </c>
      <c r="M162" s="257">
        <v>0</v>
      </c>
      <c r="N162" s="257">
        <v>0</v>
      </c>
      <c r="O162" s="688">
        <v>95000</v>
      </c>
      <c r="P162" s="257">
        <v>95000</v>
      </c>
      <c r="Q162" s="257">
        <v>95000</v>
      </c>
      <c r="R162" s="257">
        <v>95000</v>
      </c>
      <c r="S162" s="257">
        <v>95000</v>
      </c>
      <c r="T162" s="257">
        <v>95000</v>
      </c>
      <c r="U162" s="257">
        <v>95000</v>
      </c>
      <c r="V162" s="257">
        <v>95000</v>
      </c>
      <c r="W162" s="257">
        <v>95000</v>
      </c>
      <c r="X162" s="260">
        <v>95000</v>
      </c>
      <c r="Y162" s="728">
        <f t="shared" si="123"/>
        <v>1</v>
      </c>
      <c r="Z162" s="1"/>
    </row>
    <row r="163" spans="1:41" x14ac:dyDescent="0.25">
      <c r="A163" s="258">
        <v>322</v>
      </c>
      <c r="B163" s="264" t="s">
        <v>286</v>
      </c>
      <c r="C163" s="260">
        <v>70000</v>
      </c>
      <c r="D163" s="260">
        <f t="shared" ref="D163:P163" si="146">70000-70000</f>
        <v>0</v>
      </c>
      <c r="E163" s="260">
        <f t="shared" si="146"/>
        <v>0</v>
      </c>
      <c r="F163" s="260">
        <f t="shared" si="146"/>
        <v>0</v>
      </c>
      <c r="G163" s="260">
        <f t="shared" si="146"/>
        <v>0</v>
      </c>
      <c r="H163" s="260">
        <f t="shared" si="146"/>
        <v>0</v>
      </c>
      <c r="I163" s="260">
        <f t="shared" si="146"/>
        <v>0</v>
      </c>
      <c r="J163" s="260">
        <f t="shared" si="146"/>
        <v>0</v>
      </c>
      <c r="K163" s="260">
        <f t="shared" si="146"/>
        <v>0</v>
      </c>
      <c r="L163" s="260">
        <f t="shared" si="146"/>
        <v>0</v>
      </c>
      <c r="M163" s="260">
        <f t="shared" si="146"/>
        <v>0</v>
      </c>
      <c r="N163" s="260">
        <f t="shared" si="146"/>
        <v>0</v>
      </c>
      <c r="O163" s="260">
        <f t="shared" si="146"/>
        <v>0</v>
      </c>
      <c r="P163" s="260">
        <f t="shared" si="146"/>
        <v>0</v>
      </c>
      <c r="Q163" s="260">
        <v>0</v>
      </c>
      <c r="R163" s="260">
        <v>0</v>
      </c>
      <c r="S163" s="260">
        <v>0</v>
      </c>
      <c r="T163" s="260">
        <v>0</v>
      </c>
      <c r="U163" s="260">
        <v>0</v>
      </c>
      <c r="V163" s="260">
        <v>0</v>
      </c>
      <c r="W163" s="260">
        <v>0</v>
      </c>
      <c r="X163" s="260">
        <v>0</v>
      </c>
      <c r="Y163" s="728">
        <v>0</v>
      </c>
      <c r="Z163" s="1"/>
    </row>
    <row r="164" spans="1:41" x14ac:dyDescent="0.25">
      <c r="A164" s="261">
        <v>322</v>
      </c>
      <c r="B164" s="76" t="s">
        <v>787</v>
      </c>
      <c r="C164" s="263">
        <v>0</v>
      </c>
      <c r="D164" s="263">
        <v>0</v>
      </c>
      <c r="E164" s="263">
        <v>0</v>
      </c>
      <c r="F164" s="263">
        <v>0</v>
      </c>
      <c r="G164" s="263">
        <v>0</v>
      </c>
      <c r="H164" s="263">
        <v>0</v>
      </c>
      <c r="I164" s="263">
        <v>0</v>
      </c>
      <c r="J164" s="263">
        <v>0</v>
      </c>
      <c r="K164" s="263">
        <v>0</v>
      </c>
      <c r="L164" s="263">
        <v>0</v>
      </c>
      <c r="M164" s="263">
        <v>0</v>
      </c>
      <c r="N164" s="263">
        <v>0</v>
      </c>
      <c r="O164" s="263">
        <v>0</v>
      </c>
      <c r="P164" s="263">
        <v>0</v>
      </c>
      <c r="Q164" s="812">
        <v>831300</v>
      </c>
      <c r="R164" s="263">
        <v>831300</v>
      </c>
      <c r="S164" s="263">
        <v>831300</v>
      </c>
      <c r="T164" s="263">
        <v>831300</v>
      </c>
      <c r="U164" s="263">
        <v>831300</v>
      </c>
      <c r="V164" s="263">
        <v>831300</v>
      </c>
      <c r="W164" s="263">
        <v>831300</v>
      </c>
      <c r="X164" s="260">
        <v>0</v>
      </c>
      <c r="Y164" s="728">
        <f t="shared" si="123"/>
        <v>0</v>
      </c>
      <c r="Z164" s="1"/>
    </row>
    <row r="165" spans="1:41" x14ac:dyDescent="0.25">
      <c r="A165" s="258">
        <v>322</v>
      </c>
      <c r="B165" s="522" t="s">
        <v>841</v>
      </c>
      <c r="C165" s="260">
        <v>0</v>
      </c>
      <c r="D165" s="260">
        <v>0</v>
      </c>
      <c r="E165" s="260">
        <v>0</v>
      </c>
      <c r="F165" s="260">
        <v>0</v>
      </c>
      <c r="G165" s="260">
        <v>0</v>
      </c>
      <c r="H165" s="260">
        <v>0</v>
      </c>
      <c r="I165" s="260">
        <v>0</v>
      </c>
      <c r="J165" s="260">
        <v>0</v>
      </c>
      <c r="K165" s="260">
        <v>0</v>
      </c>
      <c r="L165" s="260">
        <v>0</v>
      </c>
      <c r="M165" s="260">
        <v>0</v>
      </c>
      <c r="N165" s="260">
        <v>0</v>
      </c>
      <c r="O165" s="260">
        <v>0</v>
      </c>
      <c r="P165" s="260">
        <v>0</v>
      </c>
      <c r="Q165" s="688">
        <v>30000</v>
      </c>
      <c r="R165" s="257">
        <v>30000</v>
      </c>
      <c r="S165" s="257">
        <v>30000</v>
      </c>
      <c r="T165" s="257">
        <v>30000</v>
      </c>
      <c r="U165" s="257">
        <v>30000</v>
      </c>
      <c r="V165" s="257">
        <v>30000</v>
      </c>
      <c r="W165" s="257">
        <v>30000</v>
      </c>
      <c r="X165" s="260">
        <v>0</v>
      </c>
      <c r="Y165" s="728">
        <f t="shared" si="123"/>
        <v>0</v>
      </c>
      <c r="Z165" s="1"/>
    </row>
    <row r="166" spans="1:41" x14ac:dyDescent="0.25">
      <c r="A166" s="258">
        <v>322</v>
      </c>
      <c r="B166" s="264" t="s">
        <v>996</v>
      </c>
      <c r="C166" s="260">
        <v>0</v>
      </c>
      <c r="D166" s="260">
        <v>0</v>
      </c>
      <c r="E166" s="260">
        <v>0</v>
      </c>
      <c r="F166" s="260">
        <v>0</v>
      </c>
      <c r="G166" s="260">
        <v>0</v>
      </c>
      <c r="H166" s="260">
        <v>0</v>
      </c>
      <c r="I166" s="260">
        <v>0</v>
      </c>
      <c r="J166" s="260">
        <v>0</v>
      </c>
      <c r="K166" s="260">
        <v>0</v>
      </c>
      <c r="L166" s="260">
        <v>0</v>
      </c>
      <c r="M166" s="260">
        <v>0</v>
      </c>
      <c r="N166" s="260">
        <v>0</v>
      </c>
      <c r="O166" s="260">
        <v>0</v>
      </c>
      <c r="P166" s="260">
        <v>0</v>
      </c>
      <c r="Q166" s="688">
        <v>70000</v>
      </c>
      <c r="R166" s="257">
        <v>70000</v>
      </c>
      <c r="S166" s="257">
        <v>70000</v>
      </c>
      <c r="T166" s="257">
        <v>70000</v>
      </c>
      <c r="U166" s="257">
        <v>70000</v>
      </c>
      <c r="V166" s="257">
        <v>70000</v>
      </c>
      <c r="W166" s="257">
        <v>70000</v>
      </c>
      <c r="X166" s="260">
        <v>70000</v>
      </c>
      <c r="Y166" s="728">
        <f t="shared" si="123"/>
        <v>1</v>
      </c>
    </row>
    <row r="167" spans="1:41" x14ac:dyDescent="0.25">
      <c r="A167" s="506">
        <v>322</v>
      </c>
      <c r="B167" s="522" t="s">
        <v>287</v>
      </c>
      <c r="C167" s="257">
        <f t="shared" ref="C167:W167" si="147">140750-105400</f>
        <v>35350</v>
      </c>
      <c r="D167" s="257">
        <f t="shared" si="147"/>
        <v>35350</v>
      </c>
      <c r="E167" s="257">
        <f t="shared" si="147"/>
        <v>35350</v>
      </c>
      <c r="F167" s="257">
        <f t="shared" si="147"/>
        <v>35350</v>
      </c>
      <c r="G167" s="257">
        <f t="shared" si="147"/>
        <v>35350</v>
      </c>
      <c r="H167" s="257">
        <f t="shared" si="147"/>
        <v>35350</v>
      </c>
      <c r="I167" s="257">
        <f t="shared" si="147"/>
        <v>35350</v>
      </c>
      <c r="J167" s="257">
        <f t="shared" si="147"/>
        <v>35350</v>
      </c>
      <c r="K167" s="257">
        <f t="shared" si="147"/>
        <v>35350</v>
      </c>
      <c r="L167" s="257">
        <f t="shared" si="147"/>
        <v>35350</v>
      </c>
      <c r="M167" s="257">
        <f t="shared" si="147"/>
        <v>35350</v>
      </c>
      <c r="N167" s="257">
        <f t="shared" si="147"/>
        <v>35350</v>
      </c>
      <c r="O167" s="257">
        <f t="shared" si="147"/>
        <v>35350</v>
      </c>
      <c r="P167" s="257">
        <f t="shared" si="147"/>
        <v>35350</v>
      </c>
      <c r="Q167" s="257">
        <f t="shared" si="147"/>
        <v>35350</v>
      </c>
      <c r="R167" s="257">
        <f t="shared" si="147"/>
        <v>35350</v>
      </c>
      <c r="S167" s="257">
        <f t="shared" si="147"/>
        <v>35350</v>
      </c>
      <c r="T167" s="257">
        <f t="shared" si="147"/>
        <v>35350</v>
      </c>
      <c r="U167" s="257">
        <f t="shared" si="147"/>
        <v>35350</v>
      </c>
      <c r="V167" s="257">
        <f t="shared" si="147"/>
        <v>35350</v>
      </c>
      <c r="W167" s="257">
        <f t="shared" si="147"/>
        <v>35350</v>
      </c>
      <c r="X167" s="260">
        <v>0</v>
      </c>
      <c r="Y167" s="728">
        <f t="shared" si="123"/>
        <v>0</v>
      </c>
      <c r="Z167" s="27"/>
      <c r="AA167" s="27"/>
      <c r="AB167" s="27"/>
    </row>
    <row r="168" spans="1:41" x14ac:dyDescent="0.25">
      <c r="A168" s="258">
        <v>322</v>
      </c>
      <c r="B168" s="114" t="s">
        <v>840</v>
      </c>
      <c r="C168" s="257">
        <v>0</v>
      </c>
      <c r="D168" s="257">
        <v>0</v>
      </c>
      <c r="E168" s="257">
        <v>0</v>
      </c>
      <c r="F168" s="257">
        <v>0</v>
      </c>
      <c r="G168" s="257">
        <v>0</v>
      </c>
      <c r="H168" s="257">
        <v>0</v>
      </c>
      <c r="I168" s="257">
        <v>0</v>
      </c>
      <c r="J168" s="257">
        <v>0</v>
      </c>
      <c r="K168" s="257">
        <v>0</v>
      </c>
      <c r="L168" s="257">
        <v>0</v>
      </c>
      <c r="M168" s="257">
        <v>0</v>
      </c>
      <c r="N168" s="257">
        <v>0</v>
      </c>
      <c r="O168" s="257">
        <v>0</v>
      </c>
      <c r="P168" s="257">
        <v>0</v>
      </c>
      <c r="Q168" s="688">
        <v>9000</v>
      </c>
      <c r="R168" s="257">
        <v>9000</v>
      </c>
      <c r="S168" s="257">
        <v>9000</v>
      </c>
      <c r="T168" s="257">
        <v>9000</v>
      </c>
      <c r="U168" s="257">
        <v>9000</v>
      </c>
      <c r="V168" s="257">
        <v>9000</v>
      </c>
      <c r="W168" s="257">
        <v>9000</v>
      </c>
      <c r="X168" s="260">
        <v>9000</v>
      </c>
      <c r="Y168" s="728">
        <f t="shared" si="123"/>
        <v>1</v>
      </c>
      <c r="Z168" s="1"/>
    </row>
    <row r="169" spans="1:41" ht="15.75" thickBot="1" x14ac:dyDescent="0.3">
      <c r="A169" s="258">
        <v>322</v>
      </c>
      <c r="B169" s="84" t="s">
        <v>809</v>
      </c>
      <c r="C169" s="257">
        <v>0</v>
      </c>
      <c r="D169" s="257">
        <v>0</v>
      </c>
      <c r="E169" s="257">
        <v>0</v>
      </c>
      <c r="F169" s="257">
        <v>0</v>
      </c>
      <c r="G169" s="257">
        <v>0</v>
      </c>
      <c r="H169" s="257">
        <v>0</v>
      </c>
      <c r="I169" s="257">
        <v>0</v>
      </c>
      <c r="J169" s="257">
        <v>0</v>
      </c>
      <c r="K169" s="257">
        <v>0</v>
      </c>
      <c r="L169" s="257">
        <v>0</v>
      </c>
      <c r="M169" s="257">
        <v>0</v>
      </c>
      <c r="N169" s="257">
        <v>0</v>
      </c>
      <c r="O169" s="257">
        <v>0</v>
      </c>
      <c r="P169" s="257">
        <v>0</v>
      </c>
      <c r="Q169" s="688">
        <v>200000</v>
      </c>
      <c r="R169" s="257">
        <v>200000</v>
      </c>
      <c r="S169" s="257">
        <v>200000</v>
      </c>
      <c r="T169" s="257">
        <v>200000</v>
      </c>
      <c r="U169" s="257">
        <v>200000</v>
      </c>
      <c r="V169" s="257">
        <v>200000</v>
      </c>
      <c r="W169" s="257">
        <v>200000</v>
      </c>
      <c r="X169" s="260">
        <v>0</v>
      </c>
      <c r="Y169" s="728">
        <f t="shared" si="123"/>
        <v>0</v>
      </c>
      <c r="Z169" s="27">
        <f>SUM(R152:R169)</f>
        <v>3946970</v>
      </c>
      <c r="AA169" s="27">
        <f>SUM(X152:X169)</f>
        <v>1762647.73</v>
      </c>
    </row>
    <row r="170" spans="1:41" ht="25.5" customHeight="1" thickBot="1" x14ac:dyDescent="0.3">
      <c r="A170" s="878" t="s">
        <v>161</v>
      </c>
      <c r="B170" s="879"/>
      <c r="C170" s="253">
        <f t="shared" ref="C170:X170" si="148">SUM(C171:C199)</f>
        <v>3144736</v>
      </c>
      <c r="D170" s="253">
        <f t="shared" si="148"/>
        <v>3137146</v>
      </c>
      <c r="E170" s="253">
        <f t="shared" si="148"/>
        <v>3124966</v>
      </c>
      <c r="F170" s="253">
        <f t="shared" si="148"/>
        <v>3124966</v>
      </c>
      <c r="G170" s="253">
        <f t="shared" si="148"/>
        <v>3154766</v>
      </c>
      <c r="H170" s="253">
        <f t="shared" si="148"/>
        <v>3154766</v>
      </c>
      <c r="I170" s="253">
        <f t="shared" si="148"/>
        <v>3154766</v>
      </c>
      <c r="J170" s="253">
        <f t="shared" si="148"/>
        <v>3154766</v>
      </c>
      <c r="K170" s="253">
        <f t="shared" si="148"/>
        <v>3154766</v>
      </c>
      <c r="L170" s="253">
        <f t="shared" si="148"/>
        <v>3228166</v>
      </c>
      <c r="M170" s="253">
        <f t="shared" si="148"/>
        <v>3633366</v>
      </c>
      <c r="N170" s="253">
        <f t="shared" si="148"/>
        <v>3633366</v>
      </c>
      <c r="O170" s="253">
        <f t="shared" si="148"/>
        <v>3728366</v>
      </c>
      <c r="P170" s="253">
        <f t="shared" si="148"/>
        <v>3728366</v>
      </c>
      <c r="Q170" s="253">
        <f t="shared" si="148"/>
        <v>4868666</v>
      </c>
      <c r="R170" s="253">
        <f t="shared" si="148"/>
        <v>4868666</v>
      </c>
      <c r="S170" s="253">
        <f t="shared" si="148"/>
        <v>4868666</v>
      </c>
      <c r="T170" s="253">
        <f t="shared" si="148"/>
        <v>4868666</v>
      </c>
      <c r="U170" s="253">
        <f t="shared" si="148"/>
        <v>4868666</v>
      </c>
      <c r="V170" s="253">
        <f t="shared" ref="V170:W170" si="149">SUM(V171:V199)</f>
        <v>4868666</v>
      </c>
      <c r="W170" s="253">
        <f t="shared" si="149"/>
        <v>4868666</v>
      </c>
      <c r="X170" s="253">
        <f t="shared" si="148"/>
        <v>2016606</v>
      </c>
      <c r="Y170" s="728">
        <f t="shared" si="123"/>
        <v>0.41420093306872968</v>
      </c>
      <c r="Z170" s="27">
        <f t="shared" ref="Z170:AO170" si="150">D170-C170</f>
        <v>-7590</v>
      </c>
      <c r="AA170" s="27">
        <f t="shared" si="150"/>
        <v>-12180</v>
      </c>
      <c r="AB170" s="27">
        <f t="shared" si="150"/>
        <v>0</v>
      </c>
      <c r="AC170" s="27">
        <f t="shared" si="150"/>
        <v>29800</v>
      </c>
      <c r="AD170" s="27">
        <f t="shared" si="150"/>
        <v>0</v>
      </c>
      <c r="AE170" s="27">
        <f t="shared" si="150"/>
        <v>0</v>
      </c>
      <c r="AF170" s="27">
        <f t="shared" si="150"/>
        <v>0</v>
      </c>
      <c r="AG170" s="27">
        <f t="shared" si="150"/>
        <v>0</v>
      </c>
      <c r="AH170" s="27">
        <f t="shared" si="150"/>
        <v>73400</v>
      </c>
      <c r="AI170" s="27">
        <f t="shared" si="150"/>
        <v>405200</v>
      </c>
      <c r="AJ170" s="27">
        <f t="shared" si="150"/>
        <v>0</v>
      </c>
      <c r="AK170" s="27">
        <f t="shared" si="150"/>
        <v>95000</v>
      </c>
      <c r="AL170" s="27">
        <f t="shared" si="150"/>
        <v>0</v>
      </c>
      <c r="AM170" s="27">
        <f t="shared" si="150"/>
        <v>1140300</v>
      </c>
      <c r="AN170" s="27">
        <f t="shared" si="150"/>
        <v>0</v>
      </c>
      <c r="AO170" s="27">
        <f t="shared" si="150"/>
        <v>0</v>
      </c>
    </row>
    <row r="171" spans="1:41" x14ac:dyDescent="0.25">
      <c r="A171" s="710" t="s">
        <v>82</v>
      </c>
      <c r="B171" s="711" t="s">
        <v>200</v>
      </c>
      <c r="C171" s="268">
        <v>30000</v>
      </c>
      <c r="D171" s="268">
        <v>30000</v>
      </c>
      <c r="E171" s="268">
        <v>30000</v>
      </c>
      <c r="F171" s="268">
        <v>30000</v>
      </c>
      <c r="G171" s="268">
        <v>30000</v>
      </c>
      <c r="H171" s="268">
        <v>30000</v>
      </c>
      <c r="I171" s="268">
        <v>30000</v>
      </c>
      <c r="J171" s="268">
        <v>30000</v>
      </c>
      <c r="K171" s="268">
        <v>30000</v>
      </c>
      <c r="L171" s="268">
        <v>30000</v>
      </c>
      <c r="M171" s="268">
        <v>30000</v>
      </c>
      <c r="N171" s="268">
        <v>30000</v>
      </c>
      <c r="O171" s="268">
        <v>30000</v>
      </c>
      <c r="P171" s="268">
        <v>30000</v>
      </c>
      <c r="Q171" s="268">
        <v>30000</v>
      </c>
      <c r="R171" s="268">
        <v>30000</v>
      </c>
      <c r="S171" s="268">
        <v>30000</v>
      </c>
      <c r="T171" s="268">
        <v>30000</v>
      </c>
      <c r="U171" s="268">
        <v>30000</v>
      </c>
      <c r="V171" s="774">
        <f>30000-5800</f>
        <v>24200</v>
      </c>
      <c r="W171" s="268">
        <f>30000-5800</f>
        <v>24200</v>
      </c>
      <c r="X171" s="268">
        <v>324</v>
      </c>
      <c r="Y171" s="728">
        <f t="shared" si="123"/>
        <v>1.3388429752066116E-2</v>
      </c>
      <c r="Z171" s="27"/>
    </row>
    <row r="172" spans="1:41" x14ac:dyDescent="0.25">
      <c r="A172" s="275" t="s">
        <v>82</v>
      </c>
      <c r="B172" s="265" t="s">
        <v>163</v>
      </c>
      <c r="C172" s="276">
        <v>1500</v>
      </c>
      <c r="D172" s="276">
        <v>1500</v>
      </c>
      <c r="E172" s="276">
        <v>1500</v>
      </c>
      <c r="F172" s="276">
        <v>1500</v>
      </c>
      <c r="G172" s="276">
        <v>1500</v>
      </c>
      <c r="H172" s="276">
        <v>1500</v>
      </c>
      <c r="I172" s="276">
        <v>1500</v>
      </c>
      <c r="J172" s="276">
        <v>1500</v>
      </c>
      <c r="K172" s="276">
        <v>1500</v>
      </c>
      <c r="L172" s="276">
        <v>1500</v>
      </c>
      <c r="M172" s="276">
        <v>1500</v>
      </c>
      <c r="N172" s="276">
        <v>1500</v>
      </c>
      <c r="O172" s="276">
        <v>1500</v>
      </c>
      <c r="P172" s="276">
        <v>1500</v>
      </c>
      <c r="Q172" s="276">
        <v>1500</v>
      </c>
      <c r="R172" s="276">
        <v>1500</v>
      </c>
      <c r="S172" s="276">
        <v>1500</v>
      </c>
      <c r="T172" s="276">
        <v>1500</v>
      </c>
      <c r="U172" s="276">
        <v>1500</v>
      </c>
      <c r="V172" s="276">
        <v>1500</v>
      </c>
      <c r="W172" s="276">
        <v>1500</v>
      </c>
      <c r="X172" s="276">
        <v>0</v>
      </c>
      <c r="Y172" s="728">
        <f t="shared" si="123"/>
        <v>0</v>
      </c>
      <c r="Z172" s="1"/>
    </row>
    <row r="173" spans="1:41" x14ac:dyDescent="0.25">
      <c r="A173" s="277" t="s">
        <v>84</v>
      </c>
      <c r="B173" s="473" t="s">
        <v>990</v>
      </c>
      <c r="C173" s="279">
        <v>0</v>
      </c>
      <c r="D173" s="279">
        <v>0</v>
      </c>
      <c r="E173" s="279">
        <v>0</v>
      </c>
      <c r="F173" s="279">
        <v>0</v>
      </c>
      <c r="G173" s="279">
        <v>0</v>
      </c>
      <c r="H173" s="279">
        <v>0</v>
      </c>
      <c r="I173" s="279">
        <v>0</v>
      </c>
      <c r="J173" s="279">
        <v>0</v>
      </c>
      <c r="K173" s="279">
        <v>0</v>
      </c>
      <c r="L173" s="279">
        <v>0</v>
      </c>
      <c r="M173" s="279">
        <v>0</v>
      </c>
      <c r="N173" s="279">
        <v>0</v>
      </c>
      <c r="O173" s="279">
        <v>0</v>
      </c>
      <c r="P173" s="279">
        <v>0</v>
      </c>
      <c r="Q173" s="279">
        <v>0</v>
      </c>
      <c r="R173" s="279">
        <v>0</v>
      </c>
      <c r="S173" s="279">
        <v>0</v>
      </c>
      <c r="T173" s="279">
        <v>0</v>
      </c>
      <c r="U173" s="279">
        <v>0</v>
      </c>
      <c r="V173" s="790">
        <v>3800</v>
      </c>
      <c r="W173" s="279">
        <v>3800</v>
      </c>
      <c r="X173" s="276">
        <v>3764</v>
      </c>
      <c r="Y173" s="728">
        <f t="shared" si="123"/>
        <v>0.9905263157894737</v>
      </c>
      <c r="Z173" s="1"/>
    </row>
    <row r="174" spans="1:41" x14ac:dyDescent="0.25">
      <c r="A174" s="280" t="s">
        <v>87</v>
      </c>
      <c r="B174" s="556" t="s">
        <v>332</v>
      </c>
      <c r="C174" s="282">
        <v>151200</v>
      </c>
      <c r="D174" s="282">
        <v>151200</v>
      </c>
      <c r="E174" s="282">
        <v>151200</v>
      </c>
      <c r="F174" s="282">
        <v>151200</v>
      </c>
      <c r="G174" s="282">
        <v>151200</v>
      </c>
      <c r="H174" s="282">
        <v>151200</v>
      </c>
      <c r="I174" s="282">
        <v>151200</v>
      </c>
      <c r="J174" s="282">
        <v>151200</v>
      </c>
      <c r="K174" s="282">
        <v>151200</v>
      </c>
      <c r="L174" s="282">
        <v>151200</v>
      </c>
      <c r="M174" s="709">
        <f>151200+3530</f>
        <v>154730</v>
      </c>
      <c r="N174" s="282">
        <f>151200+3530</f>
        <v>154730</v>
      </c>
      <c r="O174" s="282">
        <f>151200+3530</f>
        <v>154730</v>
      </c>
      <c r="P174" s="282">
        <f>151200+3530</f>
        <v>154730</v>
      </c>
      <c r="Q174" s="282">
        <f t="shared" ref="Q174:S174" si="151">151200+3530</f>
        <v>154730</v>
      </c>
      <c r="R174" s="282">
        <f t="shared" si="151"/>
        <v>154730</v>
      </c>
      <c r="S174" s="282">
        <f t="shared" si="151"/>
        <v>154730</v>
      </c>
      <c r="T174" s="282">
        <f>151200+3530</f>
        <v>154730</v>
      </c>
      <c r="U174" s="282">
        <f>151200+3530</f>
        <v>154730</v>
      </c>
      <c r="V174" s="282">
        <f>151200+3530</f>
        <v>154730</v>
      </c>
      <c r="W174" s="282">
        <f>151200+3530</f>
        <v>154730</v>
      </c>
      <c r="X174" s="276">
        <v>153811</v>
      </c>
      <c r="Y174" s="728">
        <f t="shared" si="123"/>
        <v>0.99406062172817167</v>
      </c>
      <c r="Z174" s="1"/>
    </row>
    <row r="175" spans="1:41" x14ac:dyDescent="0.25">
      <c r="A175" s="280" t="s">
        <v>89</v>
      </c>
      <c r="B175" s="281" t="s">
        <v>844</v>
      </c>
      <c r="C175" s="270">
        <v>100000</v>
      </c>
      <c r="D175" s="270">
        <v>100000</v>
      </c>
      <c r="E175" s="270">
        <v>100000</v>
      </c>
      <c r="F175" s="270">
        <v>100000</v>
      </c>
      <c r="G175" s="270">
        <v>100000</v>
      </c>
      <c r="H175" s="270">
        <v>100000</v>
      </c>
      <c r="I175" s="270">
        <v>100000</v>
      </c>
      <c r="J175" s="270">
        <v>100000</v>
      </c>
      <c r="K175" s="270">
        <v>100000</v>
      </c>
      <c r="L175" s="270">
        <v>100000</v>
      </c>
      <c r="M175" s="270">
        <v>100000</v>
      </c>
      <c r="N175" s="270">
        <v>100000</v>
      </c>
      <c r="O175" s="270">
        <v>100000</v>
      </c>
      <c r="P175" s="270">
        <v>100000</v>
      </c>
      <c r="Q175" s="270">
        <v>100000</v>
      </c>
      <c r="R175" s="270">
        <v>100000</v>
      </c>
      <c r="S175" s="270">
        <v>100000</v>
      </c>
      <c r="T175" s="270">
        <v>100000</v>
      </c>
      <c r="U175" s="270">
        <v>100000</v>
      </c>
      <c r="V175" s="270">
        <v>100000</v>
      </c>
      <c r="W175" s="270">
        <v>100000</v>
      </c>
      <c r="X175" s="276">
        <v>39588</v>
      </c>
      <c r="Y175" s="728">
        <f t="shared" si="123"/>
        <v>0.39588000000000001</v>
      </c>
      <c r="Z175" s="1"/>
    </row>
    <row r="176" spans="1:41" x14ac:dyDescent="0.25">
      <c r="A176" s="706" t="s">
        <v>93</v>
      </c>
      <c r="B176" s="707" t="s">
        <v>350</v>
      </c>
      <c r="C176" s="270">
        <v>196500</v>
      </c>
      <c r="D176" s="270">
        <v>196500</v>
      </c>
      <c r="E176" s="753">
        <f t="shared" ref="E176:S176" si="152">196500-12860</f>
        <v>183640</v>
      </c>
      <c r="F176" s="270">
        <f t="shared" si="152"/>
        <v>183640</v>
      </c>
      <c r="G176" s="270">
        <f t="shared" si="152"/>
        <v>183640</v>
      </c>
      <c r="H176" s="270">
        <f t="shared" si="152"/>
        <v>183640</v>
      </c>
      <c r="I176" s="270">
        <f t="shared" si="152"/>
        <v>183640</v>
      </c>
      <c r="J176" s="270">
        <f t="shared" si="152"/>
        <v>183640</v>
      </c>
      <c r="K176" s="270">
        <f t="shared" si="152"/>
        <v>183640</v>
      </c>
      <c r="L176" s="270">
        <f t="shared" si="152"/>
        <v>183640</v>
      </c>
      <c r="M176" s="270">
        <f t="shared" si="152"/>
        <v>183640</v>
      </c>
      <c r="N176" s="270">
        <f t="shared" si="152"/>
        <v>183640</v>
      </c>
      <c r="O176" s="270">
        <f t="shared" si="152"/>
        <v>183640</v>
      </c>
      <c r="P176" s="270">
        <f t="shared" si="152"/>
        <v>183640</v>
      </c>
      <c r="Q176" s="270">
        <f t="shared" si="152"/>
        <v>183640</v>
      </c>
      <c r="R176" s="270">
        <f t="shared" si="152"/>
        <v>183640</v>
      </c>
      <c r="S176" s="270">
        <f t="shared" si="152"/>
        <v>183640</v>
      </c>
      <c r="T176" s="753">
        <f>196500-12860+3070</f>
        <v>186710</v>
      </c>
      <c r="U176" s="270">
        <f>196500-12860+3070</f>
        <v>186710</v>
      </c>
      <c r="V176" s="753">
        <f>196500-12860+3070+2000</f>
        <v>188710</v>
      </c>
      <c r="W176" s="270">
        <f>196500-12860+3070+2000</f>
        <v>188710</v>
      </c>
      <c r="X176" s="276">
        <f>6276+152930</f>
        <v>159206</v>
      </c>
      <c r="Y176" s="728">
        <f t="shared" si="123"/>
        <v>0.84365428435165069</v>
      </c>
      <c r="Z176" s="1">
        <f>182433+6277</f>
        <v>188710</v>
      </c>
    </row>
    <row r="177" spans="1:26" x14ac:dyDescent="0.25">
      <c r="A177" s="706" t="s">
        <v>93</v>
      </c>
      <c r="B177" s="707" t="s">
        <v>845</v>
      </c>
      <c r="C177" s="270">
        <v>0</v>
      </c>
      <c r="D177" s="270">
        <v>0</v>
      </c>
      <c r="E177" s="270">
        <v>0</v>
      </c>
      <c r="F177" s="270">
        <v>0</v>
      </c>
      <c r="G177" s="270">
        <v>0</v>
      </c>
      <c r="H177" s="270">
        <v>0</v>
      </c>
      <c r="I177" s="270">
        <v>0</v>
      </c>
      <c r="J177" s="270">
        <v>0</v>
      </c>
      <c r="K177" s="270">
        <v>0</v>
      </c>
      <c r="L177" s="270">
        <v>0</v>
      </c>
      <c r="M177" s="270">
        <v>0</v>
      </c>
      <c r="N177" s="270">
        <v>0</v>
      </c>
      <c r="O177" s="270">
        <v>0</v>
      </c>
      <c r="P177" s="270">
        <v>0</v>
      </c>
      <c r="Q177" s="753">
        <v>30300</v>
      </c>
      <c r="R177" s="270">
        <v>30300</v>
      </c>
      <c r="S177" s="270">
        <v>30300</v>
      </c>
      <c r="T177" s="270">
        <v>30300</v>
      </c>
      <c r="U177" s="270">
        <v>30300</v>
      </c>
      <c r="V177" s="270">
        <v>30300</v>
      </c>
      <c r="W177" s="270">
        <v>30300</v>
      </c>
      <c r="X177" s="276">
        <v>0</v>
      </c>
      <c r="Y177" s="728">
        <f t="shared" si="123"/>
        <v>0</v>
      </c>
      <c r="Z177" s="1"/>
    </row>
    <row r="178" spans="1:26" x14ac:dyDescent="0.25">
      <c r="A178" s="706" t="s">
        <v>164</v>
      </c>
      <c r="B178" s="708" t="s">
        <v>165</v>
      </c>
      <c r="C178" s="270">
        <v>23000</v>
      </c>
      <c r="D178" s="270">
        <v>23000</v>
      </c>
      <c r="E178" s="270">
        <v>23000</v>
      </c>
      <c r="F178" s="270">
        <v>23000</v>
      </c>
      <c r="G178" s="270">
        <v>23000</v>
      </c>
      <c r="H178" s="270">
        <v>23000</v>
      </c>
      <c r="I178" s="270">
        <v>23000</v>
      </c>
      <c r="J178" s="270">
        <v>23000</v>
      </c>
      <c r="K178" s="270">
        <v>23000</v>
      </c>
      <c r="L178" s="270">
        <v>23000</v>
      </c>
      <c r="M178" s="270">
        <v>23000</v>
      </c>
      <c r="N178" s="270">
        <v>23000</v>
      </c>
      <c r="O178" s="270">
        <v>23000</v>
      </c>
      <c r="P178" s="270">
        <v>23000</v>
      </c>
      <c r="Q178" s="753">
        <f t="shared" ref="Q178:W178" si="153">23000-20000</f>
        <v>3000</v>
      </c>
      <c r="R178" s="270">
        <f t="shared" si="153"/>
        <v>3000</v>
      </c>
      <c r="S178" s="270">
        <f t="shared" si="153"/>
        <v>3000</v>
      </c>
      <c r="T178" s="270">
        <f t="shared" si="153"/>
        <v>3000</v>
      </c>
      <c r="U178" s="270">
        <f t="shared" si="153"/>
        <v>3000</v>
      </c>
      <c r="V178" s="270">
        <f t="shared" si="153"/>
        <v>3000</v>
      </c>
      <c r="W178" s="270">
        <f t="shared" si="153"/>
        <v>3000</v>
      </c>
      <c r="X178" s="276">
        <v>0</v>
      </c>
      <c r="Y178" s="728">
        <f t="shared" si="123"/>
        <v>0</v>
      </c>
      <c r="Z178" s="1"/>
    </row>
    <row r="179" spans="1:26" x14ac:dyDescent="0.25">
      <c r="A179" s="287" t="s">
        <v>96</v>
      </c>
      <c r="B179" s="285" t="s">
        <v>475</v>
      </c>
      <c r="C179" s="270">
        <v>10000</v>
      </c>
      <c r="D179" s="270">
        <v>10000</v>
      </c>
      <c r="E179" s="753">
        <f t="shared" ref="E179:P179" si="154">10000-5700</f>
        <v>4300</v>
      </c>
      <c r="F179" s="270">
        <f t="shared" si="154"/>
        <v>4300</v>
      </c>
      <c r="G179" s="270">
        <f t="shared" si="154"/>
        <v>4300</v>
      </c>
      <c r="H179" s="270">
        <f t="shared" si="154"/>
        <v>4300</v>
      </c>
      <c r="I179" s="270">
        <f t="shared" si="154"/>
        <v>4300</v>
      </c>
      <c r="J179" s="270">
        <f t="shared" si="154"/>
        <v>4300</v>
      </c>
      <c r="K179" s="270">
        <f t="shared" si="154"/>
        <v>4300</v>
      </c>
      <c r="L179" s="270">
        <f t="shared" si="154"/>
        <v>4300</v>
      </c>
      <c r="M179" s="270">
        <f t="shared" si="154"/>
        <v>4300</v>
      </c>
      <c r="N179" s="270">
        <f t="shared" si="154"/>
        <v>4300</v>
      </c>
      <c r="O179" s="270">
        <f t="shared" si="154"/>
        <v>4300</v>
      </c>
      <c r="P179" s="270">
        <f t="shared" si="154"/>
        <v>4300</v>
      </c>
      <c r="Q179" s="753">
        <f t="shared" ref="Q179:W179" si="155">10000-5700-4300</f>
        <v>0</v>
      </c>
      <c r="R179" s="270">
        <f t="shared" si="155"/>
        <v>0</v>
      </c>
      <c r="S179" s="270">
        <f t="shared" si="155"/>
        <v>0</v>
      </c>
      <c r="T179" s="270">
        <f t="shared" si="155"/>
        <v>0</v>
      </c>
      <c r="U179" s="270">
        <f t="shared" si="155"/>
        <v>0</v>
      </c>
      <c r="V179" s="270">
        <f t="shared" si="155"/>
        <v>0</v>
      </c>
      <c r="W179" s="270">
        <f t="shared" si="155"/>
        <v>0</v>
      </c>
      <c r="X179" s="276">
        <v>0</v>
      </c>
      <c r="Y179" s="728">
        <v>0</v>
      </c>
      <c r="Z179" s="27"/>
    </row>
    <row r="180" spans="1:26" x14ac:dyDescent="0.25">
      <c r="A180" s="284" t="s">
        <v>96</v>
      </c>
      <c r="B180" s="493" t="s">
        <v>357</v>
      </c>
      <c r="C180" s="270">
        <v>221836</v>
      </c>
      <c r="D180" s="270">
        <v>221836</v>
      </c>
      <c r="E180" s="753">
        <f>221836-34376</f>
        <v>187460</v>
      </c>
      <c r="F180" s="270">
        <f>221836-34376</f>
        <v>187460</v>
      </c>
      <c r="G180" s="753">
        <f>221836-34376-55000-300</f>
        <v>132160</v>
      </c>
      <c r="H180" s="270">
        <f>221836-34376-55000-300</f>
        <v>132160</v>
      </c>
      <c r="I180" s="270">
        <f>221836-34376-55000-300</f>
        <v>132160</v>
      </c>
      <c r="J180" s="270">
        <f>221836-34376-55000-300</f>
        <v>132160</v>
      </c>
      <c r="K180" s="270">
        <f>221836-34376-55000-300</f>
        <v>132160</v>
      </c>
      <c r="L180" s="753">
        <f>221836-34376-55000-300-8200</f>
        <v>123960</v>
      </c>
      <c r="M180" s="753">
        <f>221836-34376-55000-300-8200+142470</f>
        <v>266430</v>
      </c>
      <c r="N180" s="270">
        <f>221836-34376-55000-300-8200+142470</f>
        <v>266430</v>
      </c>
      <c r="O180" s="270">
        <f>221836-34376-55000-300-8200+142470</f>
        <v>266430</v>
      </c>
      <c r="P180" s="270">
        <f>221836-34376-55000-300-8200+142470</f>
        <v>266430</v>
      </c>
      <c r="Q180" s="753">
        <f t="shared" ref="Q180:W180" si="156">221836-34376-55000-300-8200+142470-222630</f>
        <v>43800</v>
      </c>
      <c r="R180" s="270">
        <f t="shared" si="156"/>
        <v>43800</v>
      </c>
      <c r="S180" s="270">
        <f t="shared" si="156"/>
        <v>43800</v>
      </c>
      <c r="T180" s="270">
        <f t="shared" si="156"/>
        <v>43800</v>
      </c>
      <c r="U180" s="270">
        <f t="shared" si="156"/>
        <v>43800</v>
      </c>
      <c r="V180" s="270">
        <f t="shared" si="156"/>
        <v>43800</v>
      </c>
      <c r="W180" s="270">
        <f t="shared" si="156"/>
        <v>43800</v>
      </c>
      <c r="X180" s="276">
        <v>0</v>
      </c>
      <c r="Y180" s="728">
        <f t="shared" si="123"/>
        <v>0</v>
      </c>
      <c r="Z180" s="1"/>
    </row>
    <row r="181" spans="1:26" x14ac:dyDescent="0.25">
      <c r="A181" s="287" t="s">
        <v>301</v>
      </c>
      <c r="B181" s="530" t="s">
        <v>476</v>
      </c>
      <c r="C181" s="276">
        <v>216000</v>
      </c>
      <c r="D181" s="276">
        <v>216000</v>
      </c>
      <c r="E181" s="276">
        <v>216000</v>
      </c>
      <c r="F181" s="276">
        <v>216000</v>
      </c>
      <c r="G181" s="276">
        <v>216000</v>
      </c>
      <c r="H181" s="276">
        <v>216000</v>
      </c>
      <c r="I181" s="276">
        <v>216000</v>
      </c>
      <c r="J181" s="276">
        <v>216000</v>
      </c>
      <c r="K181" s="276">
        <v>216000</v>
      </c>
      <c r="L181" s="276">
        <v>216000</v>
      </c>
      <c r="M181" s="742">
        <f>216000+71000</f>
        <v>287000</v>
      </c>
      <c r="N181" s="276">
        <f>216000+71000</f>
        <v>287000</v>
      </c>
      <c r="O181" s="276">
        <f>216000+71000</f>
        <v>287000</v>
      </c>
      <c r="P181" s="276">
        <f>216000+71000</f>
        <v>287000</v>
      </c>
      <c r="Q181" s="276">
        <f t="shared" ref="Q181:W181" si="157">216000+71000</f>
        <v>287000</v>
      </c>
      <c r="R181" s="276">
        <f t="shared" si="157"/>
        <v>287000</v>
      </c>
      <c r="S181" s="276">
        <f t="shared" si="157"/>
        <v>287000</v>
      </c>
      <c r="T181" s="276">
        <f t="shared" si="157"/>
        <v>287000</v>
      </c>
      <c r="U181" s="276">
        <f t="shared" si="157"/>
        <v>287000</v>
      </c>
      <c r="V181" s="276">
        <f t="shared" si="157"/>
        <v>287000</v>
      </c>
      <c r="W181" s="276">
        <f t="shared" si="157"/>
        <v>287000</v>
      </c>
      <c r="X181" s="276">
        <v>2300</v>
      </c>
      <c r="Y181" s="728">
        <f t="shared" si="123"/>
        <v>8.0139372822299656E-3</v>
      </c>
      <c r="Z181" s="1"/>
    </row>
    <row r="182" spans="1:26" x14ac:dyDescent="0.25">
      <c r="A182" s="287" t="s">
        <v>98</v>
      </c>
      <c r="B182" s="492" t="s">
        <v>847</v>
      </c>
      <c r="C182" s="276">
        <v>112000</v>
      </c>
      <c r="D182" s="276">
        <v>112000</v>
      </c>
      <c r="E182" s="276">
        <v>112000</v>
      </c>
      <c r="F182" s="276">
        <v>112000</v>
      </c>
      <c r="G182" s="742">
        <f t="shared" ref="G182:P182" si="158">112000+300</f>
        <v>112300</v>
      </c>
      <c r="H182" s="276">
        <f t="shared" si="158"/>
        <v>112300</v>
      </c>
      <c r="I182" s="276">
        <f t="shared" si="158"/>
        <v>112300</v>
      </c>
      <c r="J182" s="276">
        <f t="shared" si="158"/>
        <v>112300</v>
      </c>
      <c r="K182" s="276">
        <f t="shared" si="158"/>
        <v>112300</v>
      </c>
      <c r="L182" s="276">
        <f t="shared" si="158"/>
        <v>112300</v>
      </c>
      <c r="M182" s="276">
        <f t="shared" si="158"/>
        <v>112300</v>
      </c>
      <c r="N182" s="276">
        <f t="shared" si="158"/>
        <v>112300</v>
      </c>
      <c r="O182" s="276">
        <f t="shared" si="158"/>
        <v>112300</v>
      </c>
      <c r="P182" s="276">
        <f t="shared" si="158"/>
        <v>112300</v>
      </c>
      <c r="Q182" s="276">
        <f t="shared" ref="Q182:W182" si="159">112000+300</f>
        <v>112300</v>
      </c>
      <c r="R182" s="276">
        <f t="shared" si="159"/>
        <v>112300</v>
      </c>
      <c r="S182" s="276">
        <f t="shared" si="159"/>
        <v>112300</v>
      </c>
      <c r="T182" s="276">
        <f t="shared" si="159"/>
        <v>112300</v>
      </c>
      <c r="U182" s="276">
        <f t="shared" si="159"/>
        <v>112300</v>
      </c>
      <c r="V182" s="276">
        <f t="shared" si="159"/>
        <v>112300</v>
      </c>
      <c r="W182" s="276">
        <f t="shared" si="159"/>
        <v>112300</v>
      </c>
      <c r="X182" s="276">
        <v>110291</v>
      </c>
      <c r="Y182" s="728">
        <f t="shared" si="123"/>
        <v>0.98211041852181657</v>
      </c>
      <c r="Z182" s="27"/>
    </row>
    <row r="183" spans="1:26" x14ac:dyDescent="0.25">
      <c r="A183" s="287" t="s">
        <v>846</v>
      </c>
      <c r="B183" s="492" t="s">
        <v>992</v>
      </c>
      <c r="C183" s="279">
        <v>0</v>
      </c>
      <c r="D183" s="279">
        <v>0</v>
      </c>
      <c r="E183" s="279">
        <v>0</v>
      </c>
      <c r="F183" s="279">
        <v>0</v>
      </c>
      <c r="G183" s="279">
        <v>0</v>
      </c>
      <c r="H183" s="279">
        <v>0</v>
      </c>
      <c r="I183" s="279">
        <v>0</v>
      </c>
      <c r="J183" s="279">
        <v>0</v>
      </c>
      <c r="K183" s="279">
        <v>0</v>
      </c>
      <c r="L183" s="279">
        <v>0</v>
      </c>
      <c r="M183" s="279">
        <v>0</v>
      </c>
      <c r="N183" s="279">
        <v>0</v>
      </c>
      <c r="O183" s="279">
        <v>0</v>
      </c>
      <c r="P183" s="279">
        <v>0</v>
      </c>
      <c r="Q183" s="790">
        <v>73000</v>
      </c>
      <c r="R183" s="279">
        <v>73000</v>
      </c>
      <c r="S183" s="279">
        <v>73000</v>
      </c>
      <c r="T183" s="790">
        <f>73000+6000</f>
        <v>79000</v>
      </c>
      <c r="U183" s="279">
        <f>73000+6000</f>
        <v>79000</v>
      </c>
      <c r="V183" s="279">
        <f>73000+6000</f>
        <v>79000</v>
      </c>
      <c r="W183" s="279">
        <f>73000+6000</f>
        <v>79000</v>
      </c>
      <c r="X183" s="276">
        <v>0</v>
      </c>
      <c r="Y183" s="728">
        <f t="shared" si="123"/>
        <v>0</v>
      </c>
      <c r="Z183" s="27"/>
    </row>
    <row r="184" spans="1:26" x14ac:dyDescent="0.25">
      <c r="A184" s="289" t="s">
        <v>111</v>
      </c>
      <c r="B184" s="290" t="s">
        <v>337</v>
      </c>
      <c r="C184" s="282">
        <v>55000</v>
      </c>
      <c r="D184" s="282">
        <v>55000</v>
      </c>
      <c r="E184" s="282">
        <v>55000</v>
      </c>
      <c r="F184" s="282">
        <v>55000</v>
      </c>
      <c r="G184" s="709">
        <f>55000-1800</f>
        <v>53200</v>
      </c>
      <c r="H184" s="282">
        <f>55000-1800</f>
        <v>53200</v>
      </c>
      <c r="I184" s="282">
        <f>55000-1800</f>
        <v>53200</v>
      </c>
      <c r="J184" s="709">
        <f t="shared" ref="J184:P184" si="160">55000-1800-520</f>
        <v>52680</v>
      </c>
      <c r="K184" s="282">
        <f t="shared" si="160"/>
        <v>52680</v>
      </c>
      <c r="L184" s="282">
        <f t="shared" si="160"/>
        <v>52680</v>
      </c>
      <c r="M184" s="282">
        <f t="shared" si="160"/>
        <v>52680</v>
      </c>
      <c r="N184" s="282">
        <f t="shared" si="160"/>
        <v>52680</v>
      </c>
      <c r="O184" s="282">
        <f t="shared" si="160"/>
        <v>52680</v>
      </c>
      <c r="P184" s="282">
        <f t="shared" si="160"/>
        <v>52680</v>
      </c>
      <c r="Q184" s="709">
        <f t="shared" ref="Q184:W184" si="161">55000-1800-520-2680</f>
        <v>50000</v>
      </c>
      <c r="R184" s="282">
        <f t="shared" si="161"/>
        <v>50000</v>
      </c>
      <c r="S184" s="282">
        <f t="shared" si="161"/>
        <v>50000</v>
      </c>
      <c r="T184" s="282">
        <f t="shared" si="161"/>
        <v>50000</v>
      </c>
      <c r="U184" s="282">
        <f t="shared" si="161"/>
        <v>50000</v>
      </c>
      <c r="V184" s="282">
        <f t="shared" si="161"/>
        <v>50000</v>
      </c>
      <c r="W184" s="282">
        <f t="shared" si="161"/>
        <v>50000</v>
      </c>
      <c r="X184" s="276">
        <v>0</v>
      </c>
      <c r="Y184" s="728">
        <f t="shared" si="123"/>
        <v>0</v>
      </c>
      <c r="Z184" s="27"/>
    </row>
    <row r="185" spans="1:26" x14ac:dyDescent="0.25">
      <c r="A185" s="289" t="s">
        <v>111</v>
      </c>
      <c r="B185" s="290" t="s">
        <v>477</v>
      </c>
      <c r="C185" s="282">
        <v>196100</v>
      </c>
      <c r="D185" s="709">
        <f>196100-7590</f>
        <v>188510</v>
      </c>
      <c r="E185" s="282">
        <f>196100-7590</f>
        <v>188510</v>
      </c>
      <c r="F185" s="282">
        <f>196100-7590</f>
        <v>188510</v>
      </c>
      <c r="G185" s="709">
        <f t="shared" ref="G185:P185" si="162">196100-7590+1800+55000</f>
        <v>245310</v>
      </c>
      <c r="H185" s="282">
        <f t="shared" si="162"/>
        <v>245310</v>
      </c>
      <c r="I185" s="282">
        <f t="shared" si="162"/>
        <v>245310</v>
      </c>
      <c r="J185" s="282">
        <f t="shared" si="162"/>
        <v>245310</v>
      </c>
      <c r="K185" s="282">
        <f t="shared" si="162"/>
        <v>245310</v>
      </c>
      <c r="L185" s="282">
        <f t="shared" si="162"/>
        <v>245310</v>
      </c>
      <c r="M185" s="282">
        <f t="shared" si="162"/>
        <v>245310</v>
      </c>
      <c r="N185" s="282">
        <f t="shared" si="162"/>
        <v>245310</v>
      </c>
      <c r="O185" s="282">
        <f t="shared" si="162"/>
        <v>245310</v>
      </c>
      <c r="P185" s="282">
        <f t="shared" si="162"/>
        <v>245310</v>
      </c>
      <c r="Q185" s="709">
        <f t="shared" ref="Q185:W185" si="163">196100-7590+1800+55000+24000</f>
        <v>269310</v>
      </c>
      <c r="R185" s="282">
        <f t="shared" si="163"/>
        <v>269310</v>
      </c>
      <c r="S185" s="282">
        <f t="shared" si="163"/>
        <v>269310</v>
      </c>
      <c r="T185" s="282">
        <f t="shared" si="163"/>
        <v>269310</v>
      </c>
      <c r="U185" s="282">
        <f t="shared" si="163"/>
        <v>269310</v>
      </c>
      <c r="V185" s="282">
        <f t="shared" si="163"/>
        <v>269310</v>
      </c>
      <c r="W185" s="282">
        <f t="shared" si="163"/>
        <v>269310</v>
      </c>
      <c r="X185" s="276">
        <v>178951</v>
      </c>
      <c r="Y185" s="728">
        <f t="shared" si="123"/>
        <v>0.66447959600460438</v>
      </c>
      <c r="Z185" s="1"/>
    </row>
    <row r="186" spans="1:26" x14ac:dyDescent="0.25">
      <c r="A186" s="284" t="s">
        <v>111</v>
      </c>
      <c r="B186" s="283" t="s">
        <v>585</v>
      </c>
      <c r="C186" s="270">
        <v>30000</v>
      </c>
      <c r="D186" s="270">
        <v>30000</v>
      </c>
      <c r="E186" s="270">
        <v>30000</v>
      </c>
      <c r="F186" s="270">
        <v>30000</v>
      </c>
      <c r="G186" s="753">
        <f>30000+29800</f>
        <v>59800</v>
      </c>
      <c r="H186" s="270">
        <f>30000+29800</f>
        <v>59800</v>
      </c>
      <c r="I186" s="270">
        <f>30000+29800</f>
        <v>59800</v>
      </c>
      <c r="J186" s="753">
        <f t="shared" ref="J186:S186" si="164">30000+29800+520</f>
        <v>60320</v>
      </c>
      <c r="K186" s="270">
        <f t="shared" si="164"/>
        <v>60320</v>
      </c>
      <c r="L186" s="270">
        <f t="shared" si="164"/>
        <v>60320</v>
      </c>
      <c r="M186" s="270">
        <f t="shared" si="164"/>
        <v>60320</v>
      </c>
      <c r="N186" s="270">
        <f t="shared" si="164"/>
        <v>60320</v>
      </c>
      <c r="O186" s="270">
        <f t="shared" si="164"/>
        <v>60320</v>
      </c>
      <c r="P186" s="270">
        <f t="shared" si="164"/>
        <v>60320</v>
      </c>
      <c r="Q186" s="270">
        <f t="shared" si="164"/>
        <v>60320</v>
      </c>
      <c r="R186" s="270">
        <f t="shared" si="164"/>
        <v>60320</v>
      </c>
      <c r="S186" s="270">
        <f t="shared" si="164"/>
        <v>60320</v>
      </c>
      <c r="T186" s="753">
        <f>30000+29800+520-29790</f>
        <v>30530</v>
      </c>
      <c r="U186" s="270">
        <f>30000+29800+520-29790</f>
        <v>30530</v>
      </c>
      <c r="V186" s="270">
        <f>30000+29800+520-29790</f>
        <v>30530</v>
      </c>
      <c r="W186" s="270">
        <f>30000+29800+520-29790</f>
        <v>30530</v>
      </c>
      <c r="X186" s="276">
        <v>30510</v>
      </c>
      <c r="Y186" s="728">
        <f t="shared" si="123"/>
        <v>0.99934490664919751</v>
      </c>
      <c r="Z186" s="1"/>
    </row>
    <row r="187" spans="1:26" x14ac:dyDescent="0.25">
      <c r="A187" s="284" t="s">
        <v>111</v>
      </c>
      <c r="B187" s="283" t="s">
        <v>849</v>
      </c>
      <c r="C187" s="270">
        <v>0</v>
      </c>
      <c r="D187" s="270">
        <v>0</v>
      </c>
      <c r="E187" s="270">
        <v>0</v>
      </c>
      <c r="F187" s="270">
        <v>0</v>
      </c>
      <c r="G187" s="270">
        <v>0</v>
      </c>
      <c r="H187" s="270">
        <v>0</v>
      </c>
      <c r="I187" s="270">
        <v>0</v>
      </c>
      <c r="J187" s="270">
        <v>0</v>
      </c>
      <c r="K187" s="270">
        <v>0</v>
      </c>
      <c r="L187" s="270">
        <v>0</v>
      </c>
      <c r="M187" s="270">
        <v>0</v>
      </c>
      <c r="N187" s="270">
        <v>0</v>
      </c>
      <c r="O187" s="270">
        <v>0</v>
      </c>
      <c r="P187" s="270">
        <v>0</v>
      </c>
      <c r="Q187" s="753">
        <v>202280</v>
      </c>
      <c r="R187" s="270">
        <v>202280</v>
      </c>
      <c r="S187" s="270">
        <v>202280</v>
      </c>
      <c r="T187" s="753">
        <f>202280+19720</f>
        <v>222000</v>
      </c>
      <c r="U187" s="270">
        <f>202280+19720</f>
        <v>222000</v>
      </c>
      <c r="V187" s="270">
        <f>202280+19720</f>
        <v>222000</v>
      </c>
      <c r="W187" s="270">
        <f>202280+19720</f>
        <v>222000</v>
      </c>
      <c r="X187" s="270">
        <v>0</v>
      </c>
      <c r="Y187" s="728">
        <f t="shared" si="123"/>
        <v>0</v>
      </c>
      <c r="Z187" s="1"/>
    </row>
    <row r="188" spans="1:26" ht="15.75" customHeight="1" x14ac:dyDescent="0.25">
      <c r="A188" s="287" t="s">
        <v>113</v>
      </c>
      <c r="B188" s="285" t="s">
        <v>682</v>
      </c>
      <c r="C188" s="276">
        <v>0</v>
      </c>
      <c r="D188" s="276">
        <v>0</v>
      </c>
      <c r="E188" s="276">
        <v>0</v>
      </c>
      <c r="F188" s="276">
        <v>0</v>
      </c>
      <c r="G188" s="276">
        <v>0</v>
      </c>
      <c r="H188" s="276">
        <v>0</v>
      </c>
      <c r="I188" s="276">
        <v>0</v>
      </c>
      <c r="J188" s="276">
        <v>0</v>
      </c>
      <c r="K188" s="276">
        <v>0</v>
      </c>
      <c r="L188" s="276">
        <v>0</v>
      </c>
      <c r="M188" s="742">
        <v>110000</v>
      </c>
      <c r="N188" s="276">
        <v>110000</v>
      </c>
      <c r="O188" s="276">
        <v>110000</v>
      </c>
      <c r="P188" s="276">
        <v>110000</v>
      </c>
      <c r="Q188" s="276">
        <v>110000</v>
      </c>
      <c r="R188" s="276">
        <v>110000</v>
      </c>
      <c r="S188" s="276">
        <v>110000</v>
      </c>
      <c r="T188" s="276">
        <v>110000</v>
      </c>
      <c r="U188" s="276">
        <v>110000</v>
      </c>
      <c r="V188" s="276">
        <v>110000</v>
      </c>
      <c r="W188" s="276">
        <v>110000</v>
      </c>
      <c r="X188" s="276">
        <v>0</v>
      </c>
      <c r="Y188" s="728">
        <f t="shared" si="123"/>
        <v>0</v>
      </c>
      <c r="Z188" s="27">
        <f>95100+14900</f>
        <v>110000</v>
      </c>
    </row>
    <row r="189" spans="1:26" x14ac:dyDescent="0.25">
      <c r="A189" s="277" t="s">
        <v>82</v>
      </c>
      <c r="B189" s="473" t="s">
        <v>843</v>
      </c>
      <c r="C189" s="279">
        <v>0</v>
      </c>
      <c r="D189" s="279">
        <v>0</v>
      </c>
      <c r="E189" s="279">
        <v>0</v>
      </c>
      <c r="F189" s="279">
        <v>0</v>
      </c>
      <c r="G189" s="279">
        <v>0</v>
      </c>
      <c r="H189" s="279">
        <v>0</v>
      </c>
      <c r="I189" s="279">
        <v>0</v>
      </c>
      <c r="J189" s="279">
        <v>0</v>
      </c>
      <c r="K189" s="279">
        <v>0</v>
      </c>
      <c r="L189" s="279">
        <v>0</v>
      </c>
      <c r="M189" s="279">
        <v>0</v>
      </c>
      <c r="N189" s="279">
        <v>0</v>
      </c>
      <c r="O189" s="279">
        <v>0</v>
      </c>
      <c r="P189" s="279">
        <v>0</v>
      </c>
      <c r="Q189" s="790">
        <v>11000</v>
      </c>
      <c r="R189" s="279">
        <v>11000</v>
      </c>
      <c r="S189" s="279">
        <v>11000</v>
      </c>
      <c r="T189" s="279">
        <v>11000</v>
      </c>
      <c r="U189" s="279">
        <v>11000</v>
      </c>
      <c r="V189" s="279">
        <v>11000</v>
      </c>
      <c r="W189" s="279">
        <v>11000</v>
      </c>
      <c r="X189" s="276">
        <v>11000</v>
      </c>
      <c r="Y189" s="728">
        <f t="shared" si="123"/>
        <v>1</v>
      </c>
      <c r="Z189" s="1"/>
    </row>
    <row r="190" spans="1:26" x14ac:dyDescent="0.25">
      <c r="A190" s="289" t="s">
        <v>113</v>
      </c>
      <c r="B190" s="290" t="s">
        <v>329</v>
      </c>
      <c r="C190" s="282">
        <v>15000</v>
      </c>
      <c r="D190" s="282">
        <v>15000</v>
      </c>
      <c r="E190" s="282">
        <v>15000</v>
      </c>
      <c r="F190" s="282">
        <v>15000</v>
      </c>
      <c r="G190" s="282">
        <v>15000</v>
      </c>
      <c r="H190" s="282">
        <v>15000</v>
      </c>
      <c r="I190" s="282">
        <v>15000</v>
      </c>
      <c r="J190" s="282">
        <v>15000</v>
      </c>
      <c r="K190" s="282">
        <v>15000</v>
      </c>
      <c r="L190" s="282">
        <v>15000</v>
      </c>
      <c r="M190" s="282">
        <v>15000</v>
      </c>
      <c r="N190" s="282">
        <v>15000</v>
      </c>
      <c r="O190" s="282">
        <v>15000</v>
      </c>
      <c r="P190" s="282">
        <v>15000</v>
      </c>
      <c r="Q190" s="709">
        <f t="shared" ref="Q190:W190" si="165">15000-15000</f>
        <v>0</v>
      </c>
      <c r="R190" s="282">
        <f t="shared" si="165"/>
        <v>0</v>
      </c>
      <c r="S190" s="282">
        <f t="shared" si="165"/>
        <v>0</v>
      </c>
      <c r="T190" s="282">
        <f t="shared" si="165"/>
        <v>0</v>
      </c>
      <c r="U190" s="282">
        <f t="shared" si="165"/>
        <v>0</v>
      </c>
      <c r="V190" s="282">
        <f t="shared" si="165"/>
        <v>0</v>
      </c>
      <c r="W190" s="282">
        <f t="shared" si="165"/>
        <v>0</v>
      </c>
      <c r="X190" s="276">
        <v>0</v>
      </c>
      <c r="Y190" s="728">
        <v>0</v>
      </c>
      <c r="Z190" s="1"/>
    </row>
    <row r="191" spans="1:26" x14ac:dyDescent="0.25">
      <c r="A191" s="289" t="s">
        <v>113</v>
      </c>
      <c r="B191" s="290" t="s">
        <v>850</v>
      </c>
      <c r="C191" s="282">
        <v>0</v>
      </c>
      <c r="D191" s="282">
        <v>0</v>
      </c>
      <c r="E191" s="282">
        <v>0</v>
      </c>
      <c r="F191" s="282">
        <v>0</v>
      </c>
      <c r="G191" s="282">
        <v>0</v>
      </c>
      <c r="H191" s="282">
        <v>0</v>
      </c>
      <c r="I191" s="282">
        <v>0</v>
      </c>
      <c r="J191" s="282">
        <v>0</v>
      </c>
      <c r="K191" s="282">
        <v>0</v>
      </c>
      <c r="L191" s="282">
        <v>0</v>
      </c>
      <c r="M191" s="282">
        <v>0</v>
      </c>
      <c r="N191" s="282">
        <v>0</v>
      </c>
      <c r="O191" s="282">
        <v>0</v>
      </c>
      <c r="P191" s="282">
        <v>0</v>
      </c>
      <c r="Q191" s="709">
        <v>4900</v>
      </c>
      <c r="R191" s="282">
        <v>4900</v>
      </c>
      <c r="S191" s="282">
        <v>4900</v>
      </c>
      <c r="T191" s="282">
        <v>4900</v>
      </c>
      <c r="U191" s="282">
        <v>4900</v>
      </c>
      <c r="V191" s="282">
        <v>4900</v>
      </c>
      <c r="W191" s="282">
        <v>4900</v>
      </c>
      <c r="X191" s="276">
        <v>4779</v>
      </c>
      <c r="Y191" s="728">
        <f t="shared" si="123"/>
        <v>0.97530612244897963</v>
      </c>
      <c r="Z191" s="1"/>
    </row>
    <row r="192" spans="1:26" x14ac:dyDescent="0.25">
      <c r="A192" s="289" t="s">
        <v>113</v>
      </c>
      <c r="B192" s="283" t="s">
        <v>302</v>
      </c>
      <c r="C192" s="282">
        <v>0</v>
      </c>
      <c r="D192" s="282">
        <v>0</v>
      </c>
      <c r="E192" s="282">
        <v>0</v>
      </c>
      <c r="F192" s="282">
        <v>0</v>
      </c>
      <c r="G192" s="282">
        <v>0</v>
      </c>
      <c r="H192" s="282">
        <v>0</v>
      </c>
      <c r="I192" s="282">
        <v>0</v>
      </c>
      <c r="J192" s="282">
        <v>0</v>
      </c>
      <c r="K192" s="282">
        <v>0</v>
      </c>
      <c r="L192" s="282">
        <v>0</v>
      </c>
      <c r="M192" s="282">
        <v>0</v>
      </c>
      <c r="N192" s="282">
        <v>0</v>
      </c>
      <c r="O192" s="282">
        <v>0</v>
      </c>
      <c r="P192" s="282">
        <v>0</v>
      </c>
      <c r="Q192" s="282">
        <v>0</v>
      </c>
      <c r="R192" s="282">
        <v>0</v>
      </c>
      <c r="S192" s="282">
        <v>0</v>
      </c>
      <c r="T192" s="282">
        <v>0</v>
      </c>
      <c r="U192" s="282">
        <v>0</v>
      </c>
      <c r="V192" s="282">
        <v>0</v>
      </c>
      <c r="W192" s="282">
        <v>0</v>
      </c>
      <c r="X192" s="276">
        <v>0</v>
      </c>
      <c r="Y192" s="728">
        <v>0</v>
      </c>
      <c r="Z192" s="1"/>
    </row>
    <row r="193" spans="1:41" x14ac:dyDescent="0.25">
      <c r="A193" s="284" t="s">
        <v>113</v>
      </c>
      <c r="B193" s="283" t="s">
        <v>325</v>
      </c>
      <c r="C193" s="270">
        <v>412400</v>
      </c>
      <c r="D193" s="270">
        <v>412400</v>
      </c>
      <c r="E193" s="753">
        <f t="shared" ref="E193:L193" si="166">412400+40756</f>
        <v>453156</v>
      </c>
      <c r="F193" s="270">
        <f t="shared" si="166"/>
        <v>453156</v>
      </c>
      <c r="G193" s="270">
        <f t="shared" si="166"/>
        <v>453156</v>
      </c>
      <c r="H193" s="270">
        <f t="shared" si="166"/>
        <v>453156</v>
      </c>
      <c r="I193" s="270">
        <f t="shared" si="166"/>
        <v>453156</v>
      </c>
      <c r="J193" s="270">
        <f t="shared" si="166"/>
        <v>453156</v>
      </c>
      <c r="K193" s="270">
        <f t="shared" si="166"/>
        <v>453156</v>
      </c>
      <c r="L193" s="270">
        <f t="shared" si="166"/>
        <v>453156</v>
      </c>
      <c r="M193" s="753">
        <f>412400+40756+32000</f>
        <v>485156</v>
      </c>
      <c r="N193" s="270">
        <f>412400+40756+32000</f>
        <v>485156</v>
      </c>
      <c r="O193" s="270">
        <f>412400+40756+32000</f>
        <v>485156</v>
      </c>
      <c r="P193" s="270">
        <f>412400+40756+32000</f>
        <v>485156</v>
      </c>
      <c r="Q193" s="753">
        <f>412400+40756+32000+175400</f>
        <v>660556</v>
      </c>
      <c r="R193" s="270">
        <f>412400+40756+32000+175400</f>
        <v>660556</v>
      </c>
      <c r="S193" s="270">
        <f>412400+40756+32000+175400</f>
        <v>660556</v>
      </c>
      <c r="T193" s="753">
        <f>412400+40756+32000+175400+1000</f>
        <v>661556</v>
      </c>
      <c r="U193" s="270">
        <f>412400+40756+32000+175400+1000</f>
        <v>661556</v>
      </c>
      <c r="V193" s="270">
        <f>412400+40756+32000+175400+1000</f>
        <v>661556</v>
      </c>
      <c r="W193" s="270">
        <f>412400+40756+32000+175400+1000</f>
        <v>661556</v>
      </c>
      <c r="X193" s="276">
        <v>271483</v>
      </c>
      <c r="Y193" s="728">
        <f t="shared" si="123"/>
        <v>0.41037039948243231</v>
      </c>
      <c r="Z193" s="27"/>
    </row>
    <row r="194" spans="1:41" x14ac:dyDescent="0.25">
      <c r="A194" s="287" t="s">
        <v>122</v>
      </c>
      <c r="B194" s="835" t="s">
        <v>801</v>
      </c>
      <c r="C194" s="276">
        <v>0</v>
      </c>
      <c r="D194" s="276">
        <v>0</v>
      </c>
      <c r="E194" s="276">
        <v>0</v>
      </c>
      <c r="F194" s="276">
        <v>0</v>
      </c>
      <c r="G194" s="276">
        <v>0</v>
      </c>
      <c r="H194" s="276">
        <v>0</v>
      </c>
      <c r="I194" s="276">
        <v>0</v>
      </c>
      <c r="J194" s="276">
        <v>0</v>
      </c>
      <c r="K194" s="276">
        <v>0</v>
      </c>
      <c r="L194" s="276">
        <v>0</v>
      </c>
      <c r="M194" s="276">
        <v>0</v>
      </c>
      <c r="N194" s="276">
        <v>0</v>
      </c>
      <c r="O194" s="276">
        <v>0</v>
      </c>
      <c r="P194" s="276">
        <v>0</v>
      </c>
      <c r="Q194" s="742">
        <v>39430</v>
      </c>
      <c r="R194" s="276">
        <v>39430</v>
      </c>
      <c r="S194" s="276">
        <v>39430</v>
      </c>
      <c r="T194" s="276">
        <v>39430</v>
      </c>
      <c r="U194" s="276">
        <v>39430</v>
      </c>
      <c r="V194" s="276">
        <v>39430</v>
      </c>
      <c r="W194" s="276">
        <v>39430</v>
      </c>
      <c r="X194" s="276">
        <v>27857</v>
      </c>
      <c r="Y194" s="728">
        <f t="shared" si="123"/>
        <v>0.70649251838701499</v>
      </c>
      <c r="Z194" s="1"/>
    </row>
    <row r="195" spans="1:41" x14ac:dyDescent="0.25">
      <c r="A195" s="292" t="s">
        <v>122</v>
      </c>
      <c r="B195" s="265" t="s">
        <v>478</v>
      </c>
      <c r="C195" s="276">
        <v>245000</v>
      </c>
      <c r="D195" s="276">
        <v>245000</v>
      </c>
      <c r="E195" s="276">
        <v>245000</v>
      </c>
      <c r="F195" s="276">
        <v>245000</v>
      </c>
      <c r="G195" s="276">
        <v>245000</v>
      </c>
      <c r="H195" s="276">
        <v>245000</v>
      </c>
      <c r="I195" s="276">
        <v>245000</v>
      </c>
      <c r="J195" s="276">
        <v>245000</v>
      </c>
      <c r="K195" s="276">
        <v>245000</v>
      </c>
      <c r="L195" s="276">
        <v>245000</v>
      </c>
      <c r="M195" s="742">
        <f>245000+46000</f>
        <v>291000</v>
      </c>
      <c r="N195" s="276">
        <f>245000+46000</f>
        <v>291000</v>
      </c>
      <c r="O195" s="276">
        <f>245000+46000</f>
        <v>291000</v>
      </c>
      <c r="P195" s="276">
        <f>245000+46000</f>
        <v>291000</v>
      </c>
      <c r="Q195" s="742">
        <f t="shared" ref="Q195:W195" si="167">245000+46000+7300</f>
        <v>298300</v>
      </c>
      <c r="R195" s="276">
        <f t="shared" si="167"/>
        <v>298300</v>
      </c>
      <c r="S195" s="276">
        <f t="shared" si="167"/>
        <v>298300</v>
      </c>
      <c r="T195" s="276">
        <f t="shared" si="167"/>
        <v>298300</v>
      </c>
      <c r="U195" s="276">
        <f t="shared" si="167"/>
        <v>298300</v>
      </c>
      <c r="V195" s="276">
        <f t="shared" si="167"/>
        <v>298300</v>
      </c>
      <c r="W195" s="276">
        <f t="shared" si="167"/>
        <v>298300</v>
      </c>
      <c r="X195" s="276">
        <v>137124</v>
      </c>
      <c r="Y195" s="728">
        <f t="shared" si="123"/>
        <v>0.45968488099228966</v>
      </c>
      <c r="Z195" s="1">
        <f>253050+45250</f>
        <v>298300</v>
      </c>
    </row>
    <row r="196" spans="1:41" x14ac:dyDescent="0.25">
      <c r="A196" s="284" t="s">
        <v>124</v>
      </c>
      <c r="B196" s="402" t="s">
        <v>292</v>
      </c>
      <c r="C196" s="270">
        <v>1129200</v>
      </c>
      <c r="D196" s="270">
        <v>1129200</v>
      </c>
      <c r="E196" s="270">
        <v>1129200</v>
      </c>
      <c r="F196" s="270">
        <v>1129200</v>
      </c>
      <c r="G196" s="270">
        <v>1129200</v>
      </c>
      <c r="H196" s="270">
        <v>1129200</v>
      </c>
      <c r="I196" s="270">
        <v>1129200</v>
      </c>
      <c r="J196" s="270">
        <v>1129200</v>
      </c>
      <c r="K196" s="270">
        <v>1129200</v>
      </c>
      <c r="L196" s="270">
        <v>1129200</v>
      </c>
      <c r="M196" s="753">
        <f>1129200+200</f>
        <v>1129400</v>
      </c>
      <c r="N196" s="270">
        <f>1129200+200</f>
        <v>1129400</v>
      </c>
      <c r="O196" s="270">
        <f>1129200+200</f>
        <v>1129400</v>
      </c>
      <c r="P196" s="270">
        <f>1129200+200</f>
        <v>1129400</v>
      </c>
      <c r="Q196" s="270">
        <f t="shared" ref="Q196:U196" si="168">1129200+200</f>
        <v>1129400</v>
      </c>
      <c r="R196" s="270">
        <f t="shared" si="168"/>
        <v>1129400</v>
      </c>
      <c r="S196" s="270">
        <f t="shared" si="168"/>
        <v>1129400</v>
      </c>
      <c r="T196" s="270">
        <f t="shared" si="168"/>
        <v>1129400</v>
      </c>
      <c r="U196" s="270">
        <f t="shared" si="168"/>
        <v>1129400</v>
      </c>
      <c r="V196" s="753">
        <f>1129200+200+10</f>
        <v>1129410</v>
      </c>
      <c r="W196" s="270">
        <f>1129200+200+10</f>
        <v>1129410</v>
      </c>
      <c r="X196" s="270">
        <f>772277+16800</f>
        <v>789077</v>
      </c>
      <c r="Y196" s="728">
        <f t="shared" si="123"/>
        <v>0.69866301874430015</v>
      </c>
      <c r="Z196" s="1">
        <f>1030780+16800+81830</f>
        <v>1129410</v>
      </c>
    </row>
    <row r="197" spans="1:41" ht="15" customHeight="1" x14ac:dyDescent="0.25">
      <c r="A197" s="284" t="s">
        <v>124</v>
      </c>
      <c r="B197" s="707" t="s">
        <v>623</v>
      </c>
      <c r="C197" s="270">
        <v>0</v>
      </c>
      <c r="D197" s="270">
        <v>0</v>
      </c>
      <c r="E197" s="270">
        <v>0</v>
      </c>
      <c r="F197" s="270">
        <v>0</v>
      </c>
      <c r="G197" s="270">
        <v>0</v>
      </c>
      <c r="H197" s="270">
        <v>0</v>
      </c>
      <c r="I197" s="270">
        <v>0</v>
      </c>
      <c r="J197" s="270">
        <v>0</v>
      </c>
      <c r="K197" s="270">
        <v>0</v>
      </c>
      <c r="L197" s="753">
        <v>81600</v>
      </c>
      <c r="M197" s="270">
        <v>81600</v>
      </c>
      <c r="N197" s="270">
        <v>81600</v>
      </c>
      <c r="O197" s="270">
        <v>81600</v>
      </c>
      <c r="P197" s="270">
        <v>81600</v>
      </c>
      <c r="Q197" s="270">
        <v>81600</v>
      </c>
      <c r="R197" s="270">
        <v>81600</v>
      </c>
      <c r="S197" s="270">
        <v>81600</v>
      </c>
      <c r="T197" s="270">
        <v>81600</v>
      </c>
      <c r="U197" s="270">
        <v>81600</v>
      </c>
      <c r="V197" s="270">
        <v>81600</v>
      </c>
      <c r="W197" s="270">
        <v>81600</v>
      </c>
      <c r="X197" s="270">
        <v>0</v>
      </c>
      <c r="Y197" s="728">
        <f t="shared" ref="Y197:Y220" si="169">X197/W197</f>
        <v>0</v>
      </c>
      <c r="Z197" s="1"/>
    </row>
    <row r="198" spans="1:41" x14ac:dyDescent="0.25">
      <c r="A198" s="284" t="s">
        <v>124</v>
      </c>
      <c r="B198" s="707" t="s">
        <v>797</v>
      </c>
      <c r="C198" s="270">
        <v>0</v>
      </c>
      <c r="D198" s="270">
        <v>0</v>
      </c>
      <c r="E198" s="270">
        <v>0</v>
      </c>
      <c r="F198" s="270">
        <v>0</v>
      </c>
      <c r="G198" s="270">
        <v>0</v>
      </c>
      <c r="H198" s="270">
        <v>0</v>
      </c>
      <c r="I198" s="270">
        <v>0</v>
      </c>
      <c r="J198" s="270">
        <v>0</v>
      </c>
      <c r="K198" s="270">
        <v>0</v>
      </c>
      <c r="L198" s="270">
        <v>0</v>
      </c>
      <c r="M198" s="270">
        <v>0</v>
      </c>
      <c r="N198" s="270">
        <v>0</v>
      </c>
      <c r="O198" s="753">
        <v>95000</v>
      </c>
      <c r="P198" s="270">
        <v>95000</v>
      </c>
      <c r="Q198" s="753">
        <f t="shared" ref="Q198:U198" si="170">95000+6000</f>
        <v>101000</v>
      </c>
      <c r="R198" s="270">
        <f t="shared" si="170"/>
        <v>101000</v>
      </c>
      <c r="S198" s="270">
        <f t="shared" si="170"/>
        <v>101000</v>
      </c>
      <c r="T198" s="270">
        <f t="shared" si="170"/>
        <v>101000</v>
      </c>
      <c r="U198" s="270">
        <f t="shared" si="170"/>
        <v>101000</v>
      </c>
      <c r="V198" s="753">
        <f>95000+6000-10</f>
        <v>100990</v>
      </c>
      <c r="W198" s="270">
        <f>95000+6000-10</f>
        <v>100990</v>
      </c>
      <c r="X198" s="270">
        <v>96541</v>
      </c>
      <c r="Y198" s="728">
        <f t="shared" si="169"/>
        <v>0.9559461332805228</v>
      </c>
      <c r="Z198" s="1"/>
    </row>
    <row r="199" spans="1:41" ht="15.75" thickBot="1" x14ac:dyDescent="0.3">
      <c r="A199" s="494" t="s">
        <v>125</v>
      </c>
      <c r="B199" s="712" t="s">
        <v>788</v>
      </c>
      <c r="C199" s="274">
        <v>0</v>
      </c>
      <c r="D199" s="274">
        <v>0</v>
      </c>
      <c r="E199" s="274">
        <v>0</v>
      </c>
      <c r="F199" s="274">
        <v>0</v>
      </c>
      <c r="G199" s="274">
        <v>0</v>
      </c>
      <c r="H199" s="274">
        <v>0</v>
      </c>
      <c r="I199" s="274">
        <v>0</v>
      </c>
      <c r="J199" s="274">
        <v>0</v>
      </c>
      <c r="K199" s="274">
        <v>0</v>
      </c>
      <c r="L199" s="274">
        <v>0</v>
      </c>
      <c r="M199" s="274">
        <v>0</v>
      </c>
      <c r="N199" s="274">
        <v>0</v>
      </c>
      <c r="O199" s="274">
        <v>0</v>
      </c>
      <c r="P199" s="274">
        <v>0</v>
      </c>
      <c r="Q199" s="816">
        <v>831300</v>
      </c>
      <c r="R199" s="274">
        <v>831300</v>
      </c>
      <c r="S199" s="274">
        <v>831300</v>
      </c>
      <c r="T199" s="274">
        <v>831300</v>
      </c>
      <c r="U199" s="274">
        <v>831300</v>
      </c>
      <c r="V199" s="274">
        <v>831300</v>
      </c>
      <c r="W199" s="274">
        <v>831300</v>
      </c>
      <c r="X199" s="274">
        <v>0</v>
      </c>
      <c r="Y199" s="728">
        <f t="shared" si="169"/>
        <v>0</v>
      </c>
      <c r="Z199" s="1"/>
    </row>
    <row r="200" spans="1:41" x14ac:dyDescent="0.25">
      <c r="A200" s="297"/>
      <c r="B200" s="298"/>
      <c r="C200" s="299"/>
      <c r="D200" s="299"/>
      <c r="E200" s="299"/>
      <c r="F200" s="299"/>
      <c r="G200" s="299"/>
      <c r="H200" s="299"/>
      <c r="I200" s="299"/>
      <c r="J200" s="299"/>
      <c r="K200" s="299"/>
      <c r="L200" s="299"/>
      <c r="M200" s="299"/>
      <c r="N200" s="299"/>
      <c r="O200" s="299"/>
      <c r="P200" s="299"/>
      <c r="Q200" s="299"/>
      <c r="R200" s="299"/>
      <c r="S200" s="299"/>
      <c r="T200" s="299"/>
      <c r="U200" s="299"/>
      <c r="V200" s="299"/>
      <c r="W200" s="299"/>
      <c r="X200" s="299"/>
      <c r="Y200" s="728"/>
      <c r="Z200" s="1"/>
    </row>
    <row r="201" spans="1:41" ht="27.75" customHeight="1" thickBot="1" x14ac:dyDescent="0.3">
      <c r="A201" s="880" t="s">
        <v>168</v>
      </c>
      <c r="B201" s="881"/>
      <c r="C201" s="881"/>
      <c r="D201" s="881"/>
      <c r="E201" s="881"/>
      <c r="F201" s="881"/>
      <c r="G201" s="881"/>
      <c r="H201" s="881"/>
      <c r="I201" s="881"/>
      <c r="J201" s="881"/>
      <c r="K201" s="881"/>
      <c r="L201" s="881"/>
      <c r="M201" s="881"/>
      <c r="N201" s="881"/>
      <c r="O201" s="881"/>
      <c r="P201" s="881"/>
      <c r="Q201" s="881"/>
      <c r="R201" s="881"/>
      <c r="S201" s="881"/>
      <c r="T201" s="881"/>
      <c r="U201" s="881"/>
      <c r="V201" s="881"/>
      <c r="W201" s="881"/>
      <c r="X201" s="881"/>
      <c r="Y201" s="728"/>
      <c r="Z201" s="1"/>
    </row>
    <row r="202" spans="1:41" ht="37.5" customHeight="1" thickBot="1" x14ac:dyDescent="0.3">
      <c r="A202" s="876" t="s">
        <v>1</v>
      </c>
      <c r="B202" s="877"/>
      <c r="C202" s="387" t="s">
        <v>467</v>
      </c>
      <c r="D202" s="387" t="s">
        <v>465</v>
      </c>
      <c r="E202" s="387" t="s">
        <v>483</v>
      </c>
      <c r="F202" s="387" t="s">
        <v>500</v>
      </c>
      <c r="G202" s="387" t="s">
        <v>533</v>
      </c>
      <c r="H202" s="387" t="s">
        <v>578</v>
      </c>
      <c r="I202" s="387" t="s">
        <v>610</v>
      </c>
      <c r="J202" s="387" t="s">
        <v>579</v>
      </c>
      <c r="K202" s="387" t="s">
        <v>646</v>
      </c>
      <c r="L202" s="387" t="s">
        <v>637</v>
      </c>
      <c r="M202" s="387" t="s">
        <v>670</v>
      </c>
      <c r="N202" s="387" t="s">
        <v>680</v>
      </c>
      <c r="O202" s="387" t="s">
        <v>749</v>
      </c>
      <c r="P202" s="387" t="s">
        <v>774</v>
      </c>
      <c r="Q202" s="387" t="s">
        <v>783</v>
      </c>
      <c r="R202" s="387" t="s">
        <v>784</v>
      </c>
      <c r="S202" s="387" t="s">
        <v>885</v>
      </c>
      <c r="T202" s="387" t="s">
        <v>894</v>
      </c>
      <c r="U202" s="387" t="s">
        <v>913</v>
      </c>
      <c r="V202" s="387" t="s">
        <v>919</v>
      </c>
      <c r="W202" s="387" t="s">
        <v>994</v>
      </c>
      <c r="X202" s="387" t="s">
        <v>993</v>
      </c>
      <c r="Y202" s="728"/>
      <c r="Z202" s="1"/>
    </row>
    <row r="203" spans="1:41" ht="16.5" thickBot="1" x14ac:dyDescent="0.3">
      <c r="A203" s="410" t="s">
        <v>169</v>
      </c>
      <c r="B203" s="411"/>
      <c r="C203" s="412">
        <f>SUM(C204:C216)</f>
        <v>571286</v>
      </c>
      <c r="D203" s="412">
        <f t="shared" ref="D203:X203" si="171">SUM(D204:D216)</f>
        <v>638913</v>
      </c>
      <c r="E203" s="412">
        <f t="shared" si="171"/>
        <v>638913</v>
      </c>
      <c r="F203" s="412">
        <f t="shared" si="171"/>
        <v>638913</v>
      </c>
      <c r="G203" s="412">
        <f t="shared" si="171"/>
        <v>692938</v>
      </c>
      <c r="H203" s="412">
        <f t="shared" si="171"/>
        <v>692938</v>
      </c>
      <c r="I203" s="412">
        <f t="shared" si="171"/>
        <v>692938</v>
      </c>
      <c r="J203" s="412">
        <f t="shared" si="171"/>
        <v>692938</v>
      </c>
      <c r="K203" s="412">
        <f t="shared" si="171"/>
        <v>692938</v>
      </c>
      <c r="L203" s="412">
        <f t="shared" si="171"/>
        <v>692938</v>
      </c>
      <c r="M203" s="412">
        <f t="shared" si="171"/>
        <v>997938</v>
      </c>
      <c r="N203" s="412">
        <f t="shared" si="171"/>
        <v>997938</v>
      </c>
      <c r="O203" s="412">
        <f t="shared" si="171"/>
        <v>997938</v>
      </c>
      <c r="P203" s="412">
        <f t="shared" si="171"/>
        <v>997938</v>
      </c>
      <c r="Q203" s="412">
        <f t="shared" si="171"/>
        <v>943913</v>
      </c>
      <c r="R203" s="412">
        <f t="shared" si="171"/>
        <v>943913</v>
      </c>
      <c r="S203" s="412">
        <f t="shared" si="171"/>
        <v>943913</v>
      </c>
      <c r="T203" s="412">
        <f t="shared" si="171"/>
        <v>943913</v>
      </c>
      <c r="U203" s="412">
        <f t="shared" si="171"/>
        <v>943913</v>
      </c>
      <c r="V203" s="412">
        <f t="shared" ref="V203:W203" si="172">SUM(V204:V216)</f>
        <v>943913</v>
      </c>
      <c r="W203" s="412">
        <f t="shared" si="172"/>
        <v>943913</v>
      </c>
      <c r="X203" s="412">
        <f t="shared" si="171"/>
        <v>453419</v>
      </c>
      <c r="Y203" s="728">
        <f t="shared" si="169"/>
        <v>0.48036100784712149</v>
      </c>
      <c r="Z203" s="27">
        <f t="shared" ref="Z203:AO203" si="173">D203-C203</f>
        <v>67627</v>
      </c>
      <c r="AA203" s="27">
        <f t="shared" si="173"/>
        <v>0</v>
      </c>
      <c r="AB203" s="27">
        <f t="shared" si="173"/>
        <v>0</v>
      </c>
      <c r="AC203" s="27">
        <f t="shared" si="173"/>
        <v>54025</v>
      </c>
      <c r="AD203" s="27">
        <f t="shared" si="173"/>
        <v>0</v>
      </c>
      <c r="AE203" s="27">
        <f t="shared" si="173"/>
        <v>0</v>
      </c>
      <c r="AF203" s="27">
        <f t="shared" si="173"/>
        <v>0</v>
      </c>
      <c r="AG203" s="27">
        <f t="shared" si="173"/>
        <v>0</v>
      </c>
      <c r="AH203" s="27">
        <f t="shared" si="173"/>
        <v>0</v>
      </c>
      <c r="AI203" s="27">
        <f t="shared" si="173"/>
        <v>305000</v>
      </c>
      <c r="AJ203" s="27">
        <f t="shared" si="173"/>
        <v>0</v>
      </c>
      <c r="AK203" s="27">
        <f t="shared" si="173"/>
        <v>0</v>
      </c>
      <c r="AL203" s="27">
        <f t="shared" si="173"/>
        <v>0</v>
      </c>
      <c r="AM203" s="27">
        <f t="shared" si="173"/>
        <v>-54025</v>
      </c>
      <c r="AN203" s="27">
        <f t="shared" si="173"/>
        <v>0</v>
      </c>
      <c r="AO203" s="27">
        <f t="shared" si="173"/>
        <v>0</v>
      </c>
    </row>
    <row r="204" spans="1:41" x14ac:dyDescent="0.25">
      <c r="A204" s="378">
        <v>453</v>
      </c>
      <c r="B204" s="379" t="s">
        <v>255</v>
      </c>
      <c r="C204" s="380">
        <f>10000+4000</f>
        <v>14000</v>
      </c>
      <c r="D204" s="704">
        <f t="shared" ref="D204:W204" si="174">10000+4000+3781-160</f>
        <v>17621</v>
      </c>
      <c r="E204" s="380">
        <f t="shared" si="174"/>
        <v>17621</v>
      </c>
      <c r="F204" s="380">
        <f t="shared" si="174"/>
        <v>17621</v>
      </c>
      <c r="G204" s="380">
        <f t="shared" si="174"/>
        <v>17621</v>
      </c>
      <c r="H204" s="380">
        <f t="shared" si="174"/>
        <v>17621</v>
      </c>
      <c r="I204" s="380">
        <f t="shared" si="174"/>
        <v>17621</v>
      </c>
      <c r="J204" s="380">
        <f t="shared" si="174"/>
        <v>17621</v>
      </c>
      <c r="K204" s="380">
        <f t="shared" si="174"/>
        <v>17621</v>
      </c>
      <c r="L204" s="380">
        <f t="shared" si="174"/>
        <v>17621</v>
      </c>
      <c r="M204" s="380">
        <f t="shared" si="174"/>
        <v>17621</v>
      </c>
      <c r="N204" s="380">
        <f t="shared" si="174"/>
        <v>17621</v>
      </c>
      <c r="O204" s="380">
        <f t="shared" si="174"/>
        <v>17621</v>
      </c>
      <c r="P204" s="380">
        <f t="shared" si="174"/>
        <v>17621</v>
      </c>
      <c r="Q204" s="380">
        <f t="shared" si="174"/>
        <v>17621</v>
      </c>
      <c r="R204" s="380">
        <f t="shared" si="174"/>
        <v>17621</v>
      </c>
      <c r="S204" s="380">
        <f t="shared" si="174"/>
        <v>17621</v>
      </c>
      <c r="T204" s="380">
        <f t="shared" si="174"/>
        <v>17621</v>
      </c>
      <c r="U204" s="380">
        <f t="shared" si="174"/>
        <v>17621</v>
      </c>
      <c r="V204" s="380">
        <f t="shared" si="174"/>
        <v>17621</v>
      </c>
      <c r="W204" s="380">
        <f t="shared" si="174"/>
        <v>17621</v>
      </c>
      <c r="X204" s="380">
        <v>17615</v>
      </c>
      <c r="Y204" s="728">
        <f t="shared" si="169"/>
        <v>0.99965949719085179</v>
      </c>
    </row>
    <row r="205" spans="1:41" x14ac:dyDescent="0.25">
      <c r="A205" s="403">
        <v>453</v>
      </c>
      <c r="B205" s="404" t="s">
        <v>254</v>
      </c>
      <c r="C205" s="64">
        <v>2000</v>
      </c>
      <c r="D205" s="64">
        <v>2000</v>
      </c>
      <c r="E205" s="64">
        <v>2000</v>
      </c>
      <c r="F205" s="64">
        <v>2000</v>
      </c>
      <c r="G205" s="64">
        <v>2000</v>
      </c>
      <c r="H205" s="64">
        <v>2000</v>
      </c>
      <c r="I205" s="64">
        <v>2000</v>
      </c>
      <c r="J205" s="64">
        <v>2000</v>
      </c>
      <c r="K205" s="64">
        <v>2000</v>
      </c>
      <c r="L205" s="64">
        <v>2000</v>
      </c>
      <c r="M205" s="64">
        <v>2000</v>
      </c>
      <c r="N205" s="64">
        <v>2000</v>
      </c>
      <c r="O205" s="64">
        <v>2000</v>
      </c>
      <c r="P205" s="64">
        <v>2000</v>
      </c>
      <c r="Q205" s="64">
        <v>2000</v>
      </c>
      <c r="R205" s="64">
        <v>2000</v>
      </c>
      <c r="S205" s="64">
        <v>2000</v>
      </c>
      <c r="T205" s="64">
        <v>2000</v>
      </c>
      <c r="U205" s="64">
        <v>2000</v>
      </c>
      <c r="V205" s="64">
        <v>2000</v>
      </c>
      <c r="W205" s="64">
        <v>2000</v>
      </c>
      <c r="X205" s="64">
        <v>165</v>
      </c>
      <c r="Y205" s="728">
        <f t="shared" si="169"/>
        <v>8.2500000000000004E-2</v>
      </c>
      <c r="Z205" s="27"/>
    </row>
    <row r="206" spans="1:41" x14ac:dyDescent="0.25">
      <c r="A206" s="700">
        <v>453</v>
      </c>
      <c r="B206" s="377" t="s">
        <v>256</v>
      </c>
      <c r="C206" s="701">
        <v>2500</v>
      </c>
      <c r="D206" s="702">
        <f t="shared" ref="D206:W206" si="175">2500-2500</f>
        <v>0</v>
      </c>
      <c r="E206" s="701">
        <f t="shared" si="175"/>
        <v>0</v>
      </c>
      <c r="F206" s="701">
        <f t="shared" si="175"/>
        <v>0</v>
      </c>
      <c r="G206" s="701">
        <f t="shared" si="175"/>
        <v>0</v>
      </c>
      <c r="H206" s="701">
        <f t="shared" si="175"/>
        <v>0</v>
      </c>
      <c r="I206" s="701">
        <f t="shared" si="175"/>
        <v>0</v>
      </c>
      <c r="J206" s="701">
        <f t="shared" si="175"/>
        <v>0</v>
      </c>
      <c r="K206" s="701">
        <f t="shared" si="175"/>
        <v>0</v>
      </c>
      <c r="L206" s="701">
        <f t="shared" si="175"/>
        <v>0</v>
      </c>
      <c r="M206" s="701">
        <f t="shared" si="175"/>
        <v>0</v>
      </c>
      <c r="N206" s="701">
        <f t="shared" si="175"/>
        <v>0</v>
      </c>
      <c r="O206" s="701">
        <f t="shared" si="175"/>
        <v>0</v>
      </c>
      <c r="P206" s="701">
        <f t="shared" si="175"/>
        <v>0</v>
      </c>
      <c r="Q206" s="701">
        <f t="shared" si="175"/>
        <v>0</v>
      </c>
      <c r="R206" s="701">
        <f t="shared" si="175"/>
        <v>0</v>
      </c>
      <c r="S206" s="701">
        <f t="shared" si="175"/>
        <v>0</v>
      </c>
      <c r="T206" s="701">
        <f t="shared" si="175"/>
        <v>0</v>
      </c>
      <c r="U206" s="701">
        <f t="shared" si="175"/>
        <v>0</v>
      </c>
      <c r="V206" s="701">
        <f t="shared" si="175"/>
        <v>0</v>
      </c>
      <c r="W206" s="701">
        <f t="shared" si="175"/>
        <v>0</v>
      </c>
      <c r="X206" s="484">
        <v>0</v>
      </c>
      <c r="Y206" s="728">
        <v>0</v>
      </c>
      <c r="Z206" s="27"/>
    </row>
    <row r="207" spans="1:41" x14ac:dyDescent="0.25">
      <c r="A207" s="798">
        <v>453</v>
      </c>
      <c r="B207" s="799" t="s">
        <v>472</v>
      </c>
      <c r="C207" s="800">
        <v>0</v>
      </c>
      <c r="D207" s="689">
        <v>3211</v>
      </c>
      <c r="E207" s="800">
        <v>3211</v>
      </c>
      <c r="F207" s="800">
        <v>3211</v>
      </c>
      <c r="G207" s="800">
        <v>3211</v>
      </c>
      <c r="H207" s="800">
        <v>3211</v>
      </c>
      <c r="I207" s="800">
        <v>3211</v>
      </c>
      <c r="J207" s="800">
        <v>3211</v>
      </c>
      <c r="K207" s="800">
        <v>3211</v>
      </c>
      <c r="L207" s="800">
        <v>3211</v>
      </c>
      <c r="M207" s="800">
        <v>3211</v>
      </c>
      <c r="N207" s="800">
        <v>3211</v>
      </c>
      <c r="O207" s="800">
        <v>3211</v>
      </c>
      <c r="P207" s="800">
        <v>3211</v>
      </c>
      <c r="Q207" s="800">
        <v>3211</v>
      </c>
      <c r="R207" s="800">
        <v>3211</v>
      </c>
      <c r="S207" s="800">
        <v>3211</v>
      </c>
      <c r="T207" s="800">
        <v>3211</v>
      </c>
      <c r="U207" s="800">
        <v>3211</v>
      </c>
      <c r="V207" s="800">
        <v>3211</v>
      </c>
      <c r="W207" s="800">
        <v>3211</v>
      </c>
      <c r="X207" s="800">
        <v>3211</v>
      </c>
      <c r="Y207" s="728">
        <f t="shared" si="169"/>
        <v>1</v>
      </c>
      <c r="Z207" s="27"/>
    </row>
    <row r="208" spans="1:41" x14ac:dyDescent="0.25">
      <c r="A208" s="403">
        <v>453</v>
      </c>
      <c r="B208" s="404" t="s">
        <v>289</v>
      </c>
      <c r="C208" s="64">
        <v>1500</v>
      </c>
      <c r="D208" s="689">
        <f t="shared" ref="D208:W208" si="176">1500+502</f>
        <v>2002</v>
      </c>
      <c r="E208" s="64">
        <f t="shared" si="176"/>
        <v>2002</v>
      </c>
      <c r="F208" s="64">
        <f t="shared" si="176"/>
        <v>2002</v>
      </c>
      <c r="G208" s="64">
        <f t="shared" si="176"/>
        <v>2002</v>
      </c>
      <c r="H208" s="64">
        <f t="shared" si="176"/>
        <v>2002</v>
      </c>
      <c r="I208" s="64">
        <f t="shared" si="176"/>
        <v>2002</v>
      </c>
      <c r="J208" s="64">
        <f t="shared" si="176"/>
        <v>2002</v>
      </c>
      <c r="K208" s="64">
        <f t="shared" si="176"/>
        <v>2002</v>
      </c>
      <c r="L208" s="64">
        <f t="shared" si="176"/>
        <v>2002</v>
      </c>
      <c r="M208" s="64">
        <f t="shared" si="176"/>
        <v>2002</v>
      </c>
      <c r="N208" s="64">
        <f t="shared" si="176"/>
        <v>2002</v>
      </c>
      <c r="O208" s="64">
        <f t="shared" si="176"/>
        <v>2002</v>
      </c>
      <c r="P208" s="64">
        <f t="shared" si="176"/>
        <v>2002</v>
      </c>
      <c r="Q208" s="64">
        <f t="shared" si="176"/>
        <v>2002</v>
      </c>
      <c r="R208" s="64">
        <f t="shared" si="176"/>
        <v>2002</v>
      </c>
      <c r="S208" s="64">
        <f t="shared" si="176"/>
        <v>2002</v>
      </c>
      <c r="T208" s="64">
        <f t="shared" si="176"/>
        <v>2002</v>
      </c>
      <c r="U208" s="64">
        <f t="shared" si="176"/>
        <v>2002</v>
      </c>
      <c r="V208" s="64">
        <f t="shared" si="176"/>
        <v>2002</v>
      </c>
      <c r="W208" s="64">
        <f t="shared" si="176"/>
        <v>2002</v>
      </c>
      <c r="X208" s="64">
        <v>2002</v>
      </c>
      <c r="Y208" s="728">
        <f t="shared" si="169"/>
        <v>1</v>
      </c>
      <c r="Z208" s="27"/>
    </row>
    <row r="209" spans="1:41" ht="15.75" thickBot="1" x14ac:dyDescent="0.3">
      <c r="A209" s="303">
        <v>453</v>
      </c>
      <c r="B209" s="304" t="s">
        <v>473</v>
      </c>
      <c r="C209" s="305">
        <v>0</v>
      </c>
      <c r="D209" s="690">
        <f>383</f>
        <v>383</v>
      </c>
      <c r="E209" s="305">
        <f>383</f>
        <v>383</v>
      </c>
      <c r="F209" s="305">
        <f>383</f>
        <v>383</v>
      </c>
      <c r="G209" s="305">
        <f>383</f>
        <v>383</v>
      </c>
      <c r="H209" s="305">
        <f>383</f>
        <v>383</v>
      </c>
      <c r="I209" s="305">
        <f>383</f>
        <v>383</v>
      </c>
      <c r="J209" s="305">
        <f>383</f>
        <v>383</v>
      </c>
      <c r="K209" s="305">
        <f>383</f>
        <v>383</v>
      </c>
      <c r="L209" s="305">
        <f>383</f>
        <v>383</v>
      </c>
      <c r="M209" s="305">
        <f>383</f>
        <v>383</v>
      </c>
      <c r="N209" s="305">
        <f>383</f>
        <v>383</v>
      </c>
      <c r="O209" s="305">
        <f>383</f>
        <v>383</v>
      </c>
      <c r="P209" s="305">
        <f>383</f>
        <v>383</v>
      </c>
      <c r="Q209" s="305">
        <f>383</f>
        <v>383</v>
      </c>
      <c r="R209" s="305">
        <f>383</f>
        <v>383</v>
      </c>
      <c r="S209" s="305">
        <f>383</f>
        <v>383</v>
      </c>
      <c r="T209" s="305">
        <f>383</f>
        <v>383</v>
      </c>
      <c r="U209" s="305">
        <f>383</f>
        <v>383</v>
      </c>
      <c r="V209" s="305">
        <f>383</f>
        <v>383</v>
      </c>
      <c r="W209" s="305">
        <f>383</f>
        <v>383</v>
      </c>
      <c r="X209" s="305">
        <v>382</v>
      </c>
      <c r="Y209" s="728">
        <f t="shared" si="169"/>
        <v>0.99738903394255873</v>
      </c>
      <c r="Z209" s="426">
        <f>SUM(S204:S209)</f>
        <v>25217</v>
      </c>
      <c r="AA209" s="426">
        <f>SUM(X204:X209)</f>
        <v>23375</v>
      </c>
      <c r="AB209" s="703"/>
    </row>
    <row r="210" spans="1:41" x14ac:dyDescent="0.25">
      <c r="A210" s="378">
        <v>453</v>
      </c>
      <c r="B210" s="379" t="s">
        <v>241</v>
      </c>
      <c r="C210" s="380">
        <v>886</v>
      </c>
      <c r="D210" s="380">
        <v>886</v>
      </c>
      <c r="E210" s="380">
        <v>886</v>
      </c>
      <c r="F210" s="380">
        <v>886</v>
      </c>
      <c r="G210" s="380">
        <v>886</v>
      </c>
      <c r="H210" s="380">
        <v>886</v>
      </c>
      <c r="I210" s="380">
        <v>886</v>
      </c>
      <c r="J210" s="380">
        <v>886</v>
      </c>
      <c r="K210" s="380">
        <v>886</v>
      </c>
      <c r="L210" s="380">
        <v>886</v>
      </c>
      <c r="M210" s="380">
        <v>886</v>
      </c>
      <c r="N210" s="380">
        <v>886</v>
      </c>
      <c r="O210" s="380">
        <v>886</v>
      </c>
      <c r="P210" s="380">
        <v>886</v>
      </c>
      <c r="Q210" s="380">
        <v>886</v>
      </c>
      <c r="R210" s="380">
        <v>886</v>
      </c>
      <c r="S210" s="380">
        <v>886</v>
      </c>
      <c r="T210" s="380">
        <v>886</v>
      </c>
      <c r="U210" s="380">
        <v>886</v>
      </c>
      <c r="V210" s="380">
        <v>886</v>
      </c>
      <c r="W210" s="380">
        <v>886</v>
      </c>
      <c r="X210" s="380">
        <v>886</v>
      </c>
      <c r="Y210" s="728">
        <f t="shared" si="169"/>
        <v>1</v>
      </c>
      <c r="Z210" s="703"/>
      <c r="AA210" s="703"/>
      <c r="AB210" s="703"/>
    </row>
    <row r="211" spans="1:41" x14ac:dyDescent="0.25">
      <c r="A211" s="471">
        <v>453</v>
      </c>
      <c r="B211" s="482" t="s">
        <v>291</v>
      </c>
      <c r="C211" s="472">
        <f>105400</f>
        <v>105400</v>
      </c>
      <c r="D211" s="691">
        <f t="shared" ref="D211:W211" si="177">105400-7590</f>
        <v>97810</v>
      </c>
      <c r="E211" s="472">
        <f t="shared" si="177"/>
        <v>97810</v>
      </c>
      <c r="F211" s="472">
        <f t="shared" si="177"/>
        <v>97810</v>
      </c>
      <c r="G211" s="472">
        <f t="shared" si="177"/>
        <v>97810</v>
      </c>
      <c r="H211" s="472">
        <f t="shared" si="177"/>
        <v>97810</v>
      </c>
      <c r="I211" s="472">
        <f t="shared" si="177"/>
        <v>97810</v>
      </c>
      <c r="J211" s="472">
        <f t="shared" si="177"/>
        <v>97810</v>
      </c>
      <c r="K211" s="472">
        <f t="shared" si="177"/>
        <v>97810</v>
      </c>
      <c r="L211" s="472">
        <f t="shared" si="177"/>
        <v>97810</v>
      </c>
      <c r="M211" s="472">
        <f t="shared" si="177"/>
        <v>97810</v>
      </c>
      <c r="N211" s="472">
        <f t="shared" si="177"/>
        <v>97810</v>
      </c>
      <c r="O211" s="472">
        <f t="shared" si="177"/>
        <v>97810</v>
      </c>
      <c r="P211" s="472">
        <f t="shared" si="177"/>
        <v>97810</v>
      </c>
      <c r="Q211" s="472">
        <f t="shared" si="177"/>
        <v>97810</v>
      </c>
      <c r="R211" s="472">
        <f t="shared" si="177"/>
        <v>97810</v>
      </c>
      <c r="S211" s="472">
        <f t="shared" si="177"/>
        <v>97810</v>
      </c>
      <c r="T211" s="472">
        <f t="shared" si="177"/>
        <v>97810</v>
      </c>
      <c r="U211" s="472">
        <f t="shared" si="177"/>
        <v>97810</v>
      </c>
      <c r="V211" s="472">
        <f t="shared" si="177"/>
        <v>97810</v>
      </c>
      <c r="W211" s="472">
        <f t="shared" si="177"/>
        <v>97810</v>
      </c>
      <c r="X211" s="472">
        <v>97809</v>
      </c>
      <c r="Y211" s="728">
        <f t="shared" si="169"/>
        <v>0.99998977609651363</v>
      </c>
      <c r="Z211" s="703"/>
      <c r="AA211" s="27"/>
      <c r="AB211" s="27"/>
    </row>
    <row r="212" spans="1:41" x14ac:dyDescent="0.25">
      <c r="A212" s="403">
        <v>453</v>
      </c>
      <c r="B212" s="404" t="s">
        <v>293</v>
      </c>
      <c r="C212" s="64">
        <v>0</v>
      </c>
      <c r="D212" s="689">
        <f t="shared" ref="D212:W212" si="178">70000</f>
        <v>70000</v>
      </c>
      <c r="E212" s="64">
        <f t="shared" si="178"/>
        <v>70000</v>
      </c>
      <c r="F212" s="64">
        <f t="shared" si="178"/>
        <v>70000</v>
      </c>
      <c r="G212" s="64">
        <f t="shared" si="178"/>
        <v>70000</v>
      </c>
      <c r="H212" s="64">
        <f t="shared" si="178"/>
        <v>70000</v>
      </c>
      <c r="I212" s="64">
        <f t="shared" si="178"/>
        <v>70000</v>
      </c>
      <c r="J212" s="64">
        <f t="shared" si="178"/>
        <v>70000</v>
      </c>
      <c r="K212" s="64">
        <f t="shared" si="178"/>
        <v>70000</v>
      </c>
      <c r="L212" s="64">
        <f t="shared" si="178"/>
        <v>70000</v>
      </c>
      <c r="M212" s="64">
        <f t="shared" si="178"/>
        <v>70000</v>
      </c>
      <c r="N212" s="64">
        <f t="shared" si="178"/>
        <v>70000</v>
      </c>
      <c r="O212" s="64">
        <f t="shared" si="178"/>
        <v>70000</v>
      </c>
      <c r="P212" s="64">
        <f t="shared" si="178"/>
        <v>70000</v>
      </c>
      <c r="Q212" s="64">
        <f t="shared" si="178"/>
        <v>70000</v>
      </c>
      <c r="R212" s="64">
        <f t="shared" si="178"/>
        <v>70000</v>
      </c>
      <c r="S212" s="64">
        <f t="shared" si="178"/>
        <v>70000</v>
      </c>
      <c r="T212" s="64">
        <f t="shared" si="178"/>
        <v>70000</v>
      </c>
      <c r="U212" s="64">
        <f t="shared" si="178"/>
        <v>70000</v>
      </c>
      <c r="V212" s="64">
        <f t="shared" si="178"/>
        <v>70000</v>
      </c>
      <c r="W212" s="64">
        <f t="shared" si="178"/>
        <v>70000</v>
      </c>
      <c r="X212" s="524">
        <v>69999</v>
      </c>
      <c r="Y212" s="728">
        <f t="shared" si="169"/>
        <v>0.99998571428571426</v>
      </c>
      <c r="Z212" s="27"/>
    </row>
    <row r="213" spans="1:41" ht="15.75" thickBot="1" x14ac:dyDescent="0.3">
      <c r="A213" s="483">
        <v>453</v>
      </c>
      <c r="B213" s="377" t="s">
        <v>304</v>
      </c>
      <c r="C213" s="484">
        <v>100000</v>
      </c>
      <c r="D213" s="484">
        <v>100000</v>
      </c>
      <c r="E213" s="484">
        <v>100000</v>
      </c>
      <c r="F213" s="484">
        <v>100000</v>
      </c>
      <c r="G213" s="484">
        <v>100000</v>
      </c>
      <c r="H213" s="484">
        <v>100000</v>
      </c>
      <c r="I213" s="484">
        <v>100000</v>
      </c>
      <c r="J213" s="484">
        <v>100000</v>
      </c>
      <c r="K213" s="484">
        <v>100000</v>
      </c>
      <c r="L213" s="484">
        <v>100000</v>
      </c>
      <c r="M213" s="484">
        <v>100000</v>
      </c>
      <c r="N213" s="484">
        <v>100000</v>
      </c>
      <c r="O213" s="484">
        <v>100000</v>
      </c>
      <c r="P213" s="484">
        <v>100000</v>
      </c>
      <c r="Q213" s="484">
        <v>100000</v>
      </c>
      <c r="R213" s="484">
        <v>100000</v>
      </c>
      <c r="S213" s="484">
        <v>100000</v>
      </c>
      <c r="T213" s="484">
        <v>100000</v>
      </c>
      <c r="U213" s="484">
        <v>100000</v>
      </c>
      <c r="V213" s="484">
        <v>100000</v>
      </c>
      <c r="W213" s="484">
        <v>100000</v>
      </c>
      <c r="X213" s="484">
        <v>39588</v>
      </c>
      <c r="Y213" s="728">
        <f t="shared" si="169"/>
        <v>0.39588000000000001</v>
      </c>
      <c r="Z213" s="27">
        <f>SUM(S210:S213)</f>
        <v>268696</v>
      </c>
      <c r="AA213" s="27">
        <f>SUM(X210:X213)</f>
        <v>208282</v>
      </c>
      <c r="AB213" s="426"/>
    </row>
    <row r="214" spans="1:41" x14ac:dyDescent="0.25">
      <c r="A214" s="378">
        <v>454</v>
      </c>
      <c r="B214" s="379" t="s">
        <v>474</v>
      </c>
      <c r="C214" s="380">
        <v>0</v>
      </c>
      <c r="D214" s="380">
        <v>0</v>
      </c>
      <c r="E214" s="380">
        <v>0</v>
      </c>
      <c r="F214" s="380">
        <v>0</v>
      </c>
      <c r="G214" s="380">
        <v>0</v>
      </c>
      <c r="H214" s="380">
        <v>0</v>
      </c>
      <c r="I214" s="380">
        <v>0</v>
      </c>
      <c r="J214" s="380">
        <v>0</v>
      </c>
      <c r="K214" s="380">
        <v>0</v>
      </c>
      <c r="L214" s="380">
        <v>0</v>
      </c>
      <c r="M214" s="380">
        <v>0</v>
      </c>
      <c r="N214" s="380">
        <v>0</v>
      </c>
      <c r="O214" s="380">
        <v>0</v>
      </c>
      <c r="P214" s="380">
        <v>0</v>
      </c>
      <c r="Q214" s="380">
        <v>0</v>
      </c>
      <c r="R214" s="380">
        <v>0</v>
      </c>
      <c r="S214" s="380">
        <v>0</v>
      </c>
      <c r="T214" s="380">
        <v>0</v>
      </c>
      <c r="U214" s="380">
        <v>0</v>
      </c>
      <c r="V214" s="380">
        <v>0</v>
      </c>
      <c r="W214" s="380">
        <v>0</v>
      </c>
      <c r="X214" s="380">
        <v>0</v>
      </c>
      <c r="Y214" s="728">
        <v>0</v>
      </c>
      <c r="Z214" s="426"/>
      <c r="AA214" s="27"/>
      <c r="AB214" s="27"/>
    </row>
    <row r="215" spans="1:41" ht="15.75" thickBot="1" x14ac:dyDescent="0.3">
      <c r="A215" s="303">
        <v>454</v>
      </c>
      <c r="B215" s="304" t="s">
        <v>266</v>
      </c>
      <c r="C215" s="305">
        <f t="shared" ref="C215:L215" si="179">152000+193000</f>
        <v>345000</v>
      </c>
      <c r="D215" s="305">
        <f t="shared" si="179"/>
        <v>345000</v>
      </c>
      <c r="E215" s="305">
        <f t="shared" si="179"/>
        <v>345000</v>
      </c>
      <c r="F215" s="305">
        <f t="shared" si="179"/>
        <v>345000</v>
      </c>
      <c r="G215" s="305">
        <f t="shared" si="179"/>
        <v>345000</v>
      </c>
      <c r="H215" s="305">
        <f t="shared" si="179"/>
        <v>345000</v>
      </c>
      <c r="I215" s="305">
        <f t="shared" si="179"/>
        <v>345000</v>
      </c>
      <c r="J215" s="305">
        <f t="shared" si="179"/>
        <v>345000</v>
      </c>
      <c r="K215" s="305">
        <f t="shared" si="179"/>
        <v>345000</v>
      </c>
      <c r="L215" s="305">
        <f t="shared" si="179"/>
        <v>345000</v>
      </c>
      <c r="M215" s="690">
        <f>152000+193000+305000</f>
        <v>650000</v>
      </c>
      <c r="N215" s="305">
        <f>152000+193000+305000</f>
        <v>650000</v>
      </c>
      <c r="O215" s="305">
        <f>152000+193000+305000</f>
        <v>650000</v>
      </c>
      <c r="P215" s="305">
        <f>152000+193000+305000</f>
        <v>650000</v>
      </c>
      <c r="Q215" s="305">
        <f t="shared" ref="Q215:W215" si="180">152000+193000+305000</f>
        <v>650000</v>
      </c>
      <c r="R215" s="305">
        <f t="shared" si="180"/>
        <v>650000</v>
      </c>
      <c r="S215" s="305">
        <f t="shared" si="180"/>
        <v>650000</v>
      </c>
      <c r="T215" s="305">
        <f t="shared" si="180"/>
        <v>650000</v>
      </c>
      <c r="U215" s="305">
        <f t="shared" si="180"/>
        <v>650000</v>
      </c>
      <c r="V215" s="305">
        <f t="shared" si="180"/>
        <v>650000</v>
      </c>
      <c r="W215" s="305">
        <f t="shared" si="180"/>
        <v>650000</v>
      </c>
      <c r="X215" s="305">
        <v>221762</v>
      </c>
      <c r="Y215" s="728">
        <f t="shared" si="169"/>
        <v>0.34117230769230772</v>
      </c>
      <c r="Z215" s="27">
        <f>SUM(R214:R215)</f>
        <v>650000</v>
      </c>
      <c r="AA215" s="27">
        <f>SUM(X214:X215)</f>
        <v>221762</v>
      </c>
      <c r="AB215" s="27"/>
    </row>
    <row r="216" spans="1:41" ht="15.75" thickBot="1" x14ac:dyDescent="0.3">
      <c r="A216" s="770">
        <v>456</v>
      </c>
      <c r="B216" s="772" t="s">
        <v>535</v>
      </c>
      <c r="C216" s="771">
        <v>0</v>
      </c>
      <c r="D216" s="771">
        <v>0</v>
      </c>
      <c r="E216" s="771">
        <v>0</v>
      </c>
      <c r="F216" s="771">
        <v>0</v>
      </c>
      <c r="G216" s="773">
        <v>54025</v>
      </c>
      <c r="H216" s="771">
        <v>54025</v>
      </c>
      <c r="I216" s="771">
        <v>54025</v>
      </c>
      <c r="J216" s="771">
        <v>54025</v>
      </c>
      <c r="K216" s="771">
        <v>54025</v>
      </c>
      <c r="L216" s="771">
        <v>54025</v>
      </c>
      <c r="M216" s="771">
        <v>54025</v>
      </c>
      <c r="N216" s="771">
        <v>54025</v>
      </c>
      <c r="O216" s="771">
        <v>54025</v>
      </c>
      <c r="P216" s="771">
        <v>54025</v>
      </c>
      <c r="Q216" s="773">
        <f t="shared" ref="Q216:W216" si="181">54025-54025</f>
        <v>0</v>
      </c>
      <c r="R216" s="771">
        <f t="shared" si="181"/>
        <v>0</v>
      </c>
      <c r="S216" s="771">
        <f t="shared" si="181"/>
        <v>0</v>
      </c>
      <c r="T216" s="771">
        <f t="shared" si="181"/>
        <v>0</v>
      </c>
      <c r="U216" s="771">
        <f t="shared" si="181"/>
        <v>0</v>
      </c>
      <c r="V216" s="771">
        <f t="shared" si="181"/>
        <v>0</v>
      </c>
      <c r="W216" s="771">
        <f t="shared" si="181"/>
        <v>0</v>
      </c>
      <c r="X216" s="771">
        <v>0</v>
      </c>
      <c r="Y216" s="728">
        <v>0</v>
      </c>
      <c r="Z216" s="27"/>
      <c r="AA216" s="27"/>
      <c r="AB216" s="27"/>
    </row>
    <row r="217" spans="1:41" ht="16.5" thickBot="1" x14ac:dyDescent="0.3">
      <c r="A217" s="410" t="s">
        <v>171</v>
      </c>
      <c r="B217" s="411"/>
      <c r="C217" s="412">
        <f t="shared" ref="C217:X217" si="182">SUM(C218:C220)</f>
        <v>1090</v>
      </c>
      <c r="D217" s="412">
        <f t="shared" si="182"/>
        <v>1110</v>
      </c>
      <c r="E217" s="412">
        <f t="shared" si="182"/>
        <v>1110</v>
      </c>
      <c r="F217" s="412">
        <f t="shared" si="182"/>
        <v>1110</v>
      </c>
      <c r="G217" s="412">
        <f t="shared" si="182"/>
        <v>55135</v>
      </c>
      <c r="H217" s="412">
        <f t="shared" si="182"/>
        <v>55135</v>
      </c>
      <c r="I217" s="412">
        <f t="shared" si="182"/>
        <v>55135</v>
      </c>
      <c r="J217" s="412">
        <f t="shared" si="182"/>
        <v>55135</v>
      </c>
      <c r="K217" s="412">
        <f t="shared" si="182"/>
        <v>55135</v>
      </c>
      <c r="L217" s="412">
        <f t="shared" si="182"/>
        <v>55135</v>
      </c>
      <c r="M217" s="412">
        <f t="shared" si="182"/>
        <v>55135</v>
      </c>
      <c r="N217" s="412">
        <f t="shared" si="182"/>
        <v>55135</v>
      </c>
      <c r="O217" s="412">
        <f t="shared" si="182"/>
        <v>55135</v>
      </c>
      <c r="P217" s="412">
        <f t="shared" si="182"/>
        <v>55135</v>
      </c>
      <c r="Q217" s="412">
        <f t="shared" si="182"/>
        <v>1110</v>
      </c>
      <c r="R217" s="412">
        <f t="shared" si="182"/>
        <v>1110</v>
      </c>
      <c r="S217" s="412">
        <f t="shared" si="182"/>
        <v>1110</v>
      </c>
      <c r="T217" s="412">
        <f t="shared" si="182"/>
        <v>1110</v>
      </c>
      <c r="U217" s="412">
        <f t="shared" si="182"/>
        <v>1110</v>
      </c>
      <c r="V217" s="412">
        <f t="shared" ref="V217:W217" si="183">SUM(V218:V220)</f>
        <v>1110</v>
      </c>
      <c r="W217" s="412">
        <f t="shared" si="183"/>
        <v>1110</v>
      </c>
      <c r="X217" s="412">
        <f t="shared" si="182"/>
        <v>1092</v>
      </c>
      <c r="Y217" s="728">
        <f t="shared" si="169"/>
        <v>0.98378378378378384</v>
      </c>
      <c r="Z217" s="27">
        <f t="shared" ref="Z217:AO217" si="184">D217-C217</f>
        <v>20</v>
      </c>
      <c r="AA217" s="27">
        <f t="shared" si="184"/>
        <v>0</v>
      </c>
      <c r="AB217" s="27">
        <f t="shared" si="184"/>
        <v>0</v>
      </c>
      <c r="AC217" s="27">
        <f t="shared" si="184"/>
        <v>54025</v>
      </c>
      <c r="AD217" s="27">
        <f t="shared" si="184"/>
        <v>0</v>
      </c>
      <c r="AE217" s="27">
        <f t="shared" si="184"/>
        <v>0</v>
      </c>
      <c r="AF217" s="27">
        <f t="shared" si="184"/>
        <v>0</v>
      </c>
      <c r="AG217" s="27">
        <f t="shared" si="184"/>
        <v>0</v>
      </c>
      <c r="AH217" s="27">
        <f t="shared" si="184"/>
        <v>0</v>
      </c>
      <c r="AI217" s="27">
        <f t="shared" si="184"/>
        <v>0</v>
      </c>
      <c r="AJ217" s="27">
        <f t="shared" si="184"/>
        <v>0</v>
      </c>
      <c r="AK217" s="27">
        <f t="shared" si="184"/>
        <v>0</v>
      </c>
      <c r="AL217" s="27">
        <f t="shared" si="184"/>
        <v>0</v>
      </c>
      <c r="AM217" s="27">
        <f t="shared" si="184"/>
        <v>-54025</v>
      </c>
      <c r="AN217" s="27">
        <f t="shared" si="184"/>
        <v>0</v>
      </c>
      <c r="AO217" s="27">
        <f t="shared" si="184"/>
        <v>0</v>
      </c>
    </row>
    <row r="218" spans="1:41" x14ac:dyDescent="0.25">
      <c r="A218" s="308">
        <v>819</v>
      </c>
      <c r="B218" s="307" t="s">
        <v>244</v>
      </c>
      <c r="C218" s="56">
        <v>0</v>
      </c>
      <c r="D218" s="705">
        <v>20</v>
      </c>
      <c r="E218" s="56">
        <v>20</v>
      </c>
      <c r="F218" s="56">
        <v>20</v>
      </c>
      <c r="G218" s="56">
        <v>20</v>
      </c>
      <c r="H218" s="56">
        <v>20</v>
      </c>
      <c r="I218" s="56">
        <v>20</v>
      </c>
      <c r="J218" s="56">
        <v>20</v>
      </c>
      <c r="K218" s="56">
        <v>20</v>
      </c>
      <c r="L218" s="56">
        <v>20</v>
      </c>
      <c r="M218" s="56">
        <v>20</v>
      </c>
      <c r="N218" s="56">
        <v>20</v>
      </c>
      <c r="O218" s="56">
        <v>20</v>
      </c>
      <c r="P218" s="56">
        <v>20</v>
      </c>
      <c r="Q218" s="56">
        <v>20</v>
      </c>
      <c r="R218" s="56">
        <v>20</v>
      </c>
      <c r="S218" s="56">
        <v>20</v>
      </c>
      <c r="T218" s="56">
        <v>20</v>
      </c>
      <c r="U218" s="56">
        <v>20</v>
      </c>
      <c r="V218" s="56">
        <v>20</v>
      </c>
      <c r="W218" s="56">
        <v>20</v>
      </c>
      <c r="X218" s="56">
        <v>9</v>
      </c>
      <c r="Y218" s="728">
        <f t="shared" si="169"/>
        <v>0.45</v>
      </c>
      <c r="Z218" s="27"/>
      <c r="AA218" s="27"/>
      <c r="AB218" s="27"/>
      <c r="AD218" s="426"/>
    </row>
    <row r="219" spans="1:41" x14ac:dyDescent="0.25">
      <c r="A219" s="308">
        <v>819</v>
      </c>
      <c r="B219" s="377" t="s">
        <v>535</v>
      </c>
      <c r="C219" s="56">
        <v>0</v>
      </c>
      <c r="D219" s="56">
        <v>0</v>
      </c>
      <c r="E219" s="56">
        <v>0</v>
      </c>
      <c r="F219" s="56">
        <v>0</v>
      </c>
      <c r="G219" s="705">
        <v>54025</v>
      </c>
      <c r="H219" s="56">
        <v>54025</v>
      </c>
      <c r="I219" s="56">
        <v>54025</v>
      </c>
      <c r="J219" s="56">
        <v>54025</v>
      </c>
      <c r="K219" s="56">
        <v>54025</v>
      </c>
      <c r="L219" s="56">
        <v>54025</v>
      </c>
      <c r="M219" s="56">
        <v>54025</v>
      </c>
      <c r="N219" s="56">
        <v>54025</v>
      </c>
      <c r="O219" s="56">
        <v>54025</v>
      </c>
      <c r="P219" s="56">
        <v>54025</v>
      </c>
      <c r="Q219" s="705">
        <f t="shared" ref="Q219:W219" si="185">54025-54025</f>
        <v>0</v>
      </c>
      <c r="R219" s="56">
        <f t="shared" si="185"/>
        <v>0</v>
      </c>
      <c r="S219" s="56">
        <f t="shared" si="185"/>
        <v>0</v>
      </c>
      <c r="T219" s="56">
        <f t="shared" si="185"/>
        <v>0</v>
      </c>
      <c r="U219" s="56">
        <f t="shared" si="185"/>
        <v>0</v>
      </c>
      <c r="V219" s="56">
        <f t="shared" si="185"/>
        <v>0</v>
      </c>
      <c r="W219" s="56">
        <f t="shared" si="185"/>
        <v>0</v>
      </c>
      <c r="X219" s="56">
        <v>0</v>
      </c>
      <c r="Y219" s="728">
        <v>0</v>
      </c>
      <c r="Z219" s="27">
        <f>SUM(R218:R219)</f>
        <v>20</v>
      </c>
      <c r="AA219" s="27">
        <f>SUM(X218:X219)</f>
        <v>9</v>
      </c>
      <c r="AB219" s="27"/>
      <c r="AD219" s="426"/>
    </row>
    <row r="220" spans="1:41" ht="14.25" customHeight="1" thickBot="1" x14ac:dyDescent="0.3">
      <c r="A220" s="310">
        <v>821</v>
      </c>
      <c r="B220" s="311" t="s">
        <v>173</v>
      </c>
      <c r="C220" s="124">
        <v>1090</v>
      </c>
      <c r="D220" s="124">
        <v>1090</v>
      </c>
      <c r="E220" s="124">
        <v>1090</v>
      </c>
      <c r="F220" s="124">
        <v>1090</v>
      </c>
      <c r="G220" s="124">
        <v>1090</v>
      </c>
      <c r="H220" s="124">
        <v>1090</v>
      </c>
      <c r="I220" s="124">
        <v>1090</v>
      </c>
      <c r="J220" s="124">
        <v>1090</v>
      </c>
      <c r="K220" s="124">
        <v>1090</v>
      </c>
      <c r="L220" s="124">
        <v>1090</v>
      </c>
      <c r="M220" s="124">
        <v>1090</v>
      </c>
      <c r="N220" s="124">
        <v>1090</v>
      </c>
      <c r="O220" s="124">
        <v>1090</v>
      </c>
      <c r="P220" s="124">
        <v>1090</v>
      </c>
      <c r="Q220" s="124">
        <v>1090</v>
      </c>
      <c r="R220" s="124">
        <v>1090</v>
      </c>
      <c r="S220" s="124">
        <v>1090</v>
      </c>
      <c r="T220" s="124">
        <v>1090</v>
      </c>
      <c r="U220" s="124">
        <v>1090</v>
      </c>
      <c r="V220" s="124">
        <v>1090</v>
      </c>
      <c r="W220" s="124">
        <v>1090</v>
      </c>
      <c r="X220" s="124">
        <v>1083</v>
      </c>
      <c r="Y220" s="728">
        <f t="shared" si="169"/>
        <v>0.99357798165137612</v>
      </c>
      <c r="Z220" s="27"/>
    </row>
    <row r="221" spans="1:41" x14ac:dyDescent="0.25">
      <c r="A221" s="297"/>
      <c r="B221" s="312"/>
      <c r="C221" s="157"/>
      <c r="D221" s="157"/>
      <c r="E221" s="157"/>
      <c r="F221" s="157"/>
      <c r="G221" s="15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  <c r="R221" s="157"/>
      <c r="S221" s="157"/>
      <c r="T221" s="157"/>
      <c r="U221" s="157"/>
      <c r="V221" s="157"/>
      <c r="W221" s="157"/>
      <c r="X221" s="157"/>
      <c r="Y221" s="157"/>
      <c r="Z221" s="1"/>
    </row>
    <row r="222" spans="1:41" ht="15.75" x14ac:dyDescent="0.25">
      <c r="A222" s="101"/>
      <c r="B222" s="295"/>
      <c r="C222" s="295"/>
      <c r="D222" s="295"/>
      <c r="E222" s="295"/>
      <c r="F222" s="295"/>
      <c r="G222" s="295"/>
      <c r="H222" s="295"/>
      <c r="I222" s="295"/>
      <c r="J222" s="295"/>
      <c r="K222" s="295"/>
      <c r="L222" s="295"/>
      <c r="M222" s="295"/>
      <c r="N222" s="295"/>
      <c r="O222" s="295"/>
      <c r="P222" s="295"/>
      <c r="Q222" s="295"/>
      <c r="R222" s="295"/>
      <c r="S222" s="295"/>
      <c r="T222" s="295"/>
      <c r="U222" s="295"/>
      <c r="V222" s="295"/>
      <c r="W222" s="295"/>
      <c r="X222" s="295"/>
      <c r="Y222" s="295"/>
      <c r="Z222" s="1"/>
    </row>
    <row r="223" spans="1:41" ht="18.75" thickBot="1" x14ac:dyDescent="0.3">
      <c r="A223" s="882" t="s">
        <v>174</v>
      </c>
      <c r="B223" s="883"/>
      <c r="C223" s="883"/>
      <c r="D223" s="883"/>
      <c r="E223" s="883"/>
      <c r="F223" s="883"/>
      <c r="G223" s="883"/>
      <c r="H223" s="883"/>
      <c r="I223" s="883"/>
      <c r="J223" s="883"/>
      <c r="K223" s="883"/>
      <c r="L223" s="883"/>
      <c r="M223" s="883"/>
      <c r="N223" s="883"/>
      <c r="O223" s="883"/>
      <c r="P223" s="883"/>
      <c r="Q223" s="883"/>
      <c r="R223" s="883"/>
      <c r="S223" s="883"/>
      <c r="T223" s="883"/>
      <c r="U223" s="883"/>
      <c r="V223" s="883"/>
      <c r="W223" s="883"/>
      <c r="X223" s="883"/>
      <c r="Y223" s="729"/>
      <c r="Z223" s="295"/>
    </row>
    <row r="224" spans="1:41" ht="36" customHeight="1" thickBot="1" x14ac:dyDescent="0.3">
      <c r="A224" s="876" t="s">
        <v>1</v>
      </c>
      <c r="B224" s="877"/>
      <c r="C224" s="387" t="s">
        <v>467</v>
      </c>
      <c r="D224" s="387" t="s">
        <v>465</v>
      </c>
      <c r="E224" s="387" t="s">
        <v>483</v>
      </c>
      <c r="F224" s="387" t="s">
        <v>500</v>
      </c>
      <c r="G224" s="387" t="s">
        <v>533</v>
      </c>
      <c r="H224" s="387" t="s">
        <v>578</v>
      </c>
      <c r="I224" s="387" t="s">
        <v>610</v>
      </c>
      <c r="J224" s="387" t="s">
        <v>579</v>
      </c>
      <c r="K224" s="387" t="s">
        <v>646</v>
      </c>
      <c r="L224" s="387" t="s">
        <v>637</v>
      </c>
      <c r="M224" s="387" t="s">
        <v>670</v>
      </c>
      <c r="N224" s="387" t="s">
        <v>680</v>
      </c>
      <c r="O224" s="387" t="s">
        <v>749</v>
      </c>
      <c r="P224" s="387" t="s">
        <v>774</v>
      </c>
      <c r="Q224" s="387" t="s">
        <v>783</v>
      </c>
      <c r="R224" s="387" t="s">
        <v>784</v>
      </c>
      <c r="S224" s="387" t="s">
        <v>885</v>
      </c>
      <c r="T224" s="387" t="s">
        <v>894</v>
      </c>
      <c r="U224" s="387" t="s">
        <v>913</v>
      </c>
      <c r="V224" s="387" t="s">
        <v>919</v>
      </c>
      <c r="W224" s="387" t="s">
        <v>994</v>
      </c>
      <c r="X224" s="387" t="s">
        <v>993</v>
      </c>
      <c r="Y224" s="730"/>
      <c r="Z224" s="1"/>
    </row>
    <row r="225" spans="1:45" ht="15.75" x14ac:dyDescent="0.25">
      <c r="A225" s="313" t="s">
        <v>175</v>
      </c>
      <c r="B225" s="29"/>
      <c r="C225" s="314">
        <f t="shared" ref="C225:X225" si="186">C76</f>
        <v>2971575</v>
      </c>
      <c r="D225" s="314">
        <f t="shared" si="186"/>
        <v>2971247</v>
      </c>
      <c r="E225" s="314">
        <f t="shared" si="186"/>
        <v>2988357</v>
      </c>
      <c r="F225" s="314">
        <f t="shared" si="186"/>
        <v>2981581</v>
      </c>
      <c r="G225" s="314">
        <f t="shared" si="186"/>
        <v>2981581</v>
      </c>
      <c r="H225" s="314">
        <f t="shared" si="186"/>
        <v>2981581</v>
      </c>
      <c r="I225" s="314">
        <f t="shared" si="186"/>
        <v>2993537</v>
      </c>
      <c r="J225" s="314">
        <f t="shared" si="186"/>
        <v>2994461</v>
      </c>
      <c r="K225" s="314">
        <f t="shared" si="186"/>
        <v>3092290</v>
      </c>
      <c r="L225" s="314">
        <f t="shared" si="186"/>
        <v>3093835</v>
      </c>
      <c r="M225" s="314">
        <f t="shared" si="186"/>
        <v>3093835</v>
      </c>
      <c r="N225" s="314">
        <f t="shared" si="186"/>
        <v>3098234</v>
      </c>
      <c r="O225" s="314">
        <f t="shared" si="186"/>
        <v>3100431</v>
      </c>
      <c r="P225" s="314">
        <f t="shared" si="186"/>
        <v>3102031</v>
      </c>
      <c r="Q225" s="314">
        <f t="shared" si="186"/>
        <v>3101031</v>
      </c>
      <c r="R225" s="314">
        <f t="shared" si="186"/>
        <v>3142312</v>
      </c>
      <c r="S225" s="314">
        <f t="shared" si="186"/>
        <v>3167160</v>
      </c>
      <c r="T225" s="314">
        <f t="shared" si="186"/>
        <v>3167160</v>
      </c>
      <c r="U225" s="314">
        <f t="shared" si="186"/>
        <v>3197333</v>
      </c>
      <c r="V225" s="314">
        <f t="shared" ref="V225:W225" si="187">V76</f>
        <v>3196547</v>
      </c>
      <c r="W225" s="314">
        <f t="shared" si="187"/>
        <v>3223863</v>
      </c>
      <c r="X225" s="314">
        <f t="shared" si="186"/>
        <v>2988325</v>
      </c>
      <c r="Y225" s="726"/>
    </row>
    <row r="226" spans="1:45" ht="15.75" x14ac:dyDescent="0.25">
      <c r="A226" s="315" t="s">
        <v>176</v>
      </c>
      <c r="B226" s="316"/>
      <c r="C226" s="317">
        <f t="shared" ref="C226:X226" si="188">C145</f>
        <v>2990485</v>
      </c>
      <c r="D226" s="317">
        <f t="shared" si="188"/>
        <v>2995354</v>
      </c>
      <c r="E226" s="317">
        <f t="shared" si="188"/>
        <v>3012464</v>
      </c>
      <c r="F226" s="317">
        <f t="shared" si="188"/>
        <v>3005688</v>
      </c>
      <c r="G226" s="317">
        <f t="shared" si="188"/>
        <v>3005688</v>
      </c>
      <c r="H226" s="317">
        <f t="shared" si="188"/>
        <v>3005688</v>
      </c>
      <c r="I226" s="317">
        <f t="shared" si="188"/>
        <v>3017644</v>
      </c>
      <c r="J226" s="317">
        <f t="shared" si="188"/>
        <v>3018568</v>
      </c>
      <c r="K226" s="317">
        <f t="shared" si="188"/>
        <v>3116397</v>
      </c>
      <c r="L226" s="317">
        <f t="shared" si="188"/>
        <v>3117942</v>
      </c>
      <c r="M226" s="317">
        <f t="shared" si="188"/>
        <v>3117942</v>
      </c>
      <c r="N226" s="317">
        <f t="shared" si="188"/>
        <v>3122341</v>
      </c>
      <c r="O226" s="317">
        <f t="shared" si="188"/>
        <v>3124538</v>
      </c>
      <c r="P226" s="317">
        <f t="shared" si="188"/>
        <v>3126138</v>
      </c>
      <c r="Q226" s="317">
        <f t="shared" si="188"/>
        <v>3125138</v>
      </c>
      <c r="R226" s="317">
        <f t="shared" si="188"/>
        <v>3166419</v>
      </c>
      <c r="S226" s="317">
        <f t="shared" si="188"/>
        <v>3191267</v>
      </c>
      <c r="T226" s="317">
        <f t="shared" si="188"/>
        <v>3191267</v>
      </c>
      <c r="U226" s="317">
        <f t="shared" si="188"/>
        <v>3221440</v>
      </c>
      <c r="V226" s="317">
        <f t="shared" ref="V226:W226" si="189">V145</f>
        <v>3220654</v>
      </c>
      <c r="W226" s="317">
        <f t="shared" si="189"/>
        <v>3247970</v>
      </c>
      <c r="X226" s="317">
        <f t="shared" si="188"/>
        <v>2850390</v>
      </c>
      <c r="Y226" s="726"/>
    </row>
    <row r="227" spans="1:45" ht="18.75" customHeight="1" x14ac:dyDescent="0.25">
      <c r="A227" s="884" t="s">
        <v>177</v>
      </c>
      <c r="B227" s="885"/>
      <c r="C227" s="318">
        <f t="shared" ref="C227:X227" si="190">C225-C226</f>
        <v>-18910</v>
      </c>
      <c r="D227" s="318">
        <f t="shared" si="190"/>
        <v>-24107</v>
      </c>
      <c r="E227" s="318">
        <f t="shared" si="190"/>
        <v>-24107</v>
      </c>
      <c r="F227" s="318">
        <f t="shared" si="190"/>
        <v>-24107</v>
      </c>
      <c r="G227" s="318">
        <f t="shared" si="190"/>
        <v>-24107</v>
      </c>
      <c r="H227" s="318">
        <f t="shared" si="190"/>
        <v>-24107</v>
      </c>
      <c r="I227" s="318">
        <f t="shared" si="190"/>
        <v>-24107</v>
      </c>
      <c r="J227" s="318">
        <f t="shared" si="190"/>
        <v>-24107</v>
      </c>
      <c r="K227" s="318">
        <f t="shared" si="190"/>
        <v>-24107</v>
      </c>
      <c r="L227" s="318">
        <f t="shared" si="190"/>
        <v>-24107</v>
      </c>
      <c r="M227" s="318">
        <f t="shared" si="190"/>
        <v>-24107</v>
      </c>
      <c r="N227" s="318">
        <f t="shared" si="190"/>
        <v>-24107</v>
      </c>
      <c r="O227" s="318">
        <f t="shared" si="190"/>
        <v>-24107</v>
      </c>
      <c r="P227" s="318">
        <f t="shared" si="190"/>
        <v>-24107</v>
      </c>
      <c r="Q227" s="318">
        <f t="shared" si="190"/>
        <v>-24107</v>
      </c>
      <c r="R227" s="318">
        <f t="shared" si="190"/>
        <v>-24107</v>
      </c>
      <c r="S227" s="318">
        <f t="shared" si="190"/>
        <v>-24107</v>
      </c>
      <c r="T227" s="318">
        <f t="shared" si="190"/>
        <v>-24107</v>
      </c>
      <c r="U227" s="318">
        <f t="shared" si="190"/>
        <v>-24107</v>
      </c>
      <c r="V227" s="318">
        <f t="shared" ref="V227:W227" si="191">V225-V226</f>
        <v>-24107</v>
      </c>
      <c r="W227" s="318">
        <f t="shared" si="191"/>
        <v>-24107</v>
      </c>
      <c r="X227" s="318">
        <f t="shared" si="190"/>
        <v>137935</v>
      </c>
      <c r="Y227" s="731"/>
      <c r="Z227" s="27">
        <f>O227-O220</f>
        <v>-25197</v>
      </c>
      <c r="AA227" s="27"/>
      <c r="AB227" s="27"/>
      <c r="AC227" s="27"/>
    </row>
    <row r="228" spans="1:45" ht="16.149999999999999" customHeight="1" x14ac:dyDescent="0.25">
      <c r="A228" s="315" t="s">
        <v>178</v>
      </c>
      <c r="B228" s="18"/>
      <c r="C228" s="317">
        <f t="shared" ref="C228:X228" si="192">C150</f>
        <v>2593450</v>
      </c>
      <c r="D228" s="317">
        <f t="shared" si="192"/>
        <v>2523450</v>
      </c>
      <c r="E228" s="317">
        <f t="shared" si="192"/>
        <v>2511270</v>
      </c>
      <c r="F228" s="317">
        <f t="shared" si="192"/>
        <v>2511270</v>
      </c>
      <c r="G228" s="317">
        <f t="shared" si="192"/>
        <v>2541070</v>
      </c>
      <c r="H228" s="317">
        <f t="shared" si="192"/>
        <v>2541070</v>
      </c>
      <c r="I228" s="317">
        <f t="shared" si="192"/>
        <v>2541070</v>
      </c>
      <c r="J228" s="317">
        <f t="shared" si="192"/>
        <v>2541070</v>
      </c>
      <c r="K228" s="317">
        <f t="shared" si="192"/>
        <v>2541070</v>
      </c>
      <c r="L228" s="317">
        <f t="shared" si="192"/>
        <v>2614470</v>
      </c>
      <c r="M228" s="317">
        <f t="shared" si="192"/>
        <v>2714670</v>
      </c>
      <c r="N228" s="317">
        <f t="shared" si="192"/>
        <v>2714670</v>
      </c>
      <c r="O228" s="317">
        <f t="shared" si="192"/>
        <v>2809670</v>
      </c>
      <c r="P228" s="317">
        <f t="shared" si="192"/>
        <v>2809670</v>
      </c>
      <c r="Q228" s="317">
        <f t="shared" si="192"/>
        <v>3949970</v>
      </c>
      <c r="R228" s="317">
        <f t="shared" si="192"/>
        <v>3949970</v>
      </c>
      <c r="S228" s="317">
        <f t="shared" si="192"/>
        <v>3949970</v>
      </c>
      <c r="T228" s="317">
        <f t="shared" si="192"/>
        <v>3949970</v>
      </c>
      <c r="U228" s="317">
        <f t="shared" si="192"/>
        <v>3949970</v>
      </c>
      <c r="V228" s="317">
        <f t="shared" ref="V228:W228" si="193">V150</f>
        <v>3949970</v>
      </c>
      <c r="W228" s="317">
        <f t="shared" si="193"/>
        <v>3949970</v>
      </c>
      <c r="X228" s="317">
        <f t="shared" si="192"/>
        <v>1762647.73</v>
      </c>
      <c r="Y228" s="726"/>
    </row>
    <row r="229" spans="1:45" ht="15.75" x14ac:dyDescent="0.25">
      <c r="A229" s="315" t="s">
        <v>179</v>
      </c>
      <c r="B229" s="18"/>
      <c r="C229" s="20">
        <f t="shared" ref="C229:X229" si="194">C170</f>
        <v>3144736</v>
      </c>
      <c r="D229" s="20">
        <f t="shared" si="194"/>
        <v>3137146</v>
      </c>
      <c r="E229" s="20">
        <f t="shared" si="194"/>
        <v>3124966</v>
      </c>
      <c r="F229" s="20">
        <f t="shared" si="194"/>
        <v>3124966</v>
      </c>
      <c r="G229" s="20">
        <f t="shared" si="194"/>
        <v>3154766</v>
      </c>
      <c r="H229" s="20">
        <f t="shared" si="194"/>
        <v>3154766</v>
      </c>
      <c r="I229" s="20">
        <f t="shared" si="194"/>
        <v>3154766</v>
      </c>
      <c r="J229" s="20">
        <f t="shared" si="194"/>
        <v>3154766</v>
      </c>
      <c r="K229" s="20">
        <f t="shared" si="194"/>
        <v>3154766</v>
      </c>
      <c r="L229" s="20">
        <f t="shared" si="194"/>
        <v>3228166</v>
      </c>
      <c r="M229" s="20">
        <f t="shared" si="194"/>
        <v>3633366</v>
      </c>
      <c r="N229" s="20">
        <f t="shared" si="194"/>
        <v>3633366</v>
      </c>
      <c r="O229" s="20">
        <f t="shared" si="194"/>
        <v>3728366</v>
      </c>
      <c r="P229" s="20">
        <f t="shared" si="194"/>
        <v>3728366</v>
      </c>
      <c r="Q229" s="20">
        <f t="shared" si="194"/>
        <v>4868666</v>
      </c>
      <c r="R229" s="20">
        <f t="shared" si="194"/>
        <v>4868666</v>
      </c>
      <c r="S229" s="20">
        <f t="shared" si="194"/>
        <v>4868666</v>
      </c>
      <c r="T229" s="20">
        <f t="shared" si="194"/>
        <v>4868666</v>
      </c>
      <c r="U229" s="20">
        <f t="shared" si="194"/>
        <v>4868666</v>
      </c>
      <c r="V229" s="20">
        <f t="shared" ref="V229:W229" si="195">V170</f>
        <v>4868666</v>
      </c>
      <c r="W229" s="20">
        <f t="shared" si="195"/>
        <v>4868666</v>
      </c>
      <c r="X229" s="20">
        <f t="shared" si="194"/>
        <v>2016606</v>
      </c>
      <c r="Y229" s="703"/>
      <c r="Z229" s="1"/>
    </row>
    <row r="230" spans="1:45" ht="18" customHeight="1" x14ac:dyDescent="0.25">
      <c r="A230" s="884" t="s">
        <v>180</v>
      </c>
      <c r="B230" s="885"/>
      <c r="C230" s="318">
        <f t="shared" ref="C230:X230" si="196">C228-C229</f>
        <v>-551286</v>
      </c>
      <c r="D230" s="318">
        <f t="shared" si="196"/>
        <v>-613696</v>
      </c>
      <c r="E230" s="318">
        <f t="shared" si="196"/>
        <v>-613696</v>
      </c>
      <c r="F230" s="318">
        <f t="shared" si="196"/>
        <v>-613696</v>
      </c>
      <c r="G230" s="318">
        <f t="shared" si="196"/>
        <v>-613696</v>
      </c>
      <c r="H230" s="318">
        <f t="shared" si="196"/>
        <v>-613696</v>
      </c>
      <c r="I230" s="318">
        <f t="shared" si="196"/>
        <v>-613696</v>
      </c>
      <c r="J230" s="318">
        <f t="shared" si="196"/>
        <v>-613696</v>
      </c>
      <c r="K230" s="318">
        <f t="shared" si="196"/>
        <v>-613696</v>
      </c>
      <c r="L230" s="318">
        <f t="shared" si="196"/>
        <v>-613696</v>
      </c>
      <c r="M230" s="318">
        <f t="shared" si="196"/>
        <v>-918696</v>
      </c>
      <c r="N230" s="318">
        <f t="shared" si="196"/>
        <v>-918696</v>
      </c>
      <c r="O230" s="318">
        <f t="shared" si="196"/>
        <v>-918696</v>
      </c>
      <c r="P230" s="318">
        <f t="shared" si="196"/>
        <v>-918696</v>
      </c>
      <c r="Q230" s="318">
        <f t="shared" si="196"/>
        <v>-918696</v>
      </c>
      <c r="R230" s="318">
        <f t="shared" si="196"/>
        <v>-918696</v>
      </c>
      <c r="S230" s="318">
        <f t="shared" si="196"/>
        <v>-918696</v>
      </c>
      <c r="T230" s="318">
        <f t="shared" si="196"/>
        <v>-918696</v>
      </c>
      <c r="U230" s="318">
        <f t="shared" si="196"/>
        <v>-918696</v>
      </c>
      <c r="V230" s="318">
        <f t="shared" ref="V230:W230" si="197">V228-V229</f>
        <v>-918696</v>
      </c>
      <c r="W230" s="318">
        <f t="shared" si="197"/>
        <v>-918696</v>
      </c>
      <c r="X230" s="318">
        <f t="shared" si="196"/>
        <v>-253958.27000000002</v>
      </c>
      <c r="Y230" s="731"/>
      <c r="Z230" s="1"/>
      <c r="AA230" s="703"/>
      <c r="AB230" s="703"/>
    </row>
    <row r="231" spans="1:45" ht="15.75" x14ac:dyDescent="0.25">
      <c r="A231" s="319" t="s">
        <v>181</v>
      </c>
      <c r="B231" s="320"/>
      <c r="C231" s="321">
        <f t="shared" ref="C231:X231" si="198">C203</f>
        <v>571286</v>
      </c>
      <c r="D231" s="321">
        <f t="shared" si="198"/>
        <v>638913</v>
      </c>
      <c r="E231" s="321">
        <f t="shared" si="198"/>
        <v>638913</v>
      </c>
      <c r="F231" s="321">
        <f t="shared" si="198"/>
        <v>638913</v>
      </c>
      <c r="G231" s="321">
        <f t="shared" si="198"/>
        <v>692938</v>
      </c>
      <c r="H231" s="321">
        <f t="shared" si="198"/>
        <v>692938</v>
      </c>
      <c r="I231" s="321">
        <f t="shared" si="198"/>
        <v>692938</v>
      </c>
      <c r="J231" s="321">
        <f t="shared" si="198"/>
        <v>692938</v>
      </c>
      <c r="K231" s="321">
        <f t="shared" si="198"/>
        <v>692938</v>
      </c>
      <c r="L231" s="321">
        <f t="shared" si="198"/>
        <v>692938</v>
      </c>
      <c r="M231" s="321">
        <f t="shared" si="198"/>
        <v>997938</v>
      </c>
      <c r="N231" s="321">
        <f t="shared" si="198"/>
        <v>997938</v>
      </c>
      <c r="O231" s="321">
        <f t="shared" si="198"/>
        <v>997938</v>
      </c>
      <c r="P231" s="321">
        <f t="shared" si="198"/>
        <v>997938</v>
      </c>
      <c r="Q231" s="321">
        <f t="shared" si="198"/>
        <v>943913</v>
      </c>
      <c r="R231" s="321">
        <f t="shared" si="198"/>
        <v>943913</v>
      </c>
      <c r="S231" s="321">
        <f t="shared" si="198"/>
        <v>943913</v>
      </c>
      <c r="T231" s="321">
        <f t="shared" si="198"/>
        <v>943913</v>
      </c>
      <c r="U231" s="321">
        <f t="shared" si="198"/>
        <v>943913</v>
      </c>
      <c r="V231" s="321">
        <f t="shared" ref="V231:W231" si="199">V203</f>
        <v>943913</v>
      </c>
      <c r="W231" s="321">
        <f t="shared" si="199"/>
        <v>943913</v>
      </c>
      <c r="X231" s="321">
        <f t="shared" si="198"/>
        <v>453419</v>
      </c>
      <c r="Y231" s="726"/>
      <c r="Z231" s="703"/>
    </row>
    <row r="232" spans="1:45" ht="16.5" customHeight="1" x14ac:dyDescent="0.25">
      <c r="A232" s="319" t="s">
        <v>182</v>
      </c>
      <c r="B232" s="320"/>
      <c r="C232" s="321">
        <f t="shared" ref="C232:X232" si="200">C217</f>
        <v>1090</v>
      </c>
      <c r="D232" s="321">
        <f t="shared" si="200"/>
        <v>1110</v>
      </c>
      <c r="E232" s="321">
        <f t="shared" si="200"/>
        <v>1110</v>
      </c>
      <c r="F232" s="321">
        <f t="shared" si="200"/>
        <v>1110</v>
      </c>
      <c r="G232" s="321">
        <f t="shared" si="200"/>
        <v>55135</v>
      </c>
      <c r="H232" s="321">
        <f t="shared" si="200"/>
        <v>55135</v>
      </c>
      <c r="I232" s="321">
        <f t="shared" si="200"/>
        <v>55135</v>
      </c>
      <c r="J232" s="321">
        <f t="shared" si="200"/>
        <v>55135</v>
      </c>
      <c r="K232" s="321">
        <f t="shared" si="200"/>
        <v>55135</v>
      </c>
      <c r="L232" s="321">
        <f t="shared" si="200"/>
        <v>55135</v>
      </c>
      <c r="M232" s="321">
        <f t="shared" si="200"/>
        <v>55135</v>
      </c>
      <c r="N232" s="321">
        <f t="shared" si="200"/>
        <v>55135</v>
      </c>
      <c r="O232" s="321">
        <f t="shared" si="200"/>
        <v>55135</v>
      </c>
      <c r="P232" s="321">
        <f t="shared" si="200"/>
        <v>55135</v>
      </c>
      <c r="Q232" s="321">
        <f t="shared" si="200"/>
        <v>1110</v>
      </c>
      <c r="R232" s="321">
        <f t="shared" si="200"/>
        <v>1110</v>
      </c>
      <c r="S232" s="321">
        <f t="shared" si="200"/>
        <v>1110</v>
      </c>
      <c r="T232" s="321">
        <f t="shared" si="200"/>
        <v>1110</v>
      </c>
      <c r="U232" s="321">
        <f t="shared" si="200"/>
        <v>1110</v>
      </c>
      <c r="V232" s="321">
        <f t="shared" ref="V232:W232" si="201">V217</f>
        <v>1110</v>
      </c>
      <c r="W232" s="321">
        <f t="shared" si="201"/>
        <v>1110</v>
      </c>
      <c r="X232" s="321">
        <f t="shared" si="200"/>
        <v>1092</v>
      </c>
      <c r="Y232" s="726"/>
      <c r="Z232" s="1"/>
    </row>
    <row r="233" spans="1:45" ht="19.5" customHeight="1" thickBot="1" x14ac:dyDescent="0.3">
      <c r="A233" s="870" t="s">
        <v>183</v>
      </c>
      <c r="B233" s="871"/>
      <c r="C233" s="322">
        <f t="shared" ref="C233:X233" si="202">C231-C232</f>
        <v>570196</v>
      </c>
      <c r="D233" s="322">
        <f t="shared" si="202"/>
        <v>637803</v>
      </c>
      <c r="E233" s="322">
        <f t="shared" si="202"/>
        <v>637803</v>
      </c>
      <c r="F233" s="322">
        <f t="shared" si="202"/>
        <v>637803</v>
      </c>
      <c r="G233" s="322">
        <f t="shared" si="202"/>
        <v>637803</v>
      </c>
      <c r="H233" s="322">
        <f t="shared" si="202"/>
        <v>637803</v>
      </c>
      <c r="I233" s="322">
        <f t="shared" si="202"/>
        <v>637803</v>
      </c>
      <c r="J233" s="322">
        <f t="shared" si="202"/>
        <v>637803</v>
      </c>
      <c r="K233" s="322">
        <f t="shared" si="202"/>
        <v>637803</v>
      </c>
      <c r="L233" s="322">
        <f t="shared" si="202"/>
        <v>637803</v>
      </c>
      <c r="M233" s="322">
        <f t="shared" si="202"/>
        <v>942803</v>
      </c>
      <c r="N233" s="322">
        <f t="shared" si="202"/>
        <v>942803</v>
      </c>
      <c r="O233" s="322">
        <f t="shared" si="202"/>
        <v>942803</v>
      </c>
      <c r="P233" s="322">
        <f t="shared" si="202"/>
        <v>942803</v>
      </c>
      <c r="Q233" s="322">
        <f t="shared" si="202"/>
        <v>942803</v>
      </c>
      <c r="R233" s="322">
        <f t="shared" si="202"/>
        <v>942803</v>
      </c>
      <c r="S233" s="322">
        <f t="shared" si="202"/>
        <v>942803</v>
      </c>
      <c r="T233" s="322">
        <f t="shared" si="202"/>
        <v>942803</v>
      </c>
      <c r="U233" s="322">
        <f t="shared" si="202"/>
        <v>942803</v>
      </c>
      <c r="V233" s="322">
        <f t="shared" ref="V233:W233" si="203">V231-V232</f>
        <v>942803</v>
      </c>
      <c r="W233" s="322">
        <f t="shared" si="203"/>
        <v>942803</v>
      </c>
      <c r="X233" s="322">
        <f t="shared" si="202"/>
        <v>452327</v>
      </c>
      <c r="Y233" s="731"/>
      <c r="Z233" s="1"/>
    </row>
    <row r="234" spans="1:45" ht="27" customHeight="1" thickBot="1" x14ac:dyDescent="0.3">
      <c r="A234" s="323" t="s">
        <v>184</v>
      </c>
      <c r="B234" s="324"/>
      <c r="C234" s="325">
        <f t="shared" ref="C234:X234" si="204">C227+C230+C233</f>
        <v>0</v>
      </c>
      <c r="D234" s="325">
        <f t="shared" si="204"/>
        <v>0</v>
      </c>
      <c r="E234" s="325">
        <f t="shared" si="204"/>
        <v>0</v>
      </c>
      <c r="F234" s="325">
        <f t="shared" si="204"/>
        <v>0</v>
      </c>
      <c r="G234" s="325">
        <f t="shared" si="204"/>
        <v>0</v>
      </c>
      <c r="H234" s="325">
        <f t="shared" si="204"/>
        <v>0</v>
      </c>
      <c r="I234" s="325">
        <f t="shared" si="204"/>
        <v>0</v>
      </c>
      <c r="J234" s="325">
        <f t="shared" si="204"/>
        <v>0</v>
      </c>
      <c r="K234" s="325">
        <f t="shared" si="204"/>
        <v>0</v>
      </c>
      <c r="L234" s="325">
        <f t="shared" si="204"/>
        <v>0</v>
      </c>
      <c r="M234" s="325">
        <f t="shared" si="204"/>
        <v>0</v>
      </c>
      <c r="N234" s="325">
        <f t="shared" si="204"/>
        <v>0</v>
      </c>
      <c r="O234" s="325">
        <f t="shared" si="204"/>
        <v>0</v>
      </c>
      <c r="P234" s="325">
        <f t="shared" si="204"/>
        <v>0</v>
      </c>
      <c r="Q234" s="325">
        <f t="shared" si="204"/>
        <v>0</v>
      </c>
      <c r="R234" s="325">
        <f t="shared" si="204"/>
        <v>0</v>
      </c>
      <c r="S234" s="325">
        <f t="shared" si="204"/>
        <v>0</v>
      </c>
      <c r="T234" s="325">
        <f t="shared" si="204"/>
        <v>0</v>
      </c>
      <c r="U234" s="325">
        <f t="shared" si="204"/>
        <v>0</v>
      </c>
      <c r="V234" s="325">
        <f t="shared" ref="V234:W234" si="205">V227+V230+V233</f>
        <v>0</v>
      </c>
      <c r="W234" s="325">
        <f t="shared" si="205"/>
        <v>0</v>
      </c>
      <c r="X234" s="325">
        <f t="shared" si="204"/>
        <v>336303.73</v>
      </c>
      <c r="Y234" s="731"/>
      <c r="Z234" s="1"/>
    </row>
    <row r="235" spans="1:4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00"/>
      <c r="Z235" s="1"/>
    </row>
    <row r="236" spans="1:45" x14ac:dyDescent="0.25">
      <c r="A236" s="1"/>
      <c r="B236" s="487" t="s">
        <v>267</v>
      </c>
      <c r="C236" s="488">
        <f t="shared" ref="C236:X237" si="206">C225+C228+C231</f>
        <v>6136311</v>
      </c>
      <c r="D236" s="488">
        <f t="shared" si="206"/>
        <v>6133610</v>
      </c>
      <c r="E236" s="488">
        <f t="shared" si="206"/>
        <v>6138540</v>
      </c>
      <c r="F236" s="488">
        <f t="shared" si="206"/>
        <v>6131764</v>
      </c>
      <c r="G236" s="488">
        <f t="shared" si="206"/>
        <v>6215589</v>
      </c>
      <c r="H236" s="488">
        <f t="shared" si="206"/>
        <v>6215589</v>
      </c>
      <c r="I236" s="488">
        <f t="shared" si="206"/>
        <v>6227545</v>
      </c>
      <c r="J236" s="488">
        <f t="shared" si="206"/>
        <v>6228469</v>
      </c>
      <c r="K236" s="488">
        <f t="shared" si="206"/>
        <v>6326298</v>
      </c>
      <c r="L236" s="488">
        <f t="shared" si="206"/>
        <v>6401243</v>
      </c>
      <c r="M236" s="488">
        <f t="shared" si="206"/>
        <v>6806443</v>
      </c>
      <c r="N236" s="488">
        <f t="shared" si="206"/>
        <v>6810842</v>
      </c>
      <c r="O236" s="488">
        <f t="shared" si="206"/>
        <v>6908039</v>
      </c>
      <c r="P236" s="488">
        <f t="shared" si="206"/>
        <v>6909639</v>
      </c>
      <c r="Q236" s="488">
        <f t="shared" si="206"/>
        <v>7994914</v>
      </c>
      <c r="R236" s="488">
        <f t="shared" si="206"/>
        <v>8036195</v>
      </c>
      <c r="S236" s="488">
        <f t="shared" si="206"/>
        <v>8061043</v>
      </c>
      <c r="T236" s="488">
        <f t="shared" si="206"/>
        <v>8061043</v>
      </c>
      <c r="U236" s="488">
        <f t="shared" si="206"/>
        <v>8091216</v>
      </c>
      <c r="V236" s="488">
        <f t="shared" ref="V236:W236" si="207">V225+V228+V231</f>
        <v>8090430</v>
      </c>
      <c r="W236" s="488">
        <f t="shared" si="207"/>
        <v>8117746</v>
      </c>
      <c r="X236" s="488">
        <f t="shared" si="206"/>
        <v>5204391.7300000004</v>
      </c>
      <c r="Y236" s="732"/>
      <c r="Z236" s="488">
        <f t="shared" ref="Z236:AI237" si="208">D236-C236</f>
        <v>-2701</v>
      </c>
      <c r="AA236" s="488">
        <f t="shared" si="208"/>
        <v>4930</v>
      </c>
      <c r="AB236" s="488">
        <f t="shared" si="208"/>
        <v>-6776</v>
      </c>
      <c r="AC236" s="488">
        <f t="shared" si="208"/>
        <v>83825</v>
      </c>
      <c r="AD236" s="488">
        <f t="shared" si="208"/>
        <v>0</v>
      </c>
      <c r="AE236" s="488">
        <f t="shared" si="208"/>
        <v>11956</v>
      </c>
      <c r="AF236" s="488">
        <f t="shared" si="208"/>
        <v>924</v>
      </c>
      <c r="AG236" s="488">
        <f t="shared" si="208"/>
        <v>97829</v>
      </c>
      <c r="AH236" s="488">
        <f t="shared" si="208"/>
        <v>74945</v>
      </c>
      <c r="AI236" s="488">
        <f t="shared" si="208"/>
        <v>405200</v>
      </c>
      <c r="AJ236" s="488">
        <f t="shared" ref="AJ236:AQ237" si="209">N236-M236</f>
        <v>4399</v>
      </c>
      <c r="AK236" s="488">
        <f t="shared" si="209"/>
        <v>97197</v>
      </c>
      <c r="AL236" s="488">
        <f t="shared" si="209"/>
        <v>1600</v>
      </c>
      <c r="AM236" s="488">
        <f t="shared" si="209"/>
        <v>1085275</v>
      </c>
      <c r="AN236" s="488">
        <f t="shared" si="209"/>
        <v>41281</v>
      </c>
      <c r="AO236" s="488">
        <f t="shared" si="209"/>
        <v>24848</v>
      </c>
      <c r="AP236" s="488">
        <f t="shared" si="209"/>
        <v>0</v>
      </c>
      <c r="AQ236" s="488">
        <f t="shared" si="209"/>
        <v>30173</v>
      </c>
      <c r="AR236" s="488">
        <f t="shared" ref="AR236:AS237" si="210">V236-U236</f>
        <v>-786</v>
      </c>
      <c r="AS236" s="488">
        <f t="shared" si="210"/>
        <v>27316</v>
      </c>
    </row>
    <row r="237" spans="1:45" x14ac:dyDescent="0.25">
      <c r="A237" s="1"/>
      <c r="B237" s="487" t="s">
        <v>268</v>
      </c>
      <c r="C237" s="488">
        <f t="shared" si="206"/>
        <v>6136311</v>
      </c>
      <c r="D237" s="488">
        <f t="shared" si="206"/>
        <v>6133610</v>
      </c>
      <c r="E237" s="488">
        <f t="shared" si="206"/>
        <v>6138540</v>
      </c>
      <c r="F237" s="488">
        <f t="shared" si="206"/>
        <v>6131764</v>
      </c>
      <c r="G237" s="488">
        <f t="shared" si="206"/>
        <v>6215589</v>
      </c>
      <c r="H237" s="488">
        <f t="shared" si="206"/>
        <v>6215589</v>
      </c>
      <c r="I237" s="488">
        <f t="shared" si="206"/>
        <v>6227545</v>
      </c>
      <c r="J237" s="488">
        <f t="shared" si="206"/>
        <v>6228469</v>
      </c>
      <c r="K237" s="488">
        <f t="shared" si="206"/>
        <v>6326298</v>
      </c>
      <c r="L237" s="488">
        <f t="shared" si="206"/>
        <v>6401243</v>
      </c>
      <c r="M237" s="488">
        <f t="shared" si="206"/>
        <v>6806443</v>
      </c>
      <c r="N237" s="488">
        <f t="shared" si="206"/>
        <v>6810842</v>
      </c>
      <c r="O237" s="488">
        <f t="shared" si="206"/>
        <v>6908039</v>
      </c>
      <c r="P237" s="488">
        <f t="shared" si="206"/>
        <v>6909639</v>
      </c>
      <c r="Q237" s="488">
        <f t="shared" si="206"/>
        <v>7994914</v>
      </c>
      <c r="R237" s="488">
        <f t="shared" si="206"/>
        <v>8036195</v>
      </c>
      <c r="S237" s="488">
        <f t="shared" si="206"/>
        <v>8061043</v>
      </c>
      <c r="T237" s="488">
        <f t="shared" si="206"/>
        <v>8061043</v>
      </c>
      <c r="U237" s="488">
        <f t="shared" si="206"/>
        <v>8091216</v>
      </c>
      <c r="V237" s="488">
        <f t="shared" ref="V237:W237" si="211">V226+V229+V232</f>
        <v>8090430</v>
      </c>
      <c r="W237" s="488">
        <f t="shared" si="211"/>
        <v>8117746</v>
      </c>
      <c r="X237" s="488">
        <f t="shared" si="206"/>
        <v>4868088</v>
      </c>
      <c r="Y237" s="732"/>
      <c r="Z237" s="488">
        <f t="shared" si="208"/>
        <v>-2701</v>
      </c>
      <c r="AA237" s="488">
        <f t="shared" si="208"/>
        <v>4930</v>
      </c>
      <c r="AB237" s="488">
        <f t="shared" si="208"/>
        <v>-6776</v>
      </c>
      <c r="AC237" s="488">
        <f t="shared" si="208"/>
        <v>83825</v>
      </c>
      <c r="AD237" s="488">
        <f t="shared" si="208"/>
        <v>0</v>
      </c>
      <c r="AE237" s="488">
        <f t="shared" si="208"/>
        <v>11956</v>
      </c>
      <c r="AF237" s="488">
        <f t="shared" si="208"/>
        <v>924</v>
      </c>
      <c r="AG237" s="488">
        <f t="shared" si="208"/>
        <v>97829</v>
      </c>
      <c r="AH237" s="488">
        <f t="shared" si="208"/>
        <v>74945</v>
      </c>
      <c r="AI237" s="488">
        <f t="shared" si="208"/>
        <v>405200</v>
      </c>
      <c r="AJ237" s="488">
        <f t="shared" si="209"/>
        <v>4399</v>
      </c>
      <c r="AK237" s="488">
        <f t="shared" si="209"/>
        <v>97197</v>
      </c>
      <c r="AL237" s="488">
        <f t="shared" si="209"/>
        <v>1600</v>
      </c>
      <c r="AM237" s="488">
        <f t="shared" si="209"/>
        <v>1085275</v>
      </c>
      <c r="AN237" s="488">
        <f t="shared" si="209"/>
        <v>41281</v>
      </c>
      <c r="AO237" s="488">
        <f t="shared" si="209"/>
        <v>24848</v>
      </c>
      <c r="AP237" s="488">
        <f t="shared" si="209"/>
        <v>0</v>
      </c>
      <c r="AQ237" s="488">
        <f t="shared" si="209"/>
        <v>30173</v>
      </c>
      <c r="AR237" s="488">
        <f t="shared" si="210"/>
        <v>-786</v>
      </c>
      <c r="AS237" s="488">
        <f t="shared" si="210"/>
        <v>27316</v>
      </c>
    </row>
    <row r="238" spans="1:45" ht="14.25" customHeight="1" x14ac:dyDescent="0.25">
      <c r="A238" s="1"/>
      <c r="B238" s="487"/>
      <c r="C238" s="488"/>
      <c r="D238" s="488"/>
      <c r="E238" s="488"/>
      <c r="F238" s="488"/>
      <c r="G238" s="488"/>
      <c r="H238" s="488"/>
      <c r="I238" s="488"/>
      <c r="J238" s="488"/>
      <c r="K238" s="488"/>
      <c r="L238" s="488"/>
      <c r="M238" s="488"/>
      <c r="N238" s="488"/>
      <c r="O238" s="488"/>
      <c r="P238" s="488"/>
      <c r="Q238" s="488"/>
      <c r="R238" s="488"/>
      <c r="S238" s="488"/>
      <c r="T238" s="488"/>
      <c r="U238" s="488"/>
      <c r="V238" s="488"/>
      <c r="W238" s="488"/>
      <c r="X238" s="488"/>
      <c r="Y238" s="732"/>
      <c r="Z238" s="488"/>
      <c r="AA238" s="488"/>
      <c r="AB238" s="488"/>
      <c r="AC238" s="488"/>
      <c r="AD238" s="488"/>
      <c r="AE238" s="488"/>
      <c r="AF238" s="488"/>
      <c r="AG238" s="488"/>
      <c r="AH238" s="488"/>
      <c r="AI238" s="488"/>
      <c r="AJ238" s="488"/>
      <c r="AK238" s="488"/>
      <c r="AL238" s="488"/>
      <c r="AM238" s="488"/>
      <c r="AN238" s="488"/>
      <c r="AO238" s="488"/>
      <c r="AP238" s="488"/>
      <c r="AQ238" s="488"/>
      <c r="AR238" s="488"/>
      <c r="AS238" s="488">
        <f>SUM(AR237:AS237)</f>
        <v>26530</v>
      </c>
    </row>
    <row r="239" spans="1:45" x14ac:dyDescent="0.25">
      <c r="A239" s="1"/>
      <c r="B239" s="487" t="s">
        <v>269</v>
      </c>
      <c r="C239" s="488">
        <f t="shared" ref="C239:X239" si="212">C236-C75</f>
        <v>6117611</v>
      </c>
      <c r="D239" s="488">
        <f t="shared" si="212"/>
        <v>6114910</v>
      </c>
      <c r="E239" s="488">
        <f t="shared" si="212"/>
        <v>6119840</v>
      </c>
      <c r="F239" s="488">
        <f t="shared" si="212"/>
        <v>6113064</v>
      </c>
      <c r="G239" s="488">
        <f t="shared" si="212"/>
        <v>6196889</v>
      </c>
      <c r="H239" s="488">
        <f t="shared" si="212"/>
        <v>6196889</v>
      </c>
      <c r="I239" s="488">
        <f t="shared" si="212"/>
        <v>6208845</v>
      </c>
      <c r="J239" s="488">
        <f t="shared" si="212"/>
        <v>6209769</v>
      </c>
      <c r="K239" s="488">
        <f t="shared" si="212"/>
        <v>6307598</v>
      </c>
      <c r="L239" s="488">
        <f t="shared" si="212"/>
        <v>6382543</v>
      </c>
      <c r="M239" s="488">
        <f t="shared" si="212"/>
        <v>6787743</v>
      </c>
      <c r="N239" s="488">
        <f t="shared" si="212"/>
        <v>6792142</v>
      </c>
      <c r="O239" s="488">
        <f t="shared" si="212"/>
        <v>6889339</v>
      </c>
      <c r="P239" s="488">
        <f t="shared" si="212"/>
        <v>6890939</v>
      </c>
      <c r="Q239" s="488">
        <f t="shared" si="212"/>
        <v>7977214</v>
      </c>
      <c r="R239" s="488">
        <f t="shared" si="212"/>
        <v>8018495</v>
      </c>
      <c r="S239" s="488">
        <f t="shared" si="212"/>
        <v>8043343</v>
      </c>
      <c r="T239" s="488">
        <f t="shared" si="212"/>
        <v>8043343</v>
      </c>
      <c r="U239" s="488">
        <f t="shared" si="212"/>
        <v>8073516</v>
      </c>
      <c r="V239" s="488">
        <f t="shared" ref="V239:W239" si="213">V236-V75</f>
        <v>8073516</v>
      </c>
      <c r="W239" s="488">
        <f t="shared" si="213"/>
        <v>8100832</v>
      </c>
      <c r="X239" s="488">
        <f t="shared" si="212"/>
        <v>5187479.7300000004</v>
      </c>
      <c r="Y239" s="732"/>
      <c r="Z239" s="488">
        <f t="shared" ref="Z239:AI240" si="214">D239-C239</f>
        <v>-2701</v>
      </c>
      <c r="AA239" s="488">
        <f t="shared" si="214"/>
        <v>4930</v>
      </c>
      <c r="AB239" s="488">
        <f t="shared" si="214"/>
        <v>-6776</v>
      </c>
      <c r="AC239" s="488">
        <f t="shared" si="214"/>
        <v>83825</v>
      </c>
      <c r="AD239" s="488">
        <f t="shared" si="214"/>
        <v>0</v>
      </c>
      <c r="AE239" s="488">
        <f t="shared" si="214"/>
        <v>11956</v>
      </c>
      <c r="AF239" s="488">
        <f t="shared" si="214"/>
        <v>924</v>
      </c>
      <c r="AG239" s="488">
        <f t="shared" si="214"/>
        <v>97829</v>
      </c>
      <c r="AH239" s="488">
        <f t="shared" si="214"/>
        <v>74945</v>
      </c>
      <c r="AI239" s="488">
        <f t="shared" si="214"/>
        <v>405200</v>
      </c>
      <c r="AJ239" s="488">
        <f t="shared" ref="AJ239:AQ240" si="215">N239-M239</f>
        <v>4399</v>
      </c>
      <c r="AK239" s="488">
        <f t="shared" si="215"/>
        <v>97197</v>
      </c>
      <c r="AL239" s="488">
        <f t="shared" si="215"/>
        <v>1600</v>
      </c>
      <c r="AM239" s="488">
        <f t="shared" si="215"/>
        <v>1086275</v>
      </c>
      <c r="AN239" s="488">
        <f t="shared" si="215"/>
        <v>41281</v>
      </c>
      <c r="AO239" s="488">
        <f t="shared" si="215"/>
        <v>24848</v>
      </c>
      <c r="AP239" s="488">
        <f t="shared" si="215"/>
        <v>0</v>
      </c>
      <c r="AQ239" s="488">
        <f t="shared" si="215"/>
        <v>30173</v>
      </c>
      <c r="AR239" s="488">
        <f t="shared" ref="AR239:AS240" si="216">V239-U239</f>
        <v>0</v>
      </c>
      <c r="AS239" s="488">
        <f t="shared" si="216"/>
        <v>27316</v>
      </c>
    </row>
    <row r="240" spans="1:45" x14ac:dyDescent="0.25">
      <c r="A240" s="1"/>
      <c r="B240" s="487" t="s">
        <v>270</v>
      </c>
      <c r="C240" s="488">
        <f t="shared" ref="C240:X240" si="217">C237-C144</f>
        <v>5065211</v>
      </c>
      <c r="D240" s="488">
        <f t="shared" si="217"/>
        <v>5060412</v>
      </c>
      <c r="E240" s="488">
        <f t="shared" si="217"/>
        <v>5065342</v>
      </c>
      <c r="F240" s="488">
        <f t="shared" si="217"/>
        <v>5069205</v>
      </c>
      <c r="G240" s="488">
        <f t="shared" si="217"/>
        <v>5153030</v>
      </c>
      <c r="H240" s="488">
        <f t="shared" si="217"/>
        <v>5153030</v>
      </c>
      <c r="I240" s="488">
        <f t="shared" si="217"/>
        <v>5161347</v>
      </c>
      <c r="J240" s="488">
        <f t="shared" si="217"/>
        <v>5162271</v>
      </c>
      <c r="K240" s="488">
        <f t="shared" si="217"/>
        <v>5224103</v>
      </c>
      <c r="L240" s="488">
        <f t="shared" si="217"/>
        <v>5299048</v>
      </c>
      <c r="M240" s="488">
        <f t="shared" si="217"/>
        <v>5704248</v>
      </c>
      <c r="N240" s="488">
        <f t="shared" si="217"/>
        <v>5708702</v>
      </c>
      <c r="O240" s="488">
        <f t="shared" si="217"/>
        <v>5806765</v>
      </c>
      <c r="P240" s="488">
        <f t="shared" si="217"/>
        <v>5808365</v>
      </c>
      <c r="Q240" s="488">
        <f t="shared" si="217"/>
        <v>6894640</v>
      </c>
      <c r="R240" s="488">
        <f t="shared" si="217"/>
        <v>6925342</v>
      </c>
      <c r="S240" s="488">
        <f t="shared" si="217"/>
        <v>6934520</v>
      </c>
      <c r="T240" s="488">
        <f t="shared" si="217"/>
        <v>6934520</v>
      </c>
      <c r="U240" s="488">
        <f t="shared" si="217"/>
        <v>6964655</v>
      </c>
      <c r="V240" s="488">
        <f t="shared" ref="V240:W240" si="218">V237-V144</f>
        <v>6964655</v>
      </c>
      <c r="W240" s="488">
        <f t="shared" si="218"/>
        <v>6979519</v>
      </c>
      <c r="X240" s="488">
        <f t="shared" si="217"/>
        <v>3742318</v>
      </c>
      <c r="Y240" s="732"/>
      <c r="Z240" s="488">
        <f t="shared" si="214"/>
        <v>-4799</v>
      </c>
      <c r="AA240" s="488">
        <f t="shared" si="214"/>
        <v>4930</v>
      </c>
      <c r="AB240" s="488">
        <f t="shared" si="214"/>
        <v>3863</v>
      </c>
      <c r="AC240" s="488">
        <f t="shared" si="214"/>
        <v>83825</v>
      </c>
      <c r="AD240" s="488">
        <f t="shared" si="214"/>
        <v>0</v>
      </c>
      <c r="AE240" s="488">
        <f t="shared" si="214"/>
        <v>8317</v>
      </c>
      <c r="AF240" s="488">
        <f t="shared" si="214"/>
        <v>924</v>
      </c>
      <c r="AG240" s="488">
        <f t="shared" si="214"/>
        <v>61832</v>
      </c>
      <c r="AH240" s="488">
        <f t="shared" si="214"/>
        <v>74945</v>
      </c>
      <c r="AI240" s="488">
        <f t="shared" si="214"/>
        <v>405200</v>
      </c>
      <c r="AJ240" s="488">
        <f t="shared" si="215"/>
        <v>4454</v>
      </c>
      <c r="AK240" s="488">
        <f t="shared" si="215"/>
        <v>98063</v>
      </c>
      <c r="AL240" s="488">
        <f t="shared" si="215"/>
        <v>1600</v>
      </c>
      <c r="AM240" s="488">
        <f t="shared" si="215"/>
        <v>1086275</v>
      </c>
      <c r="AN240" s="488">
        <f t="shared" si="215"/>
        <v>30702</v>
      </c>
      <c r="AO240" s="488">
        <f t="shared" si="215"/>
        <v>9178</v>
      </c>
      <c r="AP240" s="488">
        <f t="shared" si="215"/>
        <v>0</v>
      </c>
      <c r="AQ240" s="488">
        <f t="shared" si="215"/>
        <v>30135</v>
      </c>
      <c r="AR240" s="488">
        <f t="shared" si="216"/>
        <v>0</v>
      </c>
      <c r="AS240" s="488">
        <f t="shared" si="216"/>
        <v>14864</v>
      </c>
    </row>
    <row r="241" spans="1:45" x14ac:dyDescent="0.25">
      <c r="A241" s="1"/>
      <c r="B241" s="487"/>
      <c r="C241" s="488"/>
      <c r="D241" s="488"/>
      <c r="E241" s="488"/>
      <c r="F241" s="488"/>
      <c r="G241" s="488"/>
      <c r="H241" s="488"/>
      <c r="I241" s="488"/>
      <c r="J241" s="488"/>
      <c r="K241" s="488"/>
      <c r="L241" s="488"/>
      <c r="M241" s="488"/>
      <c r="N241" s="488"/>
      <c r="O241" s="488"/>
      <c r="P241" s="488"/>
      <c r="Q241" s="488"/>
      <c r="R241" s="488"/>
      <c r="S241" s="488"/>
      <c r="T241" s="488"/>
      <c r="U241" s="488"/>
      <c r="V241" s="488"/>
      <c r="W241" s="488"/>
      <c r="X241" s="488"/>
      <c r="Y241" s="732"/>
      <c r="Z241" s="488"/>
      <c r="AA241" s="488"/>
      <c r="AB241" s="488"/>
      <c r="AC241" s="488"/>
    </row>
    <row r="242" spans="1:45" x14ac:dyDescent="0.25">
      <c r="A242" s="1"/>
      <c r="B242" s="485" t="s">
        <v>271</v>
      </c>
      <c r="C242" s="486">
        <f t="shared" ref="C242:X243" si="219">C236-C239</f>
        <v>18700</v>
      </c>
      <c r="D242" s="486">
        <f t="shared" si="219"/>
        <v>18700</v>
      </c>
      <c r="E242" s="486">
        <f t="shared" si="219"/>
        <v>18700</v>
      </c>
      <c r="F242" s="486">
        <f t="shared" si="219"/>
        <v>18700</v>
      </c>
      <c r="G242" s="486">
        <f t="shared" si="219"/>
        <v>18700</v>
      </c>
      <c r="H242" s="486">
        <f t="shared" si="219"/>
        <v>18700</v>
      </c>
      <c r="I242" s="486">
        <f t="shared" si="219"/>
        <v>18700</v>
      </c>
      <c r="J242" s="486">
        <f t="shared" si="219"/>
        <v>18700</v>
      </c>
      <c r="K242" s="486">
        <f t="shared" si="219"/>
        <v>18700</v>
      </c>
      <c r="L242" s="486">
        <f t="shared" si="219"/>
        <v>18700</v>
      </c>
      <c r="M242" s="486">
        <f t="shared" si="219"/>
        <v>18700</v>
      </c>
      <c r="N242" s="486">
        <f t="shared" si="219"/>
        <v>18700</v>
      </c>
      <c r="O242" s="486">
        <f t="shared" si="219"/>
        <v>18700</v>
      </c>
      <c r="P242" s="486">
        <f t="shared" si="219"/>
        <v>18700</v>
      </c>
      <c r="Q242" s="486">
        <f t="shared" si="219"/>
        <v>17700</v>
      </c>
      <c r="R242" s="486">
        <f t="shared" si="219"/>
        <v>17700</v>
      </c>
      <c r="S242" s="486">
        <f t="shared" si="219"/>
        <v>17700</v>
      </c>
      <c r="T242" s="486">
        <f t="shared" si="219"/>
        <v>17700</v>
      </c>
      <c r="U242" s="486">
        <f t="shared" si="219"/>
        <v>17700</v>
      </c>
      <c r="V242" s="486">
        <f t="shared" ref="V242:W242" si="220">V236-V239</f>
        <v>16914</v>
      </c>
      <c r="W242" s="486">
        <f t="shared" si="220"/>
        <v>16914</v>
      </c>
      <c r="X242" s="486">
        <f t="shared" si="219"/>
        <v>16912</v>
      </c>
      <c r="Y242" s="733"/>
      <c r="Z242" s="488">
        <f t="shared" ref="Z242:AI243" si="221">D242-C242</f>
        <v>0</v>
      </c>
      <c r="AA242" s="488">
        <f t="shared" si="221"/>
        <v>0</v>
      </c>
      <c r="AB242" s="488">
        <f t="shared" si="221"/>
        <v>0</v>
      </c>
      <c r="AC242" s="488">
        <f t="shared" si="221"/>
        <v>0</v>
      </c>
      <c r="AD242" s="488">
        <f t="shared" si="221"/>
        <v>0</v>
      </c>
      <c r="AE242" s="488">
        <f t="shared" si="221"/>
        <v>0</v>
      </c>
      <c r="AF242" s="488">
        <f t="shared" si="221"/>
        <v>0</v>
      </c>
      <c r="AG242" s="488">
        <f t="shared" si="221"/>
        <v>0</v>
      </c>
      <c r="AH242" s="488">
        <f t="shared" si="221"/>
        <v>0</v>
      </c>
      <c r="AI242" s="488">
        <f t="shared" si="221"/>
        <v>0</v>
      </c>
      <c r="AJ242" s="488">
        <f t="shared" ref="AJ242:AQ243" si="222">N242-M242</f>
        <v>0</v>
      </c>
      <c r="AK242" s="488">
        <f t="shared" si="222"/>
        <v>0</v>
      </c>
      <c r="AL242" s="488">
        <f t="shared" si="222"/>
        <v>0</v>
      </c>
      <c r="AM242" s="488">
        <f t="shared" si="222"/>
        <v>-1000</v>
      </c>
      <c r="AN242" s="488">
        <f t="shared" si="222"/>
        <v>0</v>
      </c>
      <c r="AO242" s="488">
        <f t="shared" si="222"/>
        <v>0</v>
      </c>
      <c r="AP242" s="488">
        <f t="shared" si="222"/>
        <v>0</v>
      </c>
      <c r="AQ242" s="488">
        <f t="shared" si="222"/>
        <v>0</v>
      </c>
      <c r="AR242" s="488">
        <f t="shared" ref="AR242:AS243" si="223">V242-U242</f>
        <v>-786</v>
      </c>
      <c r="AS242" s="488">
        <f t="shared" si="223"/>
        <v>0</v>
      </c>
    </row>
    <row r="243" spans="1:45" x14ac:dyDescent="0.25">
      <c r="A243" s="100"/>
      <c r="B243" s="485" t="s">
        <v>272</v>
      </c>
      <c r="C243" s="486">
        <f t="shared" si="219"/>
        <v>1071100</v>
      </c>
      <c r="D243" s="486">
        <f t="shared" si="219"/>
        <v>1073198</v>
      </c>
      <c r="E243" s="486">
        <f t="shared" si="219"/>
        <v>1073198</v>
      </c>
      <c r="F243" s="486">
        <f t="shared" si="219"/>
        <v>1062559</v>
      </c>
      <c r="G243" s="486">
        <f t="shared" si="219"/>
        <v>1062559</v>
      </c>
      <c r="H243" s="486">
        <f t="shared" si="219"/>
        <v>1062559</v>
      </c>
      <c r="I243" s="486">
        <f t="shared" si="219"/>
        <v>1066198</v>
      </c>
      <c r="J243" s="486">
        <f t="shared" si="219"/>
        <v>1066198</v>
      </c>
      <c r="K243" s="486">
        <f t="shared" si="219"/>
        <v>1102195</v>
      </c>
      <c r="L243" s="486">
        <f t="shared" si="219"/>
        <v>1102195</v>
      </c>
      <c r="M243" s="486">
        <f t="shared" si="219"/>
        <v>1102195</v>
      </c>
      <c r="N243" s="486">
        <f t="shared" si="219"/>
        <v>1102140</v>
      </c>
      <c r="O243" s="486">
        <f t="shared" si="219"/>
        <v>1101274</v>
      </c>
      <c r="P243" s="486">
        <f t="shared" si="219"/>
        <v>1101274</v>
      </c>
      <c r="Q243" s="486">
        <f t="shared" si="219"/>
        <v>1100274</v>
      </c>
      <c r="R243" s="486">
        <f t="shared" si="219"/>
        <v>1110853</v>
      </c>
      <c r="S243" s="486">
        <f t="shared" si="219"/>
        <v>1126523</v>
      </c>
      <c r="T243" s="486">
        <f t="shared" si="219"/>
        <v>1126523</v>
      </c>
      <c r="U243" s="486">
        <f t="shared" si="219"/>
        <v>1126561</v>
      </c>
      <c r="V243" s="486">
        <f t="shared" ref="V243:W243" si="224">V237-V240</f>
        <v>1125775</v>
      </c>
      <c r="W243" s="486">
        <f t="shared" si="224"/>
        <v>1138227</v>
      </c>
      <c r="X243" s="486">
        <f t="shared" si="219"/>
        <v>1125770</v>
      </c>
      <c r="Y243" s="486"/>
      <c r="Z243" s="488">
        <f t="shared" si="221"/>
        <v>2098</v>
      </c>
      <c r="AA243" s="488">
        <f t="shared" si="221"/>
        <v>0</v>
      </c>
      <c r="AB243" s="488">
        <f t="shared" si="221"/>
        <v>-10639</v>
      </c>
      <c r="AC243" s="488">
        <f t="shared" si="221"/>
        <v>0</v>
      </c>
      <c r="AD243" s="488">
        <f t="shared" si="221"/>
        <v>0</v>
      </c>
      <c r="AE243" s="488">
        <f t="shared" si="221"/>
        <v>3639</v>
      </c>
      <c r="AF243" s="488">
        <f t="shared" si="221"/>
        <v>0</v>
      </c>
      <c r="AG243" s="488">
        <f t="shared" si="221"/>
        <v>35997</v>
      </c>
      <c r="AH243" s="488">
        <f t="shared" si="221"/>
        <v>0</v>
      </c>
      <c r="AI243" s="488">
        <f t="shared" si="221"/>
        <v>0</v>
      </c>
      <c r="AJ243" s="488">
        <f t="shared" si="222"/>
        <v>-55</v>
      </c>
      <c r="AK243" s="488">
        <f t="shared" si="222"/>
        <v>-866</v>
      </c>
      <c r="AL243" s="488">
        <f t="shared" si="222"/>
        <v>0</v>
      </c>
      <c r="AM243" s="488">
        <f t="shared" si="222"/>
        <v>-1000</v>
      </c>
      <c r="AN243" s="488">
        <f t="shared" si="222"/>
        <v>10579</v>
      </c>
      <c r="AO243" s="488">
        <f t="shared" si="222"/>
        <v>15670</v>
      </c>
      <c r="AP243" s="488">
        <f t="shared" si="222"/>
        <v>0</v>
      </c>
      <c r="AQ243" s="488">
        <f t="shared" si="222"/>
        <v>38</v>
      </c>
      <c r="AR243" s="488">
        <f t="shared" si="223"/>
        <v>-786</v>
      </c>
      <c r="AS243" s="488">
        <f t="shared" si="223"/>
        <v>12452</v>
      </c>
    </row>
    <row r="244" spans="1:45" ht="15.75" thickBot="1" x14ac:dyDescent="0.3">
      <c r="A244" s="1"/>
      <c r="B244" s="489"/>
      <c r="C244" s="486">
        <f t="shared" ref="C244:X244" si="225">C243-C242+C234</f>
        <v>1052400</v>
      </c>
      <c r="D244" s="486">
        <f t="shared" si="225"/>
        <v>1054498</v>
      </c>
      <c r="E244" s="486">
        <f t="shared" si="225"/>
        <v>1054498</v>
      </c>
      <c r="F244" s="486">
        <f t="shared" si="225"/>
        <v>1043859</v>
      </c>
      <c r="G244" s="486">
        <f t="shared" si="225"/>
        <v>1043859</v>
      </c>
      <c r="H244" s="486">
        <f t="shared" si="225"/>
        <v>1043859</v>
      </c>
      <c r="I244" s="486">
        <f t="shared" si="225"/>
        <v>1047498</v>
      </c>
      <c r="J244" s="486">
        <f t="shared" si="225"/>
        <v>1047498</v>
      </c>
      <c r="K244" s="486">
        <f t="shared" si="225"/>
        <v>1083495</v>
      </c>
      <c r="L244" s="486">
        <f t="shared" si="225"/>
        <v>1083495</v>
      </c>
      <c r="M244" s="486">
        <f t="shared" si="225"/>
        <v>1083495</v>
      </c>
      <c r="N244" s="486">
        <f t="shared" si="225"/>
        <v>1083440</v>
      </c>
      <c r="O244" s="486">
        <f t="shared" si="225"/>
        <v>1082574</v>
      </c>
      <c r="P244" s="486">
        <f t="shared" si="225"/>
        <v>1082574</v>
      </c>
      <c r="Q244" s="486">
        <f t="shared" si="225"/>
        <v>1082574</v>
      </c>
      <c r="R244" s="486">
        <f t="shared" si="225"/>
        <v>1093153</v>
      </c>
      <c r="S244" s="486">
        <f t="shared" si="225"/>
        <v>1108823</v>
      </c>
      <c r="T244" s="486">
        <f t="shared" si="225"/>
        <v>1108823</v>
      </c>
      <c r="U244" s="486">
        <f t="shared" si="225"/>
        <v>1108861</v>
      </c>
      <c r="V244" s="486">
        <f t="shared" ref="V244:W244" si="226">V243-V242+V234</f>
        <v>1108861</v>
      </c>
      <c r="W244" s="486">
        <f t="shared" si="226"/>
        <v>1121313</v>
      </c>
      <c r="X244" s="486">
        <f t="shared" si="225"/>
        <v>1445161.73</v>
      </c>
      <c r="Y244" s="486"/>
      <c r="Z244" s="489"/>
      <c r="AA244" s="489"/>
    </row>
    <row r="245" spans="1:45" ht="15.75" thickBot="1" x14ac:dyDescent="0.3">
      <c r="A245" s="1"/>
      <c r="B245" s="327" t="s">
        <v>185</v>
      </c>
      <c r="C245" s="469"/>
      <c r="D245" s="327"/>
      <c r="E245" s="327"/>
      <c r="F245" s="327"/>
      <c r="G245" s="327"/>
      <c r="H245" s="327"/>
      <c r="I245" s="327"/>
      <c r="J245" s="327"/>
      <c r="K245" s="327"/>
      <c r="L245" s="327"/>
      <c r="M245" s="327"/>
      <c r="N245" s="327"/>
      <c r="O245" s="327"/>
      <c r="P245" s="327"/>
      <c r="Q245" s="327"/>
      <c r="R245" s="327"/>
      <c r="S245" s="327"/>
      <c r="T245" s="327"/>
      <c r="U245" s="327"/>
      <c r="V245" s="327"/>
      <c r="W245" s="327"/>
      <c r="X245" s="826">
        <f>X234-X233</f>
        <v>-116023.27000000002</v>
      </c>
      <c r="Y245" s="327"/>
      <c r="Z245" s="1"/>
    </row>
    <row r="246" spans="1:45" x14ac:dyDescent="0.25">
      <c r="A246" s="1"/>
      <c r="B246" s="327" t="s">
        <v>295</v>
      </c>
      <c r="C246" s="523"/>
      <c r="D246" s="327"/>
      <c r="E246" s="327"/>
      <c r="F246" s="327"/>
      <c r="G246" s="327"/>
      <c r="H246" s="327"/>
      <c r="I246" s="327"/>
      <c r="J246" s="327"/>
      <c r="K246" s="327"/>
      <c r="L246" s="327"/>
      <c r="M246" s="327"/>
      <c r="N246" s="327"/>
      <c r="O246" s="327"/>
      <c r="P246" s="327"/>
      <c r="Q246" s="327"/>
      <c r="R246" s="327"/>
      <c r="S246" s="327"/>
      <c r="T246" s="327"/>
      <c r="U246" s="327"/>
      <c r="V246" s="327"/>
      <c r="W246" s="327"/>
      <c r="X246" s="327"/>
      <c r="Y246" s="327"/>
      <c r="Z246" s="1"/>
    </row>
    <row r="247" spans="1:45" x14ac:dyDescent="0.25">
      <c r="A247" s="1"/>
      <c r="B247" s="327"/>
      <c r="C247" s="327"/>
      <c r="D247" s="327"/>
      <c r="E247" s="327"/>
      <c r="F247" s="327"/>
      <c r="G247" s="327"/>
      <c r="H247" s="327"/>
      <c r="I247" s="327"/>
      <c r="J247" s="327"/>
      <c r="K247" s="327"/>
      <c r="L247" s="327"/>
      <c r="M247" s="327"/>
      <c r="N247" s="327"/>
      <c r="O247" s="327"/>
      <c r="P247" s="327"/>
      <c r="Q247" s="327"/>
      <c r="R247" s="327"/>
      <c r="S247" s="327"/>
      <c r="T247" s="327"/>
      <c r="U247" s="327"/>
      <c r="V247" s="327"/>
      <c r="W247" s="327"/>
      <c r="X247" s="327"/>
      <c r="Y247" s="327"/>
      <c r="Z247" s="1"/>
    </row>
    <row r="248" spans="1:45" x14ac:dyDescent="0.25">
      <c r="A248" s="1"/>
      <c r="B248" s="327"/>
      <c r="C248" s="327"/>
      <c r="D248" s="327"/>
      <c r="E248" s="327"/>
      <c r="F248" s="327"/>
      <c r="G248" s="327"/>
      <c r="H248" s="327"/>
      <c r="I248" s="327"/>
      <c r="J248" s="327"/>
      <c r="K248" s="327"/>
      <c r="L248" s="327"/>
      <c r="M248" s="327"/>
      <c r="N248" s="327"/>
      <c r="O248" s="327"/>
      <c r="P248" s="327"/>
      <c r="Q248" s="327"/>
      <c r="R248" s="327"/>
      <c r="S248" s="327"/>
      <c r="T248" s="327"/>
      <c r="U248" s="327"/>
      <c r="V248" s="327"/>
      <c r="W248" s="327"/>
      <c r="X248" s="327"/>
      <c r="Y248" s="327"/>
      <c r="Z248" s="1"/>
    </row>
    <row r="249" spans="1:45" x14ac:dyDescent="0.25">
      <c r="A249" s="1"/>
      <c r="C249" s="327"/>
      <c r="D249" s="327"/>
      <c r="E249" s="327"/>
      <c r="F249" s="327"/>
      <c r="G249" s="327"/>
      <c r="H249" s="327"/>
      <c r="I249" s="327"/>
      <c r="J249" s="327"/>
      <c r="K249" s="327"/>
      <c r="L249" s="327"/>
      <c r="M249" s="327"/>
      <c r="N249" s="327"/>
      <c r="O249" s="327"/>
      <c r="P249" s="327"/>
      <c r="Q249" s="327"/>
      <c r="R249" s="327"/>
      <c r="S249" s="327"/>
      <c r="T249" s="327"/>
      <c r="U249" s="327"/>
      <c r="V249" s="327"/>
      <c r="W249" s="327"/>
      <c r="X249" s="327"/>
      <c r="Y249" s="327"/>
      <c r="Z249" s="1"/>
    </row>
    <row r="250" spans="1:45" x14ac:dyDescent="0.25">
      <c r="A250" s="1"/>
      <c r="B250" s="328" t="s">
        <v>918</v>
      </c>
      <c r="C250" s="327"/>
      <c r="D250" s="327"/>
      <c r="E250" s="327"/>
      <c r="F250" s="327"/>
      <c r="G250" s="327"/>
      <c r="H250" s="327"/>
      <c r="I250" s="327"/>
      <c r="J250" s="327"/>
      <c r="K250" s="327"/>
      <c r="L250" s="327"/>
      <c r="M250" s="327"/>
      <c r="N250" s="327"/>
      <c r="O250" s="327"/>
      <c r="P250" s="327"/>
      <c r="Q250" s="327"/>
      <c r="R250" s="327"/>
      <c r="S250" s="327"/>
      <c r="T250" s="327"/>
      <c r="U250" s="327"/>
      <c r="V250" s="327"/>
      <c r="W250" s="327"/>
      <c r="X250" s="327"/>
      <c r="Y250" s="327"/>
      <c r="Z250" s="1"/>
    </row>
    <row r="251" spans="1:45" x14ac:dyDescent="0.25">
      <c r="A251" s="1"/>
      <c r="C251" s="327"/>
      <c r="D251" s="327"/>
      <c r="E251" s="327"/>
      <c r="F251" s="327"/>
      <c r="G251" s="327"/>
      <c r="H251" s="327"/>
      <c r="I251" s="327"/>
      <c r="J251" s="327"/>
      <c r="K251" s="327"/>
      <c r="L251" s="327"/>
      <c r="M251" s="327"/>
      <c r="N251" s="327"/>
      <c r="O251" s="327"/>
      <c r="P251" s="327"/>
      <c r="Q251" s="327"/>
      <c r="R251" s="327"/>
      <c r="S251" s="327"/>
      <c r="T251" s="327"/>
      <c r="U251" s="327"/>
      <c r="V251" s="327"/>
      <c r="W251" s="327"/>
      <c r="X251" s="327"/>
      <c r="Y251" s="327"/>
      <c r="Z251" s="1"/>
    </row>
    <row r="252" spans="1:45" x14ac:dyDescent="0.25">
      <c r="A252" s="1"/>
      <c r="B252" s="327" t="s">
        <v>902</v>
      </c>
      <c r="C252" s="327"/>
      <c r="D252" s="327"/>
      <c r="E252" s="327"/>
      <c r="F252" s="327"/>
      <c r="G252" s="327"/>
      <c r="H252" s="327"/>
      <c r="I252" s="327"/>
      <c r="J252" s="327"/>
      <c r="K252" s="327"/>
      <c r="L252" s="327"/>
      <c r="M252" s="327"/>
      <c r="N252" s="327"/>
      <c r="O252" s="327"/>
      <c r="P252" s="327"/>
      <c r="Q252" s="327"/>
      <c r="R252" s="327"/>
      <c r="S252" s="327"/>
      <c r="T252" s="327"/>
      <c r="U252" s="327"/>
      <c r="V252" s="327"/>
      <c r="W252" s="327"/>
      <c r="X252" s="327"/>
      <c r="Y252" s="327"/>
      <c r="Z252" s="1"/>
    </row>
    <row r="253" spans="1:45" x14ac:dyDescent="0.25">
      <c r="A253" s="1"/>
      <c r="B253" s="327" t="s">
        <v>917</v>
      </c>
      <c r="C253" s="327"/>
      <c r="D253" s="327"/>
      <c r="E253" s="327"/>
      <c r="F253" s="327"/>
      <c r="G253" s="327"/>
      <c r="H253" s="327"/>
      <c r="I253" s="327"/>
      <c r="J253" s="327"/>
      <c r="K253" s="327"/>
      <c r="L253" s="327"/>
      <c r="M253" s="327"/>
      <c r="N253" s="327"/>
      <c r="O253" s="327"/>
      <c r="P253" s="327"/>
      <c r="Q253" s="327"/>
      <c r="R253" s="327"/>
      <c r="S253" s="327"/>
      <c r="T253" s="327"/>
      <c r="U253" s="327"/>
      <c r="V253" s="327"/>
      <c r="W253" s="327"/>
      <c r="X253" s="327"/>
      <c r="Y253" s="327"/>
      <c r="Z253" s="1"/>
    </row>
    <row r="254" spans="1:45" x14ac:dyDescent="0.25">
      <c r="A254" s="1"/>
      <c r="B254" s="327"/>
      <c r="C254" s="327"/>
      <c r="D254" s="327"/>
      <c r="E254" s="327"/>
      <c r="F254" s="327"/>
      <c r="G254" s="327"/>
      <c r="H254" s="327"/>
      <c r="I254" s="327"/>
      <c r="J254" s="327"/>
      <c r="K254" s="327"/>
      <c r="L254" s="327"/>
      <c r="M254" s="327"/>
      <c r="N254" s="327"/>
      <c r="O254" s="327"/>
      <c r="P254" s="327"/>
      <c r="Q254" s="327"/>
      <c r="R254" s="327"/>
      <c r="S254" s="327"/>
      <c r="T254" s="327"/>
      <c r="U254" s="327"/>
      <c r="V254" s="327"/>
      <c r="W254" s="327"/>
      <c r="X254" s="327"/>
      <c r="Y254" s="327"/>
      <c r="Z254" s="1"/>
    </row>
    <row r="255" spans="1:45" x14ac:dyDescent="0.25">
      <c r="A255" s="1"/>
      <c r="B255" s="329" t="s">
        <v>361</v>
      </c>
      <c r="C255" s="327"/>
      <c r="D255" s="327"/>
      <c r="E255" s="327"/>
      <c r="F255" s="327"/>
      <c r="G255" s="327"/>
      <c r="H255" s="327"/>
      <c r="I255" s="327"/>
      <c r="J255" s="327"/>
      <c r="K255" s="327"/>
      <c r="L255" s="327"/>
      <c r="M255" s="327"/>
      <c r="N255" s="327"/>
      <c r="O255" s="327"/>
      <c r="P255" s="327"/>
      <c r="Q255" s="327"/>
      <c r="R255" s="327"/>
      <c r="S255" s="327"/>
      <c r="T255" s="327"/>
      <c r="U255" s="327"/>
      <c r="V255" s="327"/>
      <c r="W255" s="327"/>
      <c r="X255" s="327"/>
      <c r="Y255" s="327"/>
      <c r="Z255" s="1"/>
    </row>
    <row r="256" spans="1:45" x14ac:dyDescent="0.25">
      <c r="A256" s="1"/>
      <c r="B256" s="329" t="s">
        <v>362</v>
      </c>
      <c r="C256" s="327"/>
      <c r="D256" s="327"/>
      <c r="E256" s="327"/>
      <c r="F256" s="327"/>
      <c r="G256" s="327"/>
      <c r="H256" s="327"/>
      <c r="I256" s="327"/>
      <c r="J256" s="327"/>
      <c r="K256" s="327"/>
      <c r="L256" s="327"/>
      <c r="M256" s="327"/>
      <c r="N256" s="327"/>
      <c r="O256" s="327"/>
      <c r="P256" s="327"/>
      <c r="Q256" s="327"/>
      <c r="R256" s="327"/>
      <c r="S256" s="327"/>
      <c r="T256" s="327"/>
      <c r="U256" s="327"/>
      <c r="V256" s="327"/>
      <c r="W256" s="327"/>
      <c r="X256" s="327"/>
      <c r="Y256" s="327"/>
      <c r="Z256" s="1"/>
    </row>
    <row r="257" spans="1:26" x14ac:dyDescent="0.25">
      <c r="A257" s="1"/>
      <c r="B257" s="329"/>
      <c r="C257" s="327"/>
      <c r="D257" s="327"/>
      <c r="E257" s="327"/>
      <c r="F257" s="327"/>
      <c r="G257" s="327"/>
      <c r="H257" s="327"/>
      <c r="I257" s="327"/>
      <c r="J257" s="327"/>
      <c r="K257" s="327"/>
      <c r="L257" s="327"/>
      <c r="M257" s="327"/>
      <c r="N257" s="327"/>
      <c r="O257" s="327"/>
      <c r="P257" s="327"/>
      <c r="Q257" s="327"/>
      <c r="R257" s="327"/>
      <c r="S257" s="327"/>
      <c r="T257" s="327"/>
      <c r="U257" s="327"/>
      <c r="V257" s="327"/>
      <c r="W257" s="327"/>
      <c r="X257" s="327"/>
      <c r="Y257" s="327"/>
      <c r="Z257" s="1"/>
    </row>
    <row r="258" spans="1:26" ht="20.25" customHeight="1" x14ac:dyDescent="0.25">
      <c r="A258" s="1"/>
      <c r="B258" s="329" t="s">
        <v>532</v>
      </c>
      <c r="C258" s="327"/>
      <c r="D258" s="327"/>
      <c r="E258" s="327"/>
      <c r="F258" s="327"/>
      <c r="G258" s="327"/>
      <c r="H258" s="327"/>
      <c r="I258" s="327"/>
      <c r="J258" s="327"/>
      <c r="K258" s="327"/>
      <c r="L258" s="327"/>
      <c r="M258" s="327"/>
      <c r="N258" s="327"/>
      <c r="O258" s="327"/>
      <c r="P258" s="327"/>
      <c r="Q258" s="327"/>
      <c r="R258" s="327"/>
      <c r="S258" s="327"/>
      <c r="T258" s="327"/>
      <c r="U258" s="327"/>
      <c r="V258" s="327"/>
      <c r="W258" s="327"/>
      <c r="X258" s="327"/>
      <c r="Y258" s="327"/>
      <c r="Z258" s="1"/>
    </row>
    <row r="259" spans="1:26" ht="16.5" customHeight="1" x14ac:dyDescent="0.25">
      <c r="A259" s="1"/>
      <c r="B259" s="329" t="s">
        <v>614</v>
      </c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7.25" customHeight="1" x14ac:dyDescent="0.25">
      <c r="A260" s="1"/>
      <c r="B260" s="329" t="s">
        <v>615</v>
      </c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329" t="s">
        <v>669</v>
      </c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25">
      <c r="A262" s="1"/>
      <c r="B262" s="329" t="s">
        <v>721</v>
      </c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25">
      <c r="B263" s="329" t="s">
        <v>851</v>
      </c>
      <c r="Z263" s="1"/>
    </row>
    <row r="264" spans="1:26" ht="16.149999999999999" customHeight="1" x14ac:dyDescent="0.25">
      <c r="B264" s="329" t="s">
        <v>916</v>
      </c>
    </row>
    <row r="265" spans="1:26" x14ac:dyDescent="0.25">
      <c r="B265" s="329" t="s">
        <v>997</v>
      </c>
    </row>
  </sheetData>
  <mergeCells count="24">
    <mergeCell ref="A143:B143"/>
    <mergeCell ref="A1:X1"/>
    <mergeCell ref="A2:B2"/>
    <mergeCell ref="A3:B3"/>
    <mergeCell ref="A11:B11"/>
    <mergeCell ref="A72:B72"/>
    <mergeCell ref="A74:B74"/>
    <mergeCell ref="A75:B75"/>
    <mergeCell ref="A79:X79"/>
    <mergeCell ref="A80:B80"/>
    <mergeCell ref="A96:B96"/>
    <mergeCell ref="A138:B138"/>
    <mergeCell ref="A233:B233"/>
    <mergeCell ref="A144:B144"/>
    <mergeCell ref="A148:X148"/>
    <mergeCell ref="A149:B149"/>
    <mergeCell ref="A150:B150"/>
    <mergeCell ref="A170:B170"/>
    <mergeCell ref="A201:X201"/>
    <mergeCell ref="A202:B202"/>
    <mergeCell ref="A223:X223"/>
    <mergeCell ref="A224:B224"/>
    <mergeCell ref="A227:B227"/>
    <mergeCell ref="A230:B230"/>
  </mergeCells>
  <pageMargins left="0.70866141732283472" right="0.70866141732283472" top="0.74803149606299213" bottom="0.74803149606299213" header="0.31496062992125984" footer="0.31496062992125984"/>
  <pageSetup paperSize="8" scale="35" fitToHeight="0" orientation="landscape" r:id="rId1"/>
  <headerFooter>
    <oddHeader xml:space="preserve">&amp;CRozpočet obce Heľpa na rok 2025
8. zmena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0FA2C-93AA-477C-AB0F-31ADF19965BD}">
  <sheetPr>
    <pageSetUpPr fitToPage="1"/>
  </sheetPr>
  <dimension ref="A1:U236"/>
  <sheetViews>
    <sheetView zoomScale="96" zoomScaleNormal="96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K1"/>
    </sheetView>
  </sheetViews>
  <sheetFormatPr defaultRowHeight="15" x14ac:dyDescent="0.25"/>
  <cols>
    <col min="1" max="1" width="6.42578125" customWidth="1"/>
    <col min="2" max="2" width="52.28515625" customWidth="1"/>
    <col min="3" max="11" width="12.7109375" customWidth="1"/>
    <col min="12" max="12" width="7.42578125" customWidth="1"/>
    <col min="13" max="13" width="10.85546875" customWidth="1"/>
    <col min="14" max="14" width="10" customWidth="1"/>
  </cols>
  <sheetData>
    <row r="1" spans="1:21" ht="18.75" thickBot="1" x14ac:dyDescent="0.3">
      <c r="A1" s="888" t="s">
        <v>0</v>
      </c>
      <c r="B1" s="889"/>
      <c r="C1" s="889"/>
      <c r="D1" s="889"/>
      <c r="E1" s="889"/>
      <c r="F1" s="889"/>
      <c r="G1" s="889"/>
      <c r="H1" s="889"/>
      <c r="I1" s="889"/>
      <c r="J1" s="889"/>
      <c r="K1" s="889"/>
      <c r="L1" s="725"/>
      <c r="M1" s="1"/>
    </row>
    <row r="2" spans="1:21" ht="46.5" customHeight="1" thickBot="1" x14ac:dyDescent="0.3">
      <c r="A2" s="890" t="s">
        <v>1</v>
      </c>
      <c r="B2" s="891"/>
      <c r="C2" s="387" t="s">
        <v>467</v>
      </c>
      <c r="D2" s="387" t="s">
        <v>465</v>
      </c>
      <c r="E2" s="387" t="s">
        <v>483</v>
      </c>
      <c r="F2" s="387" t="s">
        <v>500</v>
      </c>
      <c r="G2" s="387" t="s">
        <v>533</v>
      </c>
      <c r="H2" s="387" t="s">
        <v>578</v>
      </c>
      <c r="I2" s="387" t="s">
        <v>610</v>
      </c>
      <c r="J2" s="387" t="s">
        <v>579</v>
      </c>
      <c r="K2" s="387" t="s">
        <v>633</v>
      </c>
      <c r="L2" s="727" t="s">
        <v>479</v>
      </c>
      <c r="M2" s="1"/>
    </row>
    <row r="3" spans="1:21" ht="15.75" thickBot="1" x14ac:dyDescent="0.3">
      <c r="A3" s="892" t="s">
        <v>4</v>
      </c>
      <c r="B3" s="893"/>
      <c r="C3" s="2">
        <f t="shared" ref="C3:K3" si="0">SUM(C4:C10)</f>
        <v>1338200</v>
      </c>
      <c r="D3" s="2">
        <f t="shared" si="0"/>
        <v>1338200</v>
      </c>
      <c r="E3" s="2">
        <f t="shared" si="0"/>
        <v>1338200</v>
      </c>
      <c r="F3" s="2">
        <f t="shared" si="0"/>
        <v>1338200</v>
      </c>
      <c r="G3" s="2">
        <f t="shared" si="0"/>
        <v>1338200</v>
      </c>
      <c r="H3" s="2">
        <f t="shared" si="0"/>
        <v>1338200</v>
      </c>
      <c r="I3" s="2">
        <f t="shared" ref="I3" si="1">SUM(I4:I10)</f>
        <v>1338200</v>
      </c>
      <c r="J3" s="2">
        <f t="shared" ref="J3" si="2">SUM(J4:J10)</f>
        <v>1338200</v>
      </c>
      <c r="K3" s="2">
        <f t="shared" si="0"/>
        <v>475831</v>
      </c>
      <c r="L3" s="728">
        <f>K3/J3</f>
        <v>0.35557539979076369</v>
      </c>
      <c r="M3" s="1"/>
    </row>
    <row r="4" spans="1:21" ht="15.75" thickBot="1" x14ac:dyDescent="0.3">
      <c r="A4" s="3">
        <v>111</v>
      </c>
      <c r="B4" s="120" t="s">
        <v>5</v>
      </c>
      <c r="C4" s="6">
        <v>1227300</v>
      </c>
      <c r="D4" s="6">
        <v>1227300</v>
      </c>
      <c r="E4" s="6">
        <v>1227300</v>
      </c>
      <c r="F4" s="6">
        <v>1227300</v>
      </c>
      <c r="G4" s="6">
        <v>1227300</v>
      </c>
      <c r="H4" s="6">
        <v>1227300</v>
      </c>
      <c r="I4" s="6">
        <v>1227300</v>
      </c>
      <c r="J4" s="6">
        <v>1227300</v>
      </c>
      <c r="K4" s="6">
        <v>426426</v>
      </c>
      <c r="L4" s="728">
        <f t="shared" ref="L4:L67" si="3">K4/J4</f>
        <v>0.34745050109997555</v>
      </c>
      <c r="M4" s="1"/>
    </row>
    <row r="5" spans="1:21" ht="15.75" thickBot="1" x14ac:dyDescent="0.3">
      <c r="A5" s="7">
        <v>121</v>
      </c>
      <c r="B5" s="332" t="s">
        <v>6</v>
      </c>
      <c r="C5" s="11">
        <v>61200</v>
      </c>
      <c r="D5" s="11">
        <v>61200</v>
      </c>
      <c r="E5" s="11">
        <v>61200</v>
      </c>
      <c r="F5" s="11">
        <v>61200</v>
      </c>
      <c r="G5" s="11">
        <v>61200</v>
      </c>
      <c r="H5" s="11">
        <v>61200</v>
      </c>
      <c r="I5" s="11">
        <v>61200</v>
      </c>
      <c r="J5" s="11">
        <v>61200</v>
      </c>
      <c r="K5" s="11">
        <v>19369</v>
      </c>
      <c r="L5" s="728">
        <f t="shared" si="3"/>
        <v>0.31648692810457518</v>
      </c>
      <c r="M5" s="1"/>
    </row>
    <row r="6" spans="1:21" x14ac:dyDescent="0.25">
      <c r="A6" s="12">
        <v>133</v>
      </c>
      <c r="B6" s="333" t="s">
        <v>7</v>
      </c>
      <c r="C6" s="16">
        <v>2000</v>
      </c>
      <c r="D6" s="16">
        <v>2000</v>
      </c>
      <c r="E6" s="16">
        <v>2000</v>
      </c>
      <c r="F6" s="16">
        <v>2000</v>
      </c>
      <c r="G6" s="16">
        <v>2000</v>
      </c>
      <c r="H6" s="16">
        <v>2000</v>
      </c>
      <c r="I6" s="16">
        <v>2000</v>
      </c>
      <c r="J6" s="16">
        <v>2000</v>
      </c>
      <c r="K6" s="16">
        <v>1472</v>
      </c>
      <c r="L6" s="728">
        <f t="shared" si="3"/>
        <v>0.73599999999999999</v>
      </c>
      <c r="M6" s="1"/>
    </row>
    <row r="7" spans="1:21" x14ac:dyDescent="0.25">
      <c r="A7" s="17">
        <v>133</v>
      </c>
      <c r="B7" s="334" t="s">
        <v>8</v>
      </c>
      <c r="C7" s="21">
        <v>200</v>
      </c>
      <c r="D7" s="21">
        <v>200</v>
      </c>
      <c r="E7" s="21">
        <v>200</v>
      </c>
      <c r="F7" s="21">
        <v>200</v>
      </c>
      <c r="G7" s="21">
        <v>200</v>
      </c>
      <c r="H7" s="21">
        <v>200</v>
      </c>
      <c r="I7" s="21">
        <v>200</v>
      </c>
      <c r="J7" s="21">
        <v>200</v>
      </c>
      <c r="K7" s="21">
        <v>0</v>
      </c>
      <c r="L7" s="728">
        <f t="shared" si="3"/>
        <v>0</v>
      </c>
      <c r="M7" s="1"/>
    </row>
    <row r="8" spans="1:21" x14ac:dyDescent="0.25">
      <c r="A8" s="17">
        <v>133</v>
      </c>
      <c r="B8" s="334" t="s">
        <v>9</v>
      </c>
      <c r="C8" s="21">
        <v>6000</v>
      </c>
      <c r="D8" s="21">
        <v>6000</v>
      </c>
      <c r="E8" s="21">
        <v>6000</v>
      </c>
      <c r="F8" s="21">
        <v>6000</v>
      </c>
      <c r="G8" s="21">
        <v>6000</v>
      </c>
      <c r="H8" s="21">
        <v>6000</v>
      </c>
      <c r="I8" s="21">
        <v>6000</v>
      </c>
      <c r="J8" s="21">
        <v>6000</v>
      </c>
      <c r="K8" s="21">
        <v>2215</v>
      </c>
      <c r="L8" s="728">
        <f t="shared" si="3"/>
        <v>0.36916666666666664</v>
      </c>
      <c r="M8" s="1"/>
    </row>
    <row r="9" spans="1:21" x14ac:dyDescent="0.25">
      <c r="A9" s="17">
        <v>133</v>
      </c>
      <c r="B9" s="334" t="s">
        <v>10</v>
      </c>
      <c r="C9" s="21">
        <v>6500</v>
      </c>
      <c r="D9" s="21">
        <v>6500</v>
      </c>
      <c r="E9" s="21">
        <v>6500</v>
      </c>
      <c r="F9" s="21">
        <v>6500</v>
      </c>
      <c r="G9" s="21">
        <v>6500</v>
      </c>
      <c r="H9" s="21">
        <v>6500</v>
      </c>
      <c r="I9" s="21">
        <v>6500</v>
      </c>
      <c r="J9" s="21">
        <v>6500</v>
      </c>
      <c r="K9" s="21">
        <v>543</v>
      </c>
      <c r="L9" s="728">
        <f t="shared" si="3"/>
        <v>8.3538461538461534E-2</v>
      </c>
      <c r="M9" s="1"/>
    </row>
    <row r="10" spans="1:21" ht="15.75" thickBot="1" x14ac:dyDescent="0.3">
      <c r="A10" s="22">
        <v>133</v>
      </c>
      <c r="B10" s="335" t="s">
        <v>11</v>
      </c>
      <c r="C10" s="26">
        <v>35000</v>
      </c>
      <c r="D10" s="26">
        <v>35000</v>
      </c>
      <c r="E10" s="26">
        <v>35000</v>
      </c>
      <c r="F10" s="26">
        <v>35000</v>
      </c>
      <c r="G10" s="26">
        <v>35000</v>
      </c>
      <c r="H10" s="26">
        <v>35000</v>
      </c>
      <c r="I10" s="26">
        <v>35000</v>
      </c>
      <c r="J10" s="26">
        <v>35000</v>
      </c>
      <c r="K10" s="26">
        <v>25806</v>
      </c>
      <c r="L10" s="728">
        <f t="shared" si="3"/>
        <v>0.7373142857142857</v>
      </c>
      <c r="M10" s="27">
        <f>SUM(J6:J10)</f>
        <v>49700</v>
      </c>
      <c r="N10" s="27">
        <f>SUM(K6:K10)</f>
        <v>30036</v>
      </c>
      <c r="O10" s="27"/>
      <c r="P10" s="27"/>
      <c r="Q10" s="27"/>
      <c r="R10" s="27"/>
      <c r="S10" s="27"/>
    </row>
    <row r="11" spans="1:21" ht="15.75" thickBot="1" x14ac:dyDescent="0.3">
      <c r="A11" s="892" t="s">
        <v>12</v>
      </c>
      <c r="B11" s="893"/>
      <c r="C11" s="336">
        <f t="shared" ref="C11:K11" si="4">SUM(C12:C30)</f>
        <v>247720</v>
      </c>
      <c r="D11" s="336">
        <f t="shared" si="4"/>
        <v>247720</v>
      </c>
      <c r="E11" s="336">
        <f t="shared" si="4"/>
        <v>247720</v>
      </c>
      <c r="F11" s="336">
        <f t="shared" si="4"/>
        <v>247720</v>
      </c>
      <c r="G11" s="336">
        <f t="shared" si="4"/>
        <v>247720</v>
      </c>
      <c r="H11" s="336">
        <f t="shared" si="4"/>
        <v>247720</v>
      </c>
      <c r="I11" s="336">
        <f t="shared" ref="I11" si="5">SUM(I12:I30)</f>
        <v>247720</v>
      </c>
      <c r="J11" s="336">
        <f t="shared" ref="J11" si="6">SUM(J12:J30)</f>
        <v>247720</v>
      </c>
      <c r="K11" s="336">
        <f t="shared" si="4"/>
        <v>70689</v>
      </c>
      <c r="L11" s="728">
        <f t="shared" si="3"/>
        <v>0.2853584692394639</v>
      </c>
      <c r="M11" s="1"/>
    </row>
    <row r="12" spans="1:21" x14ac:dyDescent="0.25">
      <c r="A12" s="28">
        <v>212</v>
      </c>
      <c r="B12" s="29" t="s">
        <v>13</v>
      </c>
      <c r="C12" s="32">
        <v>3032</v>
      </c>
      <c r="D12" s="692">
        <f t="shared" ref="D12:I12" si="7">3032-20+127</f>
        <v>3139</v>
      </c>
      <c r="E12" s="32">
        <f t="shared" si="7"/>
        <v>3139</v>
      </c>
      <c r="F12" s="32">
        <f t="shared" si="7"/>
        <v>3139</v>
      </c>
      <c r="G12" s="32">
        <f t="shared" si="7"/>
        <v>3139</v>
      </c>
      <c r="H12" s="32">
        <f t="shared" si="7"/>
        <v>3139</v>
      </c>
      <c r="I12" s="32">
        <f t="shared" si="7"/>
        <v>3139</v>
      </c>
      <c r="J12" s="692">
        <f>3032-20+127+149</f>
        <v>3288</v>
      </c>
      <c r="K12" s="32">
        <v>766</v>
      </c>
      <c r="L12" s="728">
        <f t="shared" si="3"/>
        <v>0.23296836982968369</v>
      </c>
      <c r="M12" s="1"/>
    </row>
    <row r="13" spans="1:21" x14ac:dyDescent="0.25">
      <c r="A13" s="17">
        <v>212</v>
      </c>
      <c r="B13" s="18" t="s">
        <v>14</v>
      </c>
      <c r="C13" s="21">
        <v>1000</v>
      </c>
      <c r="D13" s="21">
        <v>1000</v>
      </c>
      <c r="E13" s="21">
        <v>1000</v>
      </c>
      <c r="F13" s="21">
        <v>1000</v>
      </c>
      <c r="G13" s="21">
        <v>1000</v>
      </c>
      <c r="H13" s="21">
        <v>1000</v>
      </c>
      <c r="I13" s="21">
        <v>1000</v>
      </c>
      <c r="J13" s="21">
        <v>1000</v>
      </c>
      <c r="K13" s="21">
        <v>60</v>
      </c>
      <c r="L13" s="728">
        <f t="shared" si="3"/>
        <v>0.06</v>
      </c>
      <c r="M13" s="27"/>
    </row>
    <row r="14" spans="1:21" x14ac:dyDescent="0.25">
      <c r="A14" s="12">
        <v>212</v>
      </c>
      <c r="B14" s="13" t="s">
        <v>15</v>
      </c>
      <c r="C14" s="82">
        <v>3425</v>
      </c>
      <c r="D14" s="82">
        <v>3425</v>
      </c>
      <c r="E14" s="82">
        <v>3425</v>
      </c>
      <c r="F14" s="82">
        <v>3425</v>
      </c>
      <c r="G14" s="82">
        <v>3425</v>
      </c>
      <c r="H14" s="82">
        <v>3425</v>
      </c>
      <c r="I14" s="82">
        <v>3425</v>
      </c>
      <c r="J14" s="82">
        <v>3425</v>
      </c>
      <c r="K14" s="82">
        <v>1143</v>
      </c>
      <c r="L14" s="728">
        <f t="shared" si="3"/>
        <v>0.33372262773722627</v>
      </c>
      <c r="M14" s="1"/>
    </row>
    <row r="15" spans="1:21" x14ac:dyDescent="0.25">
      <c r="A15" s="17">
        <v>212</v>
      </c>
      <c r="B15" s="18" t="s">
        <v>16</v>
      </c>
      <c r="C15" s="21">
        <v>19463</v>
      </c>
      <c r="D15" s="693">
        <f t="shared" ref="D15:I15" si="8">19463+129-236</f>
        <v>19356</v>
      </c>
      <c r="E15" s="21">
        <f t="shared" si="8"/>
        <v>19356</v>
      </c>
      <c r="F15" s="21">
        <f t="shared" si="8"/>
        <v>19356</v>
      </c>
      <c r="G15" s="21">
        <f t="shared" si="8"/>
        <v>19356</v>
      </c>
      <c r="H15" s="21">
        <f t="shared" si="8"/>
        <v>19356</v>
      </c>
      <c r="I15" s="21">
        <f t="shared" si="8"/>
        <v>19356</v>
      </c>
      <c r="J15" s="693">
        <f>19463+129-236-149</f>
        <v>19207</v>
      </c>
      <c r="K15" s="21">
        <v>6276</v>
      </c>
      <c r="L15" s="728">
        <f t="shared" si="3"/>
        <v>0.32675587025563596</v>
      </c>
      <c r="M15" s="27"/>
    </row>
    <row r="16" spans="1:21" ht="15.75" thickBot="1" x14ac:dyDescent="0.3">
      <c r="A16" s="35">
        <v>212</v>
      </c>
      <c r="B16" s="36" t="s">
        <v>17</v>
      </c>
      <c r="C16" s="39">
        <v>100</v>
      </c>
      <c r="D16" s="39">
        <v>100</v>
      </c>
      <c r="E16" s="39">
        <v>100</v>
      </c>
      <c r="F16" s="39">
        <v>100</v>
      </c>
      <c r="G16" s="39">
        <v>100</v>
      </c>
      <c r="H16" s="39">
        <v>100</v>
      </c>
      <c r="I16" s="39">
        <v>100</v>
      </c>
      <c r="J16" s="39">
        <v>100</v>
      </c>
      <c r="K16" s="39">
        <v>0</v>
      </c>
      <c r="L16" s="728">
        <f t="shared" si="3"/>
        <v>0</v>
      </c>
      <c r="M16" s="426">
        <f>SUM(J12:J16)</f>
        <v>27020</v>
      </c>
      <c r="N16" s="426">
        <f>SUM(K12:K16)</f>
        <v>8245</v>
      </c>
      <c r="O16" s="426"/>
      <c r="P16" s="426"/>
      <c r="Q16" s="426"/>
      <c r="R16" s="426"/>
      <c r="S16" s="426"/>
      <c r="T16" s="27"/>
      <c r="U16" s="426"/>
    </row>
    <row r="17" spans="1:21" ht="15.75" thickBot="1" x14ac:dyDescent="0.3">
      <c r="A17" s="7">
        <v>221</v>
      </c>
      <c r="B17" s="8" t="s">
        <v>18</v>
      </c>
      <c r="C17" s="41">
        <v>7200</v>
      </c>
      <c r="D17" s="41">
        <v>7200</v>
      </c>
      <c r="E17" s="41">
        <v>7200</v>
      </c>
      <c r="F17" s="41">
        <v>7200</v>
      </c>
      <c r="G17" s="41">
        <v>7200</v>
      </c>
      <c r="H17" s="41">
        <v>7200</v>
      </c>
      <c r="I17" s="41">
        <v>7200</v>
      </c>
      <c r="J17" s="41">
        <v>7200</v>
      </c>
      <c r="K17" s="41">
        <v>3204</v>
      </c>
      <c r="L17" s="728">
        <f t="shared" si="3"/>
        <v>0.44500000000000001</v>
      </c>
      <c r="M17" s="1"/>
    </row>
    <row r="18" spans="1:21" ht="15.75" thickBot="1" x14ac:dyDescent="0.3">
      <c r="A18" s="35">
        <v>222</v>
      </c>
      <c r="B18" s="36" t="s">
        <v>19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728">
        <v>0</v>
      </c>
      <c r="M18" s="1"/>
    </row>
    <row r="19" spans="1:21" x14ac:dyDescent="0.25">
      <c r="A19" s="12">
        <v>223</v>
      </c>
      <c r="B19" s="13" t="s">
        <v>20</v>
      </c>
      <c r="C19" s="16">
        <v>900</v>
      </c>
      <c r="D19" s="16">
        <v>900</v>
      </c>
      <c r="E19" s="16">
        <v>900</v>
      </c>
      <c r="F19" s="16">
        <v>900</v>
      </c>
      <c r="G19" s="16">
        <v>900</v>
      </c>
      <c r="H19" s="16">
        <v>900</v>
      </c>
      <c r="I19" s="16">
        <v>900</v>
      </c>
      <c r="J19" s="16">
        <v>900</v>
      </c>
      <c r="K19" s="16">
        <v>61</v>
      </c>
      <c r="L19" s="728">
        <f t="shared" si="3"/>
        <v>6.7777777777777784E-2</v>
      </c>
      <c r="M19" s="1"/>
    </row>
    <row r="20" spans="1:21" x14ac:dyDescent="0.25">
      <c r="A20" s="17">
        <v>223</v>
      </c>
      <c r="B20" s="18" t="s">
        <v>21</v>
      </c>
      <c r="C20" s="21">
        <v>25000</v>
      </c>
      <c r="D20" s="21">
        <v>25000</v>
      </c>
      <c r="E20" s="21">
        <v>25000</v>
      </c>
      <c r="F20" s="21">
        <v>25000</v>
      </c>
      <c r="G20" s="21">
        <v>25000</v>
      </c>
      <c r="H20" s="21">
        <v>25000</v>
      </c>
      <c r="I20" s="21">
        <v>25000</v>
      </c>
      <c r="J20" s="21">
        <v>25000</v>
      </c>
      <c r="K20" s="21">
        <v>8919</v>
      </c>
      <c r="L20" s="728">
        <f t="shared" si="3"/>
        <v>0.35676000000000002</v>
      </c>
      <c r="M20" s="1"/>
    </row>
    <row r="21" spans="1:21" x14ac:dyDescent="0.25">
      <c r="A21" s="17">
        <v>223</v>
      </c>
      <c r="B21" s="18" t="s">
        <v>22</v>
      </c>
      <c r="C21" s="21">
        <v>100</v>
      </c>
      <c r="D21" s="21">
        <v>100</v>
      </c>
      <c r="E21" s="21">
        <v>100</v>
      </c>
      <c r="F21" s="21">
        <v>100</v>
      </c>
      <c r="G21" s="21">
        <v>100</v>
      </c>
      <c r="H21" s="21">
        <v>100</v>
      </c>
      <c r="I21" s="21">
        <v>100</v>
      </c>
      <c r="J21" s="21">
        <v>100</v>
      </c>
      <c r="K21" s="21">
        <v>0</v>
      </c>
      <c r="L21" s="728">
        <f t="shared" si="3"/>
        <v>0</v>
      </c>
      <c r="M21" s="1"/>
    </row>
    <row r="22" spans="1:21" x14ac:dyDescent="0.25">
      <c r="A22" s="17">
        <v>223</v>
      </c>
      <c r="B22" s="18" t="s">
        <v>290</v>
      </c>
      <c r="C22" s="21">
        <v>3000</v>
      </c>
      <c r="D22" s="21">
        <v>3000</v>
      </c>
      <c r="E22" s="21">
        <v>3000</v>
      </c>
      <c r="F22" s="21">
        <v>3000</v>
      </c>
      <c r="G22" s="21">
        <v>3000</v>
      </c>
      <c r="H22" s="21">
        <v>3000</v>
      </c>
      <c r="I22" s="21">
        <v>3000</v>
      </c>
      <c r="J22" s="21">
        <v>3000</v>
      </c>
      <c r="K22" s="21">
        <v>1098</v>
      </c>
      <c r="L22" s="728">
        <f t="shared" si="3"/>
        <v>0.36599999999999999</v>
      </c>
      <c r="M22" s="1"/>
    </row>
    <row r="23" spans="1:21" x14ac:dyDescent="0.25">
      <c r="A23" s="17">
        <v>223</v>
      </c>
      <c r="B23" s="18" t="s">
        <v>23</v>
      </c>
      <c r="C23" s="21">
        <v>2000</v>
      </c>
      <c r="D23" s="21">
        <v>2000</v>
      </c>
      <c r="E23" s="21">
        <v>2000</v>
      </c>
      <c r="F23" s="21">
        <v>2000</v>
      </c>
      <c r="G23" s="21">
        <v>2000</v>
      </c>
      <c r="H23" s="21">
        <v>2000</v>
      </c>
      <c r="I23" s="21">
        <v>2000</v>
      </c>
      <c r="J23" s="21">
        <v>2000</v>
      </c>
      <c r="K23" s="21">
        <v>0</v>
      </c>
      <c r="L23" s="728">
        <f t="shared" si="3"/>
        <v>0</v>
      </c>
      <c r="M23" s="1"/>
    </row>
    <row r="24" spans="1:21" x14ac:dyDescent="0.25">
      <c r="A24" s="17">
        <v>223</v>
      </c>
      <c r="B24" s="18" t="s">
        <v>24</v>
      </c>
      <c r="C24" s="21">
        <v>1000</v>
      </c>
      <c r="D24" s="21">
        <v>1000</v>
      </c>
      <c r="E24" s="21">
        <v>1000</v>
      </c>
      <c r="F24" s="21">
        <v>1000</v>
      </c>
      <c r="G24" s="21">
        <v>1000</v>
      </c>
      <c r="H24" s="21">
        <v>1000</v>
      </c>
      <c r="I24" s="21">
        <v>1000</v>
      </c>
      <c r="J24" s="21">
        <v>1000</v>
      </c>
      <c r="K24" s="21">
        <v>160</v>
      </c>
      <c r="L24" s="728">
        <f t="shared" si="3"/>
        <v>0.16</v>
      </c>
      <c r="M24" s="1"/>
    </row>
    <row r="25" spans="1:21" x14ac:dyDescent="0.25">
      <c r="A25" s="17">
        <v>223</v>
      </c>
      <c r="B25" s="18" t="s">
        <v>25</v>
      </c>
      <c r="C25" s="21">
        <v>46000</v>
      </c>
      <c r="D25" s="21">
        <v>46000</v>
      </c>
      <c r="E25" s="21">
        <v>46000</v>
      </c>
      <c r="F25" s="21">
        <v>46000</v>
      </c>
      <c r="G25" s="21">
        <v>46000</v>
      </c>
      <c r="H25" s="21">
        <v>46000</v>
      </c>
      <c r="I25" s="21">
        <v>46000</v>
      </c>
      <c r="J25" s="21">
        <v>46000</v>
      </c>
      <c r="K25" s="21">
        <v>13001</v>
      </c>
      <c r="L25" s="728">
        <f t="shared" si="3"/>
        <v>0.28263043478260869</v>
      </c>
      <c r="M25" s="1"/>
    </row>
    <row r="26" spans="1:21" x14ac:dyDescent="0.25">
      <c r="A26" s="17">
        <v>223</v>
      </c>
      <c r="B26" s="18" t="s">
        <v>26</v>
      </c>
      <c r="C26" s="21">
        <v>61000</v>
      </c>
      <c r="D26" s="21">
        <v>61000</v>
      </c>
      <c r="E26" s="21">
        <v>61000</v>
      </c>
      <c r="F26" s="21">
        <v>61000</v>
      </c>
      <c r="G26" s="21">
        <v>61000</v>
      </c>
      <c r="H26" s="21">
        <v>61000</v>
      </c>
      <c r="I26" s="21">
        <v>61000</v>
      </c>
      <c r="J26" s="21">
        <v>61000</v>
      </c>
      <c r="K26" s="21">
        <v>19192</v>
      </c>
      <c r="L26" s="728">
        <f t="shared" si="3"/>
        <v>0.31462295081967212</v>
      </c>
      <c r="M26" s="1"/>
    </row>
    <row r="27" spans="1:21" x14ac:dyDescent="0.25">
      <c r="A27" s="17">
        <v>223</v>
      </c>
      <c r="B27" s="18" t="s">
        <v>28</v>
      </c>
      <c r="C27" s="21">
        <v>2100</v>
      </c>
      <c r="D27" s="21">
        <v>2100</v>
      </c>
      <c r="E27" s="21">
        <v>2100</v>
      </c>
      <c r="F27" s="21">
        <v>2100</v>
      </c>
      <c r="G27" s="21">
        <v>2100</v>
      </c>
      <c r="H27" s="21">
        <v>2100</v>
      </c>
      <c r="I27" s="21">
        <v>2100</v>
      </c>
      <c r="J27" s="21">
        <v>2100</v>
      </c>
      <c r="K27" s="21">
        <v>833</v>
      </c>
      <c r="L27" s="728">
        <f t="shared" si="3"/>
        <v>0.39666666666666667</v>
      </c>
      <c r="M27" s="1"/>
    </row>
    <row r="28" spans="1:21" x14ac:dyDescent="0.25">
      <c r="A28" s="17">
        <v>223</v>
      </c>
      <c r="B28" s="18" t="s">
        <v>214</v>
      </c>
      <c r="C28" s="21">
        <v>1300</v>
      </c>
      <c r="D28" s="21">
        <v>1300</v>
      </c>
      <c r="E28" s="21">
        <v>1300</v>
      </c>
      <c r="F28" s="21">
        <v>1300</v>
      </c>
      <c r="G28" s="21">
        <v>1300</v>
      </c>
      <c r="H28" s="21">
        <v>1300</v>
      </c>
      <c r="I28" s="21">
        <v>1300</v>
      </c>
      <c r="J28" s="21">
        <v>1300</v>
      </c>
      <c r="K28" s="21">
        <v>480</v>
      </c>
      <c r="L28" s="728">
        <f t="shared" si="3"/>
        <v>0.36923076923076925</v>
      </c>
      <c r="M28" s="1"/>
    </row>
    <row r="29" spans="1:21" x14ac:dyDescent="0.25">
      <c r="A29" s="43">
        <v>223</v>
      </c>
      <c r="B29" s="44" t="s">
        <v>29</v>
      </c>
      <c r="C29" s="46">
        <v>71000</v>
      </c>
      <c r="D29" s="46">
        <v>71000</v>
      </c>
      <c r="E29" s="46">
        <v>71000</v>
      </c>
      <c r="F29" s="46">
        <v>71000</v>
      </c>
      <c r="G29" s="46">
        <v>71000</v>
      </c>
      <c r="H29" s="46">
        <v>71000</v>
      </c>
      <c r="I29" s="46">
        <v>71000</v>
      </c>
      <c r="J29" s="46">
        <v>71000</v>
      </c>
      <c r="K29" s="46">
        <v>15496</v>
      </c>
      <c r="L29" s="728">
        <f t="shared" si="3"/>
        <v>0.21825352112676055</v>
      </c>
      <c r="M29" s="27"/>
    </row>
    <row r="30" spans="1:21" ht="15.75" thickBot="1" x14ac:dyDescent="0.3">
      <c r="A30" s="22">
        <v>223</v>
      </c>
      <c r="B30" s="23" t="s">
        <v>30</v>
      </c>
      <c r="C30" s="79">
        <v>100</v>
      </c>
      <c r="D30" s="79">
        <v>100</v>
      </c>
      <c r="E30" s="79">
        <v>100</v>
      </c>
      <c r="F30" s="79">
        <v>100</v>
      </c>
      <c r="G30" s="79">
        <v>100</v>
      </c>
      <c r="H30" s="79">
        <v>100</v>
      </c>
      <c r="I30" s="79">
        <v>100</v>
      </c>
      <c r="J30" s="79">
        <v>100</v>
      </c>
      <c r="K30" s="48">
        <v>0</v>
      </c>
      <c r="L30" s="728">
        <f t="shared" si="3"/>
        <v>0</v>
      </c>
      <c r="M30" s="27">
        <f>SUM(J19:J30)</f>
        <v>213500</v>
      </c>
      <c r="N30" s="27">
        <f>SUM(K19:K30)</f>
        <v>59240</v>
      </c>
      <c r="O30" s="27"/>
      <c r="P30" s="27"/>
      <c r="Q30" s="27"/>
      <c r="R30" s="27"/>
      <c r="S30" s="27"/>
      <c r="T30" s="426"/>
      <c r="U30" s="426"/>
    </row>
    <row r="31" spans="1:21" ht="15.75" thickBot="1" x14ac:dyDescent="0.3">
      <c r="A31" s="779" t="s">
        <v>31</v>
      </c>
      <c r="B31" s="780"/>
      <c r="C31" s="2">
        <f t="shared" ref="C31:K31" si="9">SUM(C32)</f>
        <v>50</v>
      </c>
      <c r="D31" s="2">
        <f t="shared" si="9"/>
        <v>50</v>
      </c>
      <c r="E31" s="2">
        <f t="shared" si="9"/>
        <v>50</v>
      </c>
      <c r="F31" s="2">
        <f t="shared" si="9"/>
        <v>50</v>
      </c>
      <c r="G31" s="2">
        <f t="shared" si="9"/>
        <v>50</v>
      </c>
      <c r="H31" s="2">
        <f t="shared" si="9"/>
        <v>50</v>
      </c>
      <c r="I31" s="2">
        <f t="shared" si="9"/>
        <v>50</v>
      </c>
      <c r="J31" s="2">
        <f t="shared" si="9"/>
        <v>50</v>
      </c>
      <c r="K31" s="2">
        <f t="shared" si="9"/>
        <v>10</v>
      </c>
      <c r="L31" s="728">
        <f t="shared" si="3"/>
        <v>0.2</v>
      </c>
      <c r="M31" s="27">
        <f>SUM(J17:J30)</f>
        <v>220700</v>
      </c>
      <c r="N31" s="27">
        <f>SUM(K17:K30)</f>
        <v>62444</v>
      </c>
    </row>
    <row r="32" spans="1:21" ht="15.75" thickBot="1" x14ac:dyDescent="0.3">
      <c r="A32" s="51">
        <v>240</v>
      </c>
      <c r="B32" s="47" t="s">
        <v>32</v>
      </c>
      <c r="C32" s="38">
        <v>50</v>
      </c>
      <c r="D32" s="38">
        <v>50</v>
      </c>
      <c r="E32" s="38">
        <v>50</v>
      </c>
      <c r="F32" s="38">
        <v>50</v>
      </c>
      <c r="G32" s="38">
        <v>50</v>
      </c>
      <c r="H32" s="38">
        <v>50</v>
      </c>
      <c r="I32" s="38">
        <v>50</v>
      </c>
      <c r="J32" s="38">
        <v>50</v>
      </c>
      <c r="K32" s="38">
        <v>10</v>
      </c>
      <c r="L32" s="728">
        <f t="shared" si="3"/>
        <v>0.2</v>
      </c>
      <c r="M32" s="1"/>
    </row>
    <row r="33" spans="1:15" ht="15.75" thickBot="1" x14ac:dyDescent="0.3">
      <c r="A33" s="779" t="s">
        <v>33</v>
      </c>
      <c r="B33" s="780"/>
      <c r="C33" s="336">
        <f t="shared" ref="C33:K33" si="10">SUM(C34:C38)</f>
        <v>60240</v>
      </c>
      <c r="D33" s="336">
        <f t="shared" si="10"/>
        <v>60255</v>
      </c>
      <c r="E33" s="336">
        <f t="shared" si="10"/>
        <v>64505</v>
      </c>
      <c r="F33" s="336">
        <f t="shared" si="10"/>
        <v>64505</v>
      </c>
      <c r="G33" s="336">
        <f t="shared" si="10"/>
        <v>64505</v>
      </c>
      <c r="H33" s="336">
        <f t="shared" si="10"/>
        <v>64505</v>
      </c>
      <c r="I33" s="336">
        <f t="shared" ref="I33" si="11">SUM(I34:I38)</f>
        <v>64505</v>
      </c>
      <c r="J33" s="336">
        <f t="shared" ref="J33" si="12">SUM(J34:J38)</f>
        <v>65429</v>
      </c>
      <c r="K33" s="336">
        <f t="shared" si="10"/>
        <v>25068</v>
      </c>
      <c r="L33" s="728">
        <f t="shared" si="3"/>
        <v>0.38313286157514254</v>
      </c>
      <c r="M33" s="1"/>
    </row>
    <row r="34" spans="1:15" x14ac:dyDescent="0.25">
      <c r="A34" s="57">
        <v>292</v>
      </c>
      <c r="B34" s="58" t="s">
        <v>36</v>
      </c>
      <c r="C34" s="61">
        <v>10000</v>
      </c>
      <c r="D34" s="695">
        <f t="shared" ref="D34:J34" si="13">10000+4250</f>
        <v>14250</v>
      </c>
      <c r="E34" s="695">
        <f t="shared" si="13"/>
        <v>14250</v>
      </c>
      <c r="F34" s="61">
        <f t="shared" si="13"/>
        <v>14250</v>
      </c>
      <c r="G34" s="61">
        <f t="shared" si="13"/>
        <v>14250</v>
      </c>
      <c r="H34" s="61">
        <f t="shared" si="13"/>
        <v>14250</v>
      </c>
      <c r="I34" s="61">
        <f t="shared" si="13"/>
        <v>14250</v>
      </c>
      <c r="J34" s="61">
        <f t="shared" si="13"/>
        <v>14250</v>
      </c>
      <c r="K34" s="61">
        <v>14231</v>
      </c>
      <c r="L34" s="728">
        <f t="shared" si="3"/>
        <v>0.9986666666666667</v>
      </c>
      <c r="M34" s="1"/>
    </row>
    <row r="35" spans="1:15" x14ac:dyDescent="0.25">
      <c r="A35" s="57">
        <v>292</v>
      </c>
      <c r="B35" s="58" t="s">
        <v>37</v>
      </c>
      <c r="C35" s="60">
        <v>500</v>
      </c>
      <c r="D35" s="60">
        <v>500</v>
      </c>
      <c r="E35" s="60">
        <v>500</v>
      </c>
      <c r="F35" s="60">
        <v>500</v>
      </c>
      <c r="G35" s="60">
        <v>500</v>
      </c>
      <c r="H35" s="60">
        <v>500</v>
      </c>
      <c r="I35" s="60">
        <v>500</v>
      </c>
      <c r="J35" s="60">
        <v>500</v>
      </c>
      <c r="K35" s="60">
        <v>197</v>
      </c>
      <c r="L35" s="728">
        <f t="shared" si="3"/>
        <v>0.39400000000000002</v>
      </c>
      <c r="M35" s="1"/>
    </row>
    <row r="36" spans="1:15" x14ac:dyDescent="0.25">
      <c r="A36" s="57">
        <v>292</v>
      </c>
      <c r="B36" s="18" t="s">
        <v>38</v>
      </c>
      <c r="C36" s="64">
        <v>380</v>
      </c>
      <c r="D36" s="689">
        <f t="shared" ref="D36:J36" si="14">380+15</f>
        <v>395</v>
      </c>
      <c r="E36" s="64">
        <f t="shared" si="14"/>
        <v>395</v>
      </c>
      <c r="F36" s="64">
        <f t="shared" si="14"/>
        <v>395</v>
      </c>
      <c r="G36" s="64">
        <f t="shared" si="14"/>
        <v>395</v>
      </c>
      <c r="H36" s="64">
        <f t="shared" si="14"/>
        <v>395</v>
      </c>
      <c r="I36" s="64">
        <f t="shared" si="14"/>
        <v>395</v>
      </c>
      <c r="J36" s="64">
        <f t="shared" si="14"/>
        <v>395</v>
      </c>
      <c r="K36" s="64">
        <v>0</v>
      </c>
      <c r="L36" s="728">
        <f t="shared" si="3"/>
        <v>0</v>
      </c>
      <c r="M36" s="1"/>
    </row>
    <row r="37" spans="1:15" x14ac:dyDescent="0.25">
      <c r="A37" s="57">
        <v>292</v>
      </c>
      <c r="B37" s="58" t="s">
        <v>188</v>
      </c>
      <c r="C37" s="60">
        <f>49730-C36</f>
        <v>49350</v>
      </c>
      <c r="D37" s="694">
        <f>49730+15-4250-D36</f>
        <v>45100</v>
      </c>
      <c r="E37" s="694">
        <f t="shared" ref="E37:H37" si="15">49730+15-4250-E36+4250</f>
        <v>49350</v>
      </c>
      <c r="F37" s="60">
        <f t="shared" si="15"/>
        <v>49350</v>
      </c>
      <c r="G37" s="60">
        <f t="shared" si="15"/>
        <v>49350</v>
      </c>
      <c r="H37" s="60">
        <f t="shared" si="15"/>
        <v>49350</v>
      </c>
      <c r="I37" s="694">
        <f>49730+15-4250-I36+4250-924</f>
        <v>48426</v>
      </c>
      <c r="J37" s="60">
        <f>49730+15-4250-J36+4250-924</f>
        <v>48426</v>
      </c>
      <c r="K37" s="60">
        <v>10115</v>
      </c>
      <c r="L37" s="728">
        <f t="shared" si="3"/>
        <v>0.2088753975137323</v>
      </c>
      <c r="M37" s="27">
        <f>SUM(J36:J37)</f>
        <v>48821</v>
      </c>
      <c r="N37" s="27">
        <f>SUM(K36:K37)</f>
        <v>10115</v>
      </c>
      <c r="O37" s="27"/>
    </row>
    <row r="38" spans="1:15" ht="15.75" thickBot="1" x14ac:dyDescent="0.3">
      <c r="A38" s="57">
        <v>292</v>
      </c>
      <c r="B38" s="58" t="s">
        <v>260</v>
      </c>
      <c r="C38" s="60">
        <v>10</v>
      </c>
      <c r="D38" s="60">
        <v>10</v>
      </c>
      <c r="E38" s="60">
        <v>10</v>
      </c>
      <c r="F38" s="60">
        <v>10</v>
      </c>
      <c r="G38" s="60">
        <v>10</v>
      </c>
      <c r="H38" s="60">
        <v>10</v>
      </c>
      <c r="I38" s="694">
        <f>10+924</f>
        <v>934</v>
      </c>
      <c r="J38" s="694">
        <f>10+924+924</f>
        <v>1858</v>
      </c>
      <c r="K38" s="60">
        <v>525</v>
      </c>
      <c r="L38" s="728">
        <f t="shared" si="3"/>
        <v>0.28256189451022606</v>
      </c>
      <c r="M38" s="1"/>
    </row>
    <row r="39" spans="1:15" ht="15.75" thickBot="1" x14ac:dyDescent="0.3">
      <c r="A39" s="65" t="s">
        <v>39</v>
      </c>
      <c r="B39" s="340"/>
      <c r="C39" s="336">
        <f t="shared" ref="C39:K39" si="16">SUM(C40:C63)</f>
        <v>1306665</v>
      </c>
      <c r="D39" s="336">
        <f t="shared" si="16"/>
        <v>1306322</v>
      </c>
      <c r="E39" s="336">
        <f t="shared" si="16"/>
        <v>1319182</v>
      </c>
      <c r="F39" s="336">
        <f t="shared" si="16"/>
        <v>1312406</v>
      </c>
      <c r="G39" s="336">
        <f t="shared" si="16"/>
        <v>1312406</v>
      </c>
      <c r="H39" s="336">
        <f t="shared" si="16"/>
        <v>1312406</v>
      </c>
      <c r="I39" s="336">
        <f t="shared" si="16"/>
        <v>1324362</v>
      </c>
      <c r="J39" s="336">
        <f t="shared" si="16"/>
        <v>1324362</v>
      </c>
      <c r="K39" s="336">
        <f t="shared" si="16"/>
        <v>516222</v>
      </c>
      <c r="L39" s="728">
        <f t="shared" si="3"/>
        <v>0.38978919660938627</v>
      </c>
      <c r="M39" s="1"/>
    </row>
    <row r="40" spans="1:15" ht="15.75" thickBot="1" x14ac:dyDescent="0.3">
      <c r="A40" s="787">
        <v>311</v>
      </c>
      <c r="B40" s="788" t="s">
        <v>40</v>
      </c>
      <c r="C40" s="789">
        <v>0</v>
      </c>
      <c r="D40" s="789">
        <v>0</v>
      </c>
      <c r="E40" s="789">
        <v>0</v>
      </c>
      <c r="F40" s="789">
        <v>0</v>
      </c>
      <c r="G40" s="789">
        <v>0</v>
      </c>
      <c r="H40" s="789">
        <v>0</v>
      </c>
      <c r="I40" s="789">
        <v>0</v>
      </c>
      <c r="J40" s="789">
        <v>0</v>
      </c>
      <c r="K40" s="789">
        <v>0</v>
      </c>
      <c r="L40" s="728">
        <v>0</v>
      </c>
      <c r="M40" s="1"/>
    </row>
    <row r="41" spans="1:15" x14ac:dyDescent="0.25">
      <c r="A41" s="69">
        <v>312</v>
      </c>
      <c r="B41" s="333" t="s">
        <v>279</v>
      </c>
      <c r="C41" s="70">
        <v>69225</v>
      </c>
      <c r="D41" s="70">
        <v>69225</v>
      </c>
      <c r="E41" s="70">
        <v>69225</v>
      </c>
      <c r="F41" s="70">
        <v>69225</v>
      </c>
      <c r="G41" s="70">
        <v>69225</v>
      </c>
      <c r="H41" s="70">
        <v>69225</v>
      </c>
      <c r="I41" s="70">
        <v>69225</v>
      </c>
      <c r="J41" s="70">
        <v>69225</v>
      </c>
      <c r="K41" s="70">
        <v>49246</v>
      </c>
      <c r="L41" s="728">
        <f t="shared" si="3"/>
        <v>0.71139039364391476</v>
      </c>
      <c r="M41" s="1"/>
    </row>
    <row r="42" spans="1:15" x14ac:dyDescent="0.25">
      <c r="A42" s="71">
        <v>312</v>
      </c>
      <c r="B42" s="334" t="s">
        <v>193</v>
      </c>
      <c r="C42" s="16">
        <f t="shared" ref="C42:J42" si="17">62400+500</f>
        <v>62900</v>
      </c>
      <c r="D42" s="16">
        <f t="shared" si="17"/>
        <v>62900</v>
      </c>
      <c r="E42" s="16">
        <f t="shared" si="17"/>
        <v>62900</v>
      </c>
      <c r="F42" s="16">
        <f t="shared" si="17"/>
        <v>62900</v>
      </c>
      <c r="G42" s="16">
        <f t="shared" si="17"/>
        <v>62900</v>
      </c>
      <c r="H42" s="16">
        <f t="shared" si="17"/>
        <v>62900</v>
      </c>
      <c r="I42" s="16">
        <f t="shared" si="17"/>
        <v>62900</v>
      </c>
      <c r="J42" s="16">
        <f t="shared" si="17"/>
        <v>62900</v>
      </c>
      <c r="K42" s="16">
        <v>44683</v>
      </c>
      <c r="L42" s="728">
        <f t="shared" si="3"/>
        <v>0.7103815580286168</v>
      </c>
      <c r="M42" s="1"/>
    </row>
    <row r="43" spans="1:15" x14ac:dyDescent="0.25">
      <c r="A43" s="71">
        <v>312</v>
      </c>
      <c r="B43" s="334" t="s">
        <v>194</v>
      </c>
      <c r="C43" s="16">
        <v>500</v>
      </c>
      <c r="D43" s="16">
        <v>500</v>
      </c>
      <c r="E43" s="16">
        <v>500</v>
      </c>
      <c r="F43" s="16">
        <v>500</v>
      </c>
      <c r="G43" s="16">
        <v>500</v>
      </c>
      <c r="H43" s="16">
        <v>500</v>
      </c>
      <c r="I43" s="781">
        <f>500+580</f>
        <v>1080</v>
      </c>
      <c r="J43" s="16">
        <f>500+580</f>
        <v>1080</v>
      </c>
      <c r="K43" s="16">
        <v>420</v>
      </c>
      <c r="L43" s="728">
        <f t="shared" si="3"/>
        <v>0.3888888888888889</v>
      </c>
      <c r="M43" s="27"/>
    </row>
    <row r="44" spans="1:15" x14ac:dyDescent="0.25">
      <c r="A44" s="71">
        <v>312</v>
      </c>
      <c r="B44" s="114" t="s">
        <v>41</v>
      </c>
      <c r="C44" s="73">
        <v>0</v>
      </c>
      <c r="D44" s="696">
        <f t="shared" ref="D44:J44" si="18">57+660</f>
        <v>717</v>
      </c>
      <c r="E44" s="73">
        <f t="shared" si="18"/>
        <v>717</v>
      </c>
      <c r="F44" s="73">
        <f t="shared" si="18"/>
        <v>717</v>
      </c>
      <c r="G44" s="73">
        <f t="shared" si="18"/>
        <v>717</v>
      </c>
      <c r="H44" s="73">
        <f t="shared" si="18"/>
        <v>717</v>
      </c>
      <c r="I44" s="73">
        <f t="shared" si="18"/>
        <v>717</v>
      </c>
      <c r="J44" s="73">
        <f t="shared" si="18"/>
        <v>717</v>
      </c>
      <c r="K44" s="73">
        <v>245</v>
      </c>
      <c r="L44" s="728">
        <f t="shared" si="3"/>
        <v>0.34170153417015342</v>
      </c>
      <c r="M44" s="27"/>
    </row>
    <row r="45" spans="1:15" x14ac:dyDescent="0.25">
      <c r="A45" s="83">
        <v>312</v>
      </c>
      <c r="B45" s="114" t="s">
        <v>344</v>
      </c>
      <c r="C45" s="501">
        <v>9680</v>
      </c>
      <c r="D45" s="501">
        <v>9680</v>
      </c>
      <c r="E45" s="501">
        <v>9680</v>
      </c>
      <c r="F45" s="501">
        <v>9680</v>
      </c>
      <c r="G45" s="501">
        <v>9680</v>
      </c>
      <c r="H45" s="501">
        <v>9680</v>
      </c>
      <c r="I45" s="501">
        <v>9680</v>
      </c>
      <c r="J45" s="501">
        <v>9680</v>
      </c>
      <c r="K45" s="501">
        <v>0</v>
      </c>
      <c r="L45" s="728">
        <f t="shared" si="3"/>
        <v>0</v>
      </c>
      <c r="M45" s="27"/>
      <c r="N45" s="426"/>
    </row>
    <row r="46" spans="1:15" x14ac:dyDescent="0.25">
      <c r="A46" s="83">
        <v>312</v>
      </c>
      <c r="B46" s="114" t="s">
        <v>346</v>
      </c>
      <c r="C46" s="501">
        <v>1450</v>
      </c>
      <c r="D46" s="501">
        <v>1450</v>
      </c>
      <c r="E46" s="501">
        <v>1450</v>
      </c>
      <c r="F46" s="501">
        <v>1450</v>
      </c>
      <c r="G46" s="501">
        <v>1450</v>
      </c>
      <c r="H46" s="501">
        <v>1450</v>
      </c>
      <c r="I46" s="501">
        <v>1450</v>
      </c>
      <c r="J46" s="501">
        <v>1450</v>
      </c>
      <c r="K46" s="501">
        <v>0</v>
      </c>
      <c r="L46" s="728">
        <f t="shared" si="3"/>
        <v>0</v>
      </c>
      <c r="M46" s="27"/>
      <c r="N46" s="426"/>
    </row>
    <row r="47" spans="1:15" x14ac:dyDescent="0.25">
      <c r="A47" s="83">
        <v>312</v>
      </c>
      <c r="B47" s="114" t="s">
        <v>336</v>
      </c>
      <c r="C47" s="501">
        <v>5000</v>
      </c>
      <c r="D47" s="34">
        <v>5000</v>
      </c>
      <c r="E47" s="34">
        <v>5000</v>
      </c>
      <c r="F47" s="34">
        <v>5000</v>
      </c>
      <c r="G47" s="34">
        <v>5000</v>
      </c>
      <c r="H47" s="34">
        <v>5000</v>
      </c>
      <c r="I47" s="34">
        <v>5000</v>
      </c>
      <c r="J47" s="34">
        <v>5000</v>
      </c>
      <c r="K47" s="501">
        <v>0</v>
      </c>
      <c r="L47" s="728">
        <f>K47/J47</f>
        <v>0</v>
      </c>
      <c r="M47" s="27"/>
      <c r="N47" s="426"/>
    </row>
    <row r="48" spans="1:15" x14ac:dyDescent="0.25">
      <c r="A48" s="476">
        <v>312</v>
      </c>
      <c r="B48" s="155" t="s">
        <v>501</v>
      </c>
      <c r="C48" s="561">
        <v>0</v>
      </c>
      <c r="D48" s="561">
        <v>0</v>
      </c>
      <c r="E48" s="756">
        <v>12860</v>
      </c>
      <c r="F48" s="561">
        <v>12860</v>
      </c>
      <c r="G48" s="561">
        <v>12860</v>
      </c>
      <c r="H48" s="561">
        <v>12860</v>
      </c>
      <c r="I48" s="561">
        <v>12860</v>
      </c>
      <c r="J48" s="561">
        <v>12860</v>
      </c>
      <c r="K48" s="561">
        <v>0</v>
      </c>
      <c r="L48" s="728">
        <f>K48/J48</f>
        <v>0</v>
      </c>
      <c r="M48" s="27"/>
      <c r="N48" s="426"/>
    </row>
    <row r="49" spans="1:19" x14ac:dyDescent="0.25">
      <c r="A49" s="83">
        <v>312</v>
      </c>
      <c r="B49" s="114" t="s">
        <v>345</v>
      </c>
      <c r="C49" s="501">
        <v>0</v>
      </c>
      <c r="D49" s="501">
        <v>0</v>
      </c>
      <c r="E49" s="501">
        <v>0</v>
      </c>
      <c r="F49" s="501">
        <v>0</v>
      </c>
      <c r="G49" s="501">
        <v>0</v>
      </c>
      <c r="H49" s="501">
        <v>0</v>
      </c>
      <c r="I49" s="501">
        <v>0</v>
      </c>
      <c r="J49" s="501">
        <v>0</v>
      </c>
      <c r="K49" s="501">
        <v>0</v>
      </c>
      <c r="L49" s="728">
        <v>0</v>
      </c>
      <c r="M49" s="27"/>
      <c r="N49" s="426"/>
    </row>
    <row r="50" spans="1:19" ht="15.75" thickBot="1" x14ac:dyDescent="0.3">
      <c r="A50" s="74">
        <v>312</v>
      </c>
      <c r="B50" s="81" t="s">
        <v>43</v>
      </c>
      <c r="C50" s="75">
        <v>50</v>
      </c>
      <c r="D50" s="75">
        <v>50</v>
      </c>
      <c r="E50" s="75">
        <v>50</v>
      </c>
      <c r="F50" s="75">
        <v>50</v>
      </c>
      <c r="G50" s="75">
        <v>50</v>
      </c>
      <c r="H50" s="75">
        <v>50</v>
      </c>
      <c r="I50" s="75">
        <v>50</v>
      </c>
      <c r="J50" s="75">
        <v>50</v>
      </c>
      <c r="K50" s="75">
        <v>47</v>
      </c>
      <c r="L50" s="728">
        <f t="shared" si="3"/>
        <v>0.94</v>
      </c>
      <c r="M50" s="1"/>
    </row>
    <row r="51" spans="1:19" ht="15.75" thickBot="1" x14ac:dyDescent="0.3">
      <c r="A51" s="330">
        <v>312</v>
      </c>
      <c r="B51" s="342" t="s">
        <v>273</v>
      </c>
      <c r="C51" s="331">
        <v>4000</v>
      </c>
      <c r="D51" s="331">
        <v>4000</v>
      </c>
      <c r="E51" s="331">
        <v>4000</v>
      </c>
      <c r="F51" s="331">
        <v>4000</v>
      </c>
      <c r="G51" s="331">
        <v>4000</v>
      </c>
      <c r="H51" s="331">
        <v>4000</v>
      </c>
      <c r="I51" s="331">
        <v>4000</v>
      </c>
      <c r="J51" s="331">
        <v>4000</v>
      </c>
      <c r="K51" s="331">
        <v>0</v>
      </c>
      <c r="L51" s="728">
        <f t="shared" si="3"/>
        <v>0</v>
      </c>
      <c r="M51" s="27"/>
    </row>
    <row r="52" spans="1:19" x14ac:dyDescent="0.25">
      <c r="A52" s="71">
        <v>312</v>
      </c>
      <c r="B52" s="84" t="s">
        <v>44</v>
      </c>
      <c r="C52" s="16">
        <v>1600</v>
      </c>
      <c r="D52" s="16">
        <v>1600</v>
      </c>
      <c r="E52" s="16">
        <v>1600</v>
      </c>
      <c r="F52" s="16">
        <v>1600</v>
      </c>
      <c r="G52" s="16">
        <v>1600</v>
      </c>
      <c r="H52" s="16">
        <v>1600</v>
      </c>
      <c r="I52" s="16">
        <v>1600</v>
      </c>
      <c r="J52" s="16">
        <v>1600</v>
      </c>
      <c r="K52" s="16">
        <v>500</v>
      </c>
      <c r="L52" s="728">
        <f t="shared" si="3"/>
        <v>0.3125</v>
      </c>
      <c r="M52" s="1"/>
    </row>
    <row r="53" spans="1:19" ht="15.75" thickBot="1" x14ac:dyDescent="0.3">
      <c r="A53" s="77">
        <v>312</v>
      </c>
      <c r="B53" s="161" t="s">
        <v>46</v>
      </c>
      <c r="C53" s="79">
        <f t="shared" ref="C53:J53" si="19">350+5600</f>
        <v>5950</v>
      </c>
      <c r="D53" s="79">
        <f t="shared" si="19"/>
        <v>5950</v>
      </c>
      <c r="E53" s="79">
        <f t="shared" si="19"/>
        <v>5950</v>
      </c>
      <c r="F53" s="79">
        <f t="shared" si="19"/>
        <v>5950</v>
      </c>
      <c r="G53" s="79">
        <f t="shared" si="19"/>
        <v>5950</v>
      </c>
      <c r="H53" s="79">
        <f t="shared" si="19"/>
        <v>5950</v>
      </c>
      <c r="I53" s="79">
        <f t="shared" si="19"/>
        <v>5950</v>
      </c>
      <c r="J53" s="79">
        <f t="shared" si="19"/>
        <v>5950</v>
      </c>
      <c r="K53" s="79">
        <v>1400</v>
      </c>
      <c r="L53" s="728">
        <f t="shared" si="3"/>
        <v>0.23529411764705882</v>
      </c>
      <c r="M53" s="1"/>
    </row>
    <row r="54" spans="1:19" x14ac:dyDescent="0.25">
      <c r="A54" s="71">
        <v>312</v>
      </c>
      <c r="B54" s="84" t="s">
        <v>347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781">
        <v>2000</v>
      </c>
      <c r="J54" s="16">
        <v>2000</v>
      </c>
      <c r="K54" s="16">
        <v>0</v>
      </c>
      <c r="L54" s="728">
        <f t="shared" si="3"/>
        <v>0</v>
      </c>
      <c r="M54" s="1"/>
    </row>
    <row r="55" spans="1:19" ht="15.75" thickBot="1" x14ac:dyDescent="0.3">
      <c r="A55" s="74">
        <v>312</v>
      </c>
      <c r="B55" s="81" t="s">
        <v>48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82">
        <v>4000</v>
      </c>
      <c r="J55" s="75">
        <v>4000</v>
      </c>
      <c r="K55" s="75">
        <v>0</v>
      </c>
      <c r="L55" s="728">
        <f t="shared" si="3"/>
        <v>0</v>
      </c>
      <c r="M55" s="1"/>
    </row>
    <row r="56" spans="1:19" x14ac:dyDescent="0.25">
      <c r="A56" s="71">
        <v>312</v>
      </c>
      <c r="B56" s="333" t="s">
        <v>49</v>
      </c>
      <c r="C56" s="82">
        <f>4800+810+40</f>
        <v>5650</v>
      </c>
      <c r="D56" s="697">
        <f t="shared" ref="D56:J56" si="20">5650-10-10</f>
        <v>5630</v>
      </c>
      <c r="E56" s="82">
        <f t="shared" si="20"/>
        <v>5630</v>
      </c>
      <c r="F56" s="82">
        <f t="shared" si="20"/>
        <v>5630</v>
      </c>
      <c r="G56" s="82">
        <f t="shared" si="20"/>
        <v>5630</v>
      </c>
      <c r="H56" s="82">
        <f t="shared" si="20"/>
        <v>5630</v>
      </c>
      <c r="I56" s="82">
        <f t="shared" si="20"/>
        <v>5630</v>
      </c>
      <c r="J56" s="82">
        <f t="shared" si="20"/>
        <v>5630</v>
      </c>
      <c r="K56" s="82">
        <v>5592</v>
      </c>
      <c r="L56" s="728">
        <f t="shared" si="3"/>
        <v>0.99325044404973362</v>
      </c>
      <c r="M56" s="27"/>
      <c r="N56" s="27"/>
      <c r="O56" s="27"/>
    </row>
    <row r="57" spans="1:19" x14ac:dyDescent="0.25">
      <c r="A57" s="83">
        <v>312</v>
      </c>
      <c r="B57" s="343" t="s">
        <v>50</v>
      </c>
      <c r="C57" s="21">
        <f>7050+300+110</f>
        <v>7460</v>
      </c>
      <c r="D57" s="693">
        <f t="shared" ref="D57:H57" si="21">7460+70</f>
        <v>7530</v>
      </c>
      <c r="E57" s="21">
        <f t="shared" si="21"/>
        <v>7530</v>
      </c>
      <c r="F57" s="21">
        <f t="shared" si="21"/>
        <v>7530</v>
      </c>
      <c r="G57" s="21">
        <f t="shared" si="21"/>
        <v>7530</v>
      </c>
      <c r="H57" s="21">
        <f t="shared" si="21"/>
        <v>7530</v>
      </c>
      <c r="I57" s="693">
        <f>7460+70+15</f>
        <v>7545</v>
      </c>
      <c r="J57" s="21">
        <f>7460+70+15</f>
        <v>7545</v>
      </c>
      <c r="K57" s="21">
        <v>313</v>
      </c>
      <c r="L57" s="728">
        <f t="shared" si="3"/>
        <v>4.1484426772697147E-2</v>
      </c>
      <c r="M57" s="27"/>
      <c r="N57" s="27"/>
      <c r="O57" s="27"/>
    </row>
    <row r="58" spans="1:19" x14ac:dyDescent="0.25">
      <c r="A58" s="83">
        <v>312</v>
      </c>
      <c r="B58" s="344" t="s">
        <v>502</v>
      </c>
      <c r="C58" s="33">
        <v>161700</v>
      </c>
      <c r="D58" s="698">
        <f>161700+3</f>
        <v>161703</v>
      </c>
      <c r="E58" s="33">
        <f>161700+3</f>
        <v>161703</v>
      </c>
      <c r="F58" s="698">
        <f>161700+3+3863</f>
        <v>165566</v>
      </c>
      <c r="G58" s="33">
        <f>161700+3+3863</f>
        <v>165566</v>
      </c>
      <c r="H58" s="33">
        <f>161700+3+3863</f>
        <v>165566</v>
      </c>
      <c r="I58" s="698">
        <f>161700+3+3863+1722</f>
        <v>167288</v>
      </c>
      <c r="J58" s="33">
        <f>161700+3+3863+1722</f>
        <v>167288</v>
      </c>
      <c r="K58" s="33">
        <v>56913</v>
      </c>
      <c r="L58" s="728">
        <f t="shared" si="3"/>
        <v>0.34020969824494285</v>
      </c>
      <c r="M58" s="27"/>
      <c r="N58" s="27"/>
      <c r="O58" s="27"/>
    </row>
    <row r="59" spans="1:19" x14ac:dyDescent="0.25">
      <c r="A59" s="71">
        <v>312</v>
      </c>
      <c r="B59" s="114" t="s">
        <v>249</v>
      </c>
      <c r="C59" s="16">
        <v>190000</v>
      </c>
      <c r="D59" s="16">
        <v>190000</v>
      </c>
      <c r="E59" s="16">
        <v>190000</v>
      </c>
      <c r="F59" s="16">
        <v>190000</v>
      </c>
      <c r="G59" s="16">
        <v>190000</v>
      </c>
      <c r="H59" s="16">
        <v>190000</v>
      </c>
      <c r="I59" s="16">
        <v>190000</v>
      </c>
      <c r="J59" s="16">
        <v>190000</v>
      </c>
      <c r="K59" s="16">
        <v>63979</v>
      </c>
      <c r="L59" s="728">
        <f t="shared" si="3"/>
        <v>0.33673157894736844</v>
      </c>
      <c r="M59" s="27"/>
    </row>
    <row r="60" spans="1:19" ht="15.75" thickBot="1" x14ac:dyDescent="0.3">
      <c r="A60" s="77">
        <v>312</v>
      </c>
      <c r="B60" s="161" t="s">
        <v>51</v>
      </c>
      <c r="C60" s="79">
        <v>58200</v>
      </c>
      <c r="D60" s="79">
        <v>58200</v>
      </c>
      <c r="E60" s="79">
        <v>58200</v>
      </c>
      <c r="F60" s="79">
        <v>58200</v>
      </c>
      <c r="G60" s="79">
        <v>58200</v>
      </c>
      <c r="H60" s="79">
        <v>58200</v>
      </c>
      <c r="I60" s="79">
        <v>58200</v>
      </c>
      <c r="J60" s="79">
        <v>58200</v>
      </c>
      <c r="K60" s="79">
        <v>25828</v>
      </c>
      <c r="L60" s="728">
        <f t="shared" si="3"/>
        <v>0.44378006872852233</v>
      </c>
      <c r="M60" s="27"/>
    </row>
    <row r="61" spans="1:19" x14ac:dyDescent="0.25">
      <c r="A61" s="71">
        <v>315</v>
      </c>
      <c r="B61" s="76" t="s">
        <v>47</v>
      </c>
      <c r="C61" s="16">
        <v>3000</v>
      </c>
      <c r="D61" s="16">
        <v>3000</v>
      </c>
      <c r="E61" s="16">
        <v>3000</v>
      </c>
      <c r="F61" s="16">
        <v>3000</v>
      </c>
      <c r="G61" s="16">
        <v>3000</v>
      </c>
      <c r="H61" s="16">
        <v>3000</v>
      </c>
      <c r="I61" s="16">
        <v>3000</v>
      </c>
      <c r="J61" s="16">
        <v>3000</v>
      </c>
      <c r="K61" s="16">
        <v>0</v>
      </c>
      <c r="L61" s="728">
        <f t="shared" si="3"/>
        <v>0</v>
      </c>
      <c r="M61" s="1"/>
    </row>
    <row r="62" spans="1:19" ht="15.75" thickBot="1" x14ac:dyDescent="0.3">
      <c r="A62" s="77">
        <v>315</v>
      </c>
      <c r="B62" s="78" t="s">
        <v>236</v>
      </c>
      <c r="C62" s="79">
        <v>300</v>
      </c>
      <c r="D62" s="79">
        <v>300</v>
      </c>
      <c r="E62" s="79">
        <v>300</v>
      </c>
      <c r="F62" s="79">
        <v>300</v>
      </c>
      <c r="G62" s="79">
        <v>300</v>
      </c>
      <c r="H62" s="79">
        <v>300</v>
      </c>
      <c r="I62" s="79">
        <v>300</v>
      </c>
      <c r="J62" s="79">
        <v>300</v>
      </c>
      <c r="K62" s="79">
        <v>100</v>
      </c>
      <c r="L62" s="728">
        <f t="shared" si="3"/>
        <v>0.33333333333333331</v>
      </c>
      <c r="M62" s="27">
        <f>SUM(G61:G62)</f>
        <v>3300</v>
      </c>
    </row>
    <row r="63" spans="1:19" ht="15.75" thickBot="1" x14ac:dyDescent="0.3">
      <c r="A63" s="514">
        <v>312</v>
      </c>
      <c r="B63" s="515" t="s">
        <v>307</v>
      </c>
      <c r="C63" s="519">
        <v>720000</v>
      </c>
      <c r="D63" s="724">
        <f>720000-1806+693</f>
        <v>718887</v>
      </c>
      <c r="E63" s="519">
        <f>720000-1806+693</f>
        <v>718887</v>
      </c>
      <c r="F63" s="724">
        <f>720000-1806+693-10639</f>
        <v>708248</v>
      </c>
      <c r="G63" s="519">
        <f>720000-1806+693-10639</f>
        <v>708248</v>
      </c>
      <c r="H63" s="519">
        <f>720000-1806+693-10639</f>
        <v>708248</v>
      </c>
      <c r="I63" s="724">
        <f>720000-1806+693-10639+3639</f>
        <v>711887</v>
      </c>
      <c r="J63" s="519">
        <f>720000-1806+693-10639+3639</f>
        <v>711887</v>
      </c>
      <c r="K63" s="519">
        <v>266956</v>
      </c>
      <c r="L63" s="728">
        <f t="shared" si="3"/>
        <v>0.37499771733435222</v>
      </c>
      <c r="M63" s="27">
        <f>SUM(J41:J60)+J63</f>
        <v>1321062</v>
      </c>
      <c r="N63" s="27">
        <f>SUM(K41:K60)+K63</f>
        <v>516122</v>
      </c>
      <c r="O63" s="27"/>
    </row>
    <row r="64" spans="1:19" ht="21" customHeight="1" thickBot="1" x14ac:dyDescent="0.3">
      <c r="A64" s="85" t="s">
        <v>52</v>
      </c>
      <c r="B64" s="345"/>
      <c r="C64" s="358">
        <f t="shared" ref="C64:K64" si="22">SUM(C3+C11+C31+C33+C39)</f>
        <v>2952875</v>
      </c>
      <c r="D64" s="358">
        <f t="shared" si="22"/>
        <v>2952547</v>
      </c>
      <c r="E64" s="358">
        <f t="shared" si="22"/>
        <v>2969657</v>
      </c>
      <c r="F64" s="358">
        <f t="shared" si="22"/>
        <v>2962881</v>
      </c>
      <c r="G64" s="358">
        <f t="shared" si="22"/>
        <v>2962881</v>
      </c>
      <c r="H64" s="358">
        <f t="shared" si="22"/>
        <v>2962881</v>
      </c>
      <c r="I64" s="358">
        <f t="shared" si="22"/>
        <v>2974837</v>
      </c>
      <c r="J64" s="358">
        <f t="shared" si="22"/>
        <v>2975761</v>
      </c>
      <c r="K64" s="358">
        <f t="shared" si="22"/>
        <v>1087820</v>
      </c>
      <c r="L64" s="728">
        <f t="shared" si="3"/>
        <v>0.36556027180946321</v>
      </c>
      <c r="M64" s="27">
        <f>D64-C64</f>
        <v>-328</v>
      </c>
      <c r="N64" s="27">
        <f>E64-D64</f>
        <v>17110</v>
      </c>
      <c r="O64" s="27">
        <f>F64-E64</f>
        <v>-6776</v>
      </c>
      <c r="P64" s="27">
        <f t="shared" ref="P64:S64" si="23">G64-F64</f>
        <v>0</v>
      </c>
      <c r="Q64" s="27">
        <f t="shared" si="23"/>
        <v>0</v>
      </c>
      <c r="R64" s="27">
        <f t="shared" si="23"/>
        <v>11956</v>
      </c>
      <c r="S64" s="27">
        <f t="shared" si="23"/>
        <v>924</v>
      </c>
    </row>
    <row r="65" spans="1:19" x14ac:dyDescent="0.25">
      <c r="A65" s="87" t="s">
        <v>53</v>
      </c>
      <c r="B65" s="88" t="s">
        <v>54</v>
      </c>
      <c r="C65" s="89">
        <f>1500</f>
        <v>1500</v>
      </c>
      <c r="D65" s="89">
        <f>1500</f>
        <v>1500</v>
      </c>
      <c r="E65" s="89">
        <f>1500</f>
        <v>1500</v>
      </c>
      <c r="F65" s="89">
        <f>1500</f>
        <v>1500</v>
      </c>
      <c r="G65" s="89">
        <f>1500</f>
        <v>1500</v>
      </c>
      <c r="H65" s="89">
        <f>1500</f>
        <v>1500</v>
      </c>
      <c r="I65" s="89">
        <f>1500</f>
        <v>1500</v>
      </c>
      <c r="J65" s="89">
        <f>1500</f>
        <v>1500</v>
      </c>
      <c r="K65" s="89">
        <v>0</v>
      </c>
      <c r="L65" s="728">
        <f t="shared" si="3"/>
        <v>0</v>
      </c>
      <c r="M65" s="1"/>
      <c r="N65" s="1"/>
      <c r="O65" s="1"/>
      <c r="P65" s="1"/>
      <c r="Q65" s="1"/>
      <c r="R65" s="1"/>
      <c r="S65" s="1"/>
    </row>
    <row r="66" spans="1:19" ht="15.75" thickBot="1" x14ac:dyDescent="0.3">
      <c r="A66" s="90" t="s">
        <v>53</v>
      </c>
      <c r="B66" s="88" t="s">
        <v>55</v>
      </c>
      <c r="C66" s="91">
        <v>3600</v>
      </c>
      <c r="D66" s="91">
        <v>3600</v>
      </c>
      <c r="E66" s="91">
        <v>3600</v>
      </c>
      <c r="F66" s="91">
        <v>3600</v>
      </c>
      <c r="G66" s="91">
        <v>3600</v>
      </c>
      <c r="H66" s="91">
        <v>3600</v>
      </c>
      <c r="I66" s="91">
        <v>3600</v>
      </c>
      <c r="J66" s="91">
        <v>3600</v>
      </c>
      <c r="K66" s="91">
        <v>1092</v>
      </c>
      <c r="L66" s="728">
        <f t="shared" si="3"/>
        <v>0.30333333333333334</v>
      </c>
      <c r="M66" s="1"/>
      <c r="N66" s="1"/>
      <c r="O66" s="1"/>
      <c r="P66" s="1"/>
      <c r="Q66" s="1"/>
      <c r="R66" s="1"/>
      <c r="S66" s="1"/>
    </row>
    <row r="67" spans="1:19" ht="19.899999999999999" customHeight="1" thickBot="1" x14ac:dyDescent="0.3">
      <c r="A67" s="894" t="s">
        <v>57</v>
      </c>
      <c r="B67" s="895"/>
      <c r="C67" s="95">
        <f t="shared" ref="C67:K67" si="24">SUM(C65:C66)</f>
        <v>5100</v>
      </c>
      <c r="D67" s="95">
        <f t="shared" si="24"/>
        <v>5100</v>
      </c>
      <c r="E67" s="95">
        <f t="shared" si="24"/>
        <v>5100</v>
      </c>
      <c r="F67" s="95">
        <f t="shared" si="24"/>
        <v>5100</v>
      </c>
      <c r="G67" s="95">
        <f t="shared" si="24"/>
        <v>5100</v>
      </c>
      <c r="H67" s="95">
        <f t="shared" si="24"/>
        <v>5100</v>
      </c>
      <c r="I67" s="95">
        <f t="shared" ref="I67" si="25">SUM(I65:I66)</f>
        <v>5100</v>
      </c>
      <c r="J67" s="95">
        <f t="shared" ref="J67" si="26">SUM(J65:J66)</f>
        <v>5100</v>
      </c>
      <c r="K67" s="95">
        <f t="shared" si="24"/>
        <v>1092</v>
      </c>
      <c r="L67" s="728">
        <f t="shared" si="3"/>
        <v>0.21411764705882352</v>
      </c>
      <c r="M67" s="27">
        <f>D67-C67</f>
        <v>0</v>
      </c>
      <c r="N67" s="27">
        <f>E67-D67</f>
        <v>0</v>
      </c>
      <c r="O67" s="27">
        <f>F67-E67</f>
        <v>0</v>
      </c>
      <c r="P67" s="27">
        <f t="shared" ref="P67:S67" si="27">G67-F67</f>
        <v>0</v>
      </c>
      <c r="Q67" s="27">
        <f t="shared" si="27"/>
        <v>0</v>
      </c>
      <c r="R67" s="27">
        <f t="shared" si="27"/>
        <v>0</v>
      </c>
      <c r="S67" s="27">
        <f t="shared" si="27"/>
        <v>0</v>
      </c>
    </row>
    <row r="68" spans="1:19" ht="16.5" thickBot="1" x14ac:dyDescent="0.3">
      <c r="A68" s="96" t="s">
        <v>53</v>
      </c>
      <c r="B68" s="97" t="s">
        <v>58</v>
      </c>
      <c r="C68" s="418">
        <v>13600</v>
      </c>
      <c r="D68" s="418">
        <v>13600</v>
      </c>
      <c r="E68" s="418">
        <v>13600</v>
      </c>
      <c r="F68" s="418">
        <v>13600</v>
      </c>
      <c r="G68" s="418">
        <v>13600</v>
      </c>
      <c r="H68" s="418">
        <v>13600</v>
      </c>
      <c r="I68" s="418">
        <v>13600</v>
      </c>
      <c r="J68" s="418">
        <v>13600</v>
      </c>
      <c r="K68" s="418">
        <v>6775</v>
      </c>
      <c r="L68" s="728">
        <f t="shared" ref="L68:L131" si="28">K68/J68</f>
        <v>0.49816176470588236</v>
      </c>
      <c r="M68" s="103"/>
      <c r="N68" s="103"/>
      <c r="O68" s="103"/>
      <c r="P68" s="103"/>
      <c r="Q68" s="103"/>
      <c r="R68" s="103"/>
      <c r="S68" s="103"/>
    </row>
    <row r="69" spans="1:19" ht="21" customHeight="1" thickBot="1" x14ac:dyDescent="0.3">
      <c r="A69" s="894" t="s">
        <v>217</v>
      </c>
      <c r="B69" s="895"/>
      <c r="C69" s="414">
        <f t="shared" ref="C69:K69" si="29">SUM(C68:C68)</f>
        <v>13600</v>
      </c>
      <c r="D69" s="414">
        <f t="shared" si="29"/>
        <v>13600</v>
      </c>
      <c r="E69" s="414">
        <f t="shared" si="29"/>
        <v>13600</v>
      </c>
      <c r="F69" s="414">
        <f t="shared" si="29"/>
        <v>13600</v>
      </c>
      <c r="G69" s="414">
        <f t="shared" si="29"/>
        <v>13600</v>
      </c>
      <c r="H69" s="414">
        <f t="shared" si="29"/>
        <v>13600</v>
      </c>
      <c r="I69" s="414">
        <f t="shared" ref="I69" si="30">SUM(I68:I68)</f>
        <v>13600</v>
      </c>
      <c r="J69" s="414">
        <f t="shared" ref="J69" si="31">SUM(J68:J68)</f>
        <v>13600</v>
      </c>
      <c r="K69" s="414">
        <f t="shared" si="29"/>
        <v>6775</v>
      </c>
      <c r="L69" s="728">
        <f t="shared" si="28"/>
        <v>0.49816176470588236</v>
      </c>
      <c r="M69" s="27">
        <f t="shared" ref="M69:O71" si="32">D69-C69</f>
        <v>0</v>
      </c>
      <c r="N69" s="27">
        <f t="shared" si="32"/>
        <v>0</v>
      </c>
      <c r="O69" s="27">
        <f t="shared" si="32"/>
        <v>0</v>
      </c>
      <c r="P69" s="27">
        <f t="shared" ref="P69:S71" si="33">G69-F69</f>
        <v>0</v>
      </c>
      <c r="Q69" s="27">
        <f t="shared" si="33"/>
        <v>0</v>
      </c>
      <c r="R69" s="27">
        <f t="shared" si="33"/>
        <v>0</v>
      </c>
      <c r="S69" s="27">
        <f t="shared" si="33"/>
        <v>0</v>
      </c>
    </row>
    <row r="70" spans="1:19" ht="19.5" customHeight="1" thickBot="1" x14ac:dyDescent="0.3">
      <c r="A70" s="896" t="s">
        <v>59</v>
      </c>
      <c r="B70" s="897"/>
      <c r="C70" s="99">
        <f t="shared" ref="C70:K70" si="34">C67+C69</f>
        <v>18700</v>
      </c>
      <c r="D70" s="99">
        <f t="shared" si="34"/>
        <v>18700</v>
      </c>
      <c r="E70" s="99">
        <f t="shared" si="34"/>
        <v>18700</v>
      </c>
      <c r="F70" s="99">
        <f t="shared" si="34"/>
        <v>18700</v>
      </c>
      <c r="G70" s="99">
        <f t="shared" si="34"/>
        <v>18700</v>
      </c>
      <c r="H70" s="99">
        <f t="shared" si="34"/>
        <v>18700</v>
      </c>
      <c r="I70" s="99">
        <f t="shared" ref="I70" si="35">I67+I69</f>
        <v>18700</v>
      </c>
      <c r="J70" s="99">
        <f t="shared" ref="J70" si="36">J67+J69</f>
        <v>18700</v>
      </c>
      <c r="K70" s="99">
        <f t="shared" si="34"/>
        <v>7867</v>
      </c>
      <c r="L70" s="728">
        <f t="shared" si="28"/>
        <v>0.42069518716577542</v>
      </c>
      <c r="M70" s="27">
        <f t="shared" si="32"/>
        <v>0</v>
      </c>
      <c r="N70" s="27">
        <f t="shared" si="32"/>
        <v>0</v>
      </c>
      <c r="O70" s="27">
        <f t="shared" si="32"/>
        <v>0</v>
      </c>
      <c r="P70" s="27">
        <f t="shared" si="33"/>
        <v>0</v>
      </c>
      <c r="Q70" s="27">
        <f t="shared" si="33"/>
        <v>0</v>
      </c>
      <c r="R70" s="27">
        <f t="shared" si="33"/>
        <v>0</v>
      </c>
      <c r="S70" s="27">
        <f t="shared" si="33"/>
        <v>0</v>
      </c>
    </row>
    <row r="71" spans="1:19" ht="30.75" customHeight="1" thickBot="1" x14ac:dyDescent="0.3">
      <c r="A71" s="85" t="s">
        <v>60</v>
      </c>
      <c r="B71" s="66"/>
      <c r="C71" s="86">
        <f t="shared" ref="C71:K71" si="37">C64+C70</f>
        <v>2971575</v>
      </c>
      <c r="D71" s="86">
        <f t="shared" si="37"/>
        <v>2971247</v>
      </c>
      <c r="E71" s="86">
        <f t="shared" si="37"/>
        <v>2988357</v>
      </c>
      <c r="F71" s="86">
        <f t="shared" si="37"/>
        <v>2981581</v>
      </c>
      <c r="G71" s="86">
        <f t="shared" si="37"/>
        <v>2981581</v>
      </c>
      <c r="H71" s="86">
        <f t="shared" si="37"/>
        <v>2981581</v>
      </c>
      <c r="I71" s="86">
        <f t="shared" ref="I71" si="38">I64+I70</f>
        <v>2993537</v>
      </c>
      <c r="J71" s="86">
        <f t="shared" ref="J71" si="39">J64+J70</f>
        <v>2994461</v>
      </c>
      <c r="K71" s="86">
        <f t="shared" si="37"/>
        <v>1095687</v>
      </c>
      <c r="L71" s="728">
        <f t="shared" si="28"/>
        <v>0.36590458182624519</v>
      </c>
      <c r="M71" s="27">
        <f t="shared" si="32"/>
        <v>-328</v>
      </c>
      <c r="N71" s="27">
        <f t="shared" si="32"/>
        <v>17110</v>
      </c>
      <c r="O71" s="27">
        <f t="shared" si="32"/>
        <v>-6776</v>
      </c>
      <c r="P71" s="27">
        <f t="shared" si="33"/>
        <v>0</v>
      </c>
      <c r="Q71" s="27">
        <f t="shared" si="33"/>
        <v>0</v>
      </c>
      <c r="R71" s="27">
        <f t="shared" si="33"/>
        <v>11956</v>
      </c>
      <c r="S71" s="27">
        <f t="shared" si="33"/>
        <v>924</v>
      </c>
    </row>
    <row r="72" spans="1:19" x14ac:dyDescent="0.25">
      <c r="A72" s="1"/>
      <c r="B72" s="1"/>
      <c r="C72" s="100"/>
      <c r="D72" s="100"/>
      <c r="E72" s="100"/>
      <c r="F72" s="100"/>
      <c r="G72" s="100"/>
      <c r="H72" s="100"/>
      <c r="I72" s="100"/>
      <c r="J72" s="100"/>
      <c r="K72" s="100"/>
      <c r="L72" s="728"/>
      <c r="M72" s="1"/>
    </row>
    <row r="73" spans="1:19" ht="15.75" x14ac:dyDescent="0.25">
      <c r="A73" s="101"/>
      <c r="B73" s="102"/>
      <c r="C73" s="103"/>
      <c r="D73" s="103"/>
      <c r="E73" s="103"/>
      <c r="F73" s="103"/>
      <c r="G73" s="103"/>
      <c r="H73" s="103"/>
      <c r="I73" s="103"/>
      <c r="J73" s="103"/>
      <c r="K73" s="103"/>
      <c r="L73" s="728"/>
      <c r="M73" s="1"/>
    </row>
    <row r="74" spans="1:19" ht="18.75" thickBot="1" x14ac:dyDescent="0.3">
      <c r="A74" s="898" t="s">
        <v>61</v>
      </c>
      <c r="B74" s="899"/>
      <c r="C74" s="899"/>
      <c r="D74" s="899"/>
      <c r="E74" s="899"/>
      <c r="F74" s="899"/>
      <c r="G74" s="899"/>
      <c r="H74" s="899"/>
      <c r="I74" s="899"/>
      <c r="J74" s="899"/>
      <c r="K74" s="899"/>
      <c r="L74" s="728"/>
      <c r="M74" s="1"/>
    </row>
    <row r="75" spans="1:19" ht="36" customHeight="1" thickBot="1" x14ac:dyDescent="0.3">
      <c r="A75" s="876" t="s">
        <v>1</v>
      </c>
      <c r="B75" s="900"/>
      <c r="C75" s="387" t="s">
        <v>467</v>
      </c>
      <c r="D75" s="387" t="s">
        <v>465</v>
      </c>
      <c r="E75" s="387" t="s">
        <v>483</v>
      </c>
      <c r="F75" s="387" t="s">
        <v>500</v>
      </c>
      <c r="G75" s="387" t="s">
        <v>533</v>
      </c>
      <c r="H75" s="387" t="s">
        <v>578</v>
      </c>
      <c r="I75" s="387" t="s">
        <v>610</v>
      </c>
      <c r="J75" s="387" t="s">
        <v>579</v>
      </c>
      <c r="K75" s="387" t="s">
        <v>633</v>
      </c>
      <c r="L75" s="728"/>
      <c r="M75" s="1"/>
    </row>
    <row r="76" spans="1:19" ht="15.75" thickBot="1" x14ac:dyDescent="0.3">
      <c r="A76" s="104" t="s">
        <v>62</v>
      </c>
      <c r="B76" s="105"/>
      <c r="C76" s="108">
        <f t="shared" ref="C76:K76" si="40">SUM(C77:C81)</f>
        <v>317110</v>
      </c>
      <c r="D76" s="108">
        <f t="shared" si="40"/>
        <v>317090</v>
      </c>
      <c r="E76" s="108">
        <f t="shared" si="40"/>
        <v>317090</v>
      </c>
      <c r="F76" s="108">
        <f t="shared" si="40"/>
        <v>317090</v>
      </c>
      <c r="G76" s="108">
        <f t="shared" si="40"/>
        <v>317090</v>
      </c>
      <c r="H76" s="108">
        <f t="shared" si="40"/>
        <v>317090</v>
      </c>
      <c r="I76" s="108">
        <f t="shared" ref="I76" si="41">SUM(I77:I81)</f>
        <v>317090</v>
      </c>
      <c r="J76" s="108">
        <f t="shared" ref="J76" si="42">SUM(J77:J81)</f>
        <v>317090</v>
      </c>
      <c r="K76" s="108">
        <f t="shared" si="40"/>
        <v>86035</v>
      </c>
      <c r="L76" s="728">
        <f t="shared" si="28"/>
        <v>0.27132675265697437</v>
      </c>
      <c r="M76" s="1"/>
    </row>
    <row r="77" spans="1:19" x14ac:dyDescent="0.25">
      <c r="A77" s="109" t="s">
        <v>63</v>
      </c>
      <c r="B77" s="84" t="s">
        <v>64</v>
      </c>
      <c r="C77" s="56">
        <v>155310</v>
      </c>
      <c r="D77" s="56">
        <v>155310</v>
      </c>
      <c r="E77" s="56">
        <v>155310</v>
      </c>
      <c r="F77" s="56">
        <v>155310</v>
      </c>
      <c r="G77" s="56">
        <v>155310</v>
      </c>
      <c r="H77" s="56">
        <v>155310</v>
      </c>
      <c r="I77" s="56">
        <v>155310</v>
      </c>
      <c r="J77" s="56">
        <v>155310</v>
      </c>
      <c r="K77" s="56">
        <v>35391</v>
      </c>
      <c r="L77" s="728">
        <f t="shared" si="28"/>
        <v>0.22787328568669113</v>
      </c>
      <c r="M77" s="1"/>
    </row>
    <row r="78" spans="1:19" x14ac:dyDescent="0.25">
      <c r="A78" s="113" t="s">
        <v>65</v>
      </c>
      <c r="B78" s="114" t="s">
        <v>66</v>
      </c>
      <c r="C78" s="61">
        <v>91700</v>
      </c>
      <c r="D78" s="61">
        <v>91700</v>
      </c>
      <c r="E78" s="61">
        <v>91700</v>
      </c>
      <c r="F78" s="61">
        <v>91700</v>
      </c>
      <c r="G78" s="61">
        <v>91700</v>
      </c>
      <c r="H78" s="61">
        <v>91700</v>
      </c>
      <c r="I78" s="61">
        <v>91700</v>
      </c>
      <c r="J78" s="61">
        <v>91700</v>
      </c>
      <c r="K78" s="61">
        <v>34105</v>
      </c>
      <c r="L78" s="728">
        <f t="shared" si="28"/>
        <v>0.37191930207197382</v>
      </c>
      <c r="M78" s="1"/>
    </row>
    <row r="79" spans="1:19" x14ac:dyDescent="0.25">
      <c r="A79" s="113" t="s">
        <v>67</v>
      </c>
      <c r="B79" s="114" t="s">
        <v>68</v>
      </c>
      <c r="C79" s="61">
        <v>5200</v>
      </c>
      <c r="D79" s="61">
        <v>5200</v>
      </c>
      <c r="E79" s="61">
        <v>5200</v>
      </c>
      <c r="F79" s="61">
        <v>5200</v>
      </c>
      <c r="G79" s="61">
        <v>5200</v>
      </c>
      <c r="H79" s="61">
        <v>5200</v>
      </c>
      <c r="I79" s="61">
        <v>5200</v>
      </c>
      <c r="J79" s="61">
        <v>5200</v>
      </c>
      <c r="K79" s="61">
        <v>615</v>
      </c>
      <c r="L79" s="728">
        <f t="shared" si="28"/>
        <v>0.11826923076923077</v>
      </c>
      <c r="M79" s="1"/>
    </row>
    <row r="80" spans="1:19" x14ac:dyDescent="0.25">
      <c r="A80" s="117" t="s">
        <v>69</v>
      </c>
      <c r="B80" s="114" t="s">
        <v>70</v>
      </c>
      <c r="C80" s="61">
        <v>64900</v>
      </c>
      <c r="D80" s="695">
        <f t="shared" ref="D80:J80" si="43">64900-10-10</f>
        <v>64880</v>
      </c>
      <c r="E80" s="61">
        <f t="shared" si="43"/>
        <v>64880</v>
      </c>
      <c r="F80" s="61">
        <f t="shared" si="43"/>
        <v>64880</v>
      </c>
      <c r="G80" s="61">
        <f t="shared" si="43"/>
        <v>64880</v>
      </c>
      <c r="H80" s="61">
        <f t="shared" si="43"/>
        <v>64880</v>
      </c>
      <c r="I80" s="61">
        <f t="shared" si="43"/>
        <v>64880</v>
      </c>
      <c r="J80" s="61">
        <f t="shared" si="43"/>
        <v>64880</v>
      </c>
      <c r="K80" s="61">
        <v>15924</v>
      </c>
      <c r="L80" s="728">
        <f t="shared" si="28"/>
        <v>0.24543773119605425</v>
      </c>
      <c r="M80" s="1"/>
    </row>
    <row r="81" spans="1:13" ht="15.75" thickBot="1" x14ac:dyDescent="0.3">
      <c r="A81" s="119" t="s">
        <v>71</v>
      </c>
      <c r="B81" s="120" t="s">
        <v>196</v>
      </c>
      <c r="C81" s="124">
        <v>0</v>
      </c>
      <c r="D81" s="124">
        <v>0</v>
      </c>
      <c r="E81" s="124">
        <v>0</v>
      </c>
      <c r="F81" s="124">
        <v>0</v>
      </c>
      <c r="G81" s="124">
        <v>0</v>
      </c>
      <c r="H81" s="124">
        <v>0</v>
      </c>
      <c r="I81" s="124">
        <v>0</v>
      </c>
      <c r="J81" s="124">
        <v>0</v>
      </c>
      <c r="K81" s="124">
        <v>0</v>
      </c>
      <c r="L81" s="728">
        <v>0</v>
      </c>
      <c r="M81" s="1"/>
    </row>
    <row r="82" spans="1:13" ht="15.75" thickBot="1" x14ac:dyDescent="0.3">
      <c r="A82" s="125" t="s">
        <v>72</v>
      </c>
      <c r="B82" s="126"/>
      <c r="C82" s="108">
        <f t="shared" ref="C82:K82" si="44">SUM(C83)</f>
        <v>2670</v>
      </c>
      <c r="D82" s="108">
        <f t="shared" si="44"/>
        <v>2685</v>
      </c>
      <c r="E82" s="108">
        <f t="shared" si="44"/>
        <v>2685</v>
      </c>
      <c r="F82" s="108">
        <f t="shared" si="44"/>
        <v>2685</v>
      </c>
      <c r="G82" s="108">
        <f t="shared" si="44"/>
        <v>2685</v>
      </c>
      <c r="H82" s="108">
        <f t="shared" si="44"/>
        <v>2685</v>
      </c>
      <c r="I82" s="108">
        <f t="shared" si="44"/>
        <v>2685</v>
      </c>
      <c r="J82" s="108">
        <f t="shared" si="44"/>
        <v>2685</v>
      </c>
      <c r="K82" s="108">
        <f t="shared" si="44"/>
        <v>338</v>
      </c>
      <c r="L82" s="728">
        <f t="shared" si="28"/>
        <v>0.12588454376163874</v>
      </c>
      <c r="M82" s="1"/>
    </row>
    <row r="83" spans="1:13" ht="15.75" thickBot="1" x14ac:dyDescent="0.3">
      <c r="A83" s="127" t="s">
        <v>73</v>
      </c>
      <c r="B83" s="102" t="s">
        <v>219</v>
      </c>
      <c r="C83" s="130">
        <v>2670</v>
      </c>
      <c r="D83" s="713">
        <f t="shared" ref="D83:J83" si="45">2670+15</f>
        <v>2685</v>
      </c>
      <c r="E83" s="130">
        <f t="shared" si="45"/>
        <v>2685</v>
      </c>
      <c r="F83" s="130">
        <f t="shared" si="45"/>
        <v>2685</v>
      </c>
      <c r="G83" s="130">
        <f t="shared" si="45"/>
        <v>2685</v>
      </c>
      <c r="H83" s="130">
        <f t="shared" si="45"/>
        <v>2685</v>
      </c>
      <c r="I83" s="130">
        <f t="shared" si="45"/>
        <v>2685</v>
      </c>
      <c r="J83" s="130">
        <f t="shared" si="45"/>
        <v>2685</v>
      </c>
      <c r="K83" s="130">
        <v>338</v>
      </c>
      <c r="L83" s="728">
        <f t="shared" si="28"/>
        <v>0.12588454376163874</v>
      </c>
      <c r="M83" s="1"/>
    </row>
    <row r="84" spans="1:13" ht="15.75" thickBot="1" x14ac:dyDescent="0.3">
      <c r="A84" s="125" t="s">
        <v>74</v>
      </c>
      <c r="B84" s="126"/>
      <c r="C84" s="108">
        <f t="shared" ref="C84:K84" si="46">SUM(C85:C86)</f>
        <v>96625</v>
      </c>
      <c r="D84" s="108">
        <f t="shared" si="46"/>
        <v>97008</v>
      </c>
      <c r="E84" s="108">
        <f t="shared" si="46"/>
        <v>94508</v>
      </c>
      <c r="F84" s="108">
        <f t="shared" si="46"/>
        <v>94508</v>
      </c>
      <c r="G84" s="108">
        <f t="shared" si="46"/>
        <v>94508</v>
      </c>
      <c r="H84" s="108">
        <f t="shared" si="46"/>
        <v>94508</v>
      </c>
      <c r="I84" s="108">
        <f t="shared" ref="I84" si="47">SUM(I85:I86)</f>
        <v>94508</v>
      </c>
      <c r="J84" s="108">
        <f t="shared" ref="J84" si="48">SUM(J85:J86)</f>
        <v>94508</v>
      </c>
      <c r="K84" s="108">
        <f t="shared" si="46"/>
        <v>19415</v>
      </c>
      <c r="L84" s="728">
        <f t="shared" si="28"/>
        <v>0.20543234435180091</v>
      </c>
      <c r="M84" s="1"/>
    </row>
    <row r="85" spans="1:13" x14ac:dyDescent="0.25">
      <c r="A85" s="131" t="s">
        <v>75</v>
      </c>
      <c r="B85" s="132" t="s">
        <v>76</v>
      </c>
      <c r="C85" s="135">
        <v>17600</v>
      </c>
      <c r="D85" s="135">
        <v>17600</v>
      </c>
      <c r="E85" s="759">
        <f t="shared" ref="E85:J85" si="49">17600-2500</f>
        <v>15100</v>
      </c>
      <c r="F85" s="135">
        <f t="shared" si="49"/>
        <v>15100</v>
      </c>
      <c r="G85" s="135">
        <f t="shared" si="49"/>
        <v>15100</v>
      </c>
      <c r="H85" s="135">
        <f t="shared" si="49"/>
        <v>15100</v>
      </c>
      <c r="I85" s="135">
        <f t="shared" si="49"/>
        <v>15100</v>
      </c>
      <c r="J85" s="135">
        <f t="shared" si="49"/>
        <v>15100</v>
      </c>
      <c r="K85" s="135">
        <v>1294</v>
      </c>
      <c r="L85" s="728">
        <f t="shared" si="28"/>
        <v>8.5695364238410593E-2</v>
      </c>
      <c r="M85" s="1"/>
    </row>
    <row r="86" spans="1:13" ht="15.75" thickBot="1" x14ac:dyDescent="0.3">
      <c r="A86" s="136" t="s">
        <v>77</v>
      </c>
      <c r="B86" s="137" t="s">
        <v>78</v>
      </c>
      <c r="C86" s="124">
        <v>79025</v>
      </c>
      <c r="D86" s="714">
        <f t="shared" ref="D86:J86" si="50">79025+383</f>
        <v>79408</v>
      </c>
      <c r="E86" s="124">
        <f t="shared" si="50"/>
        <v>79408</v>
      </c>
      <c r="F86" s="124">
        <f t="shared" si="50"/>
        <v>79408</v>
      </c>
      <c r="G86" s="124">
        <f t="shared" si="50"/>
        <v>79408</v>
      </c>
      <c r="H86" s="124">
        <f t="shared" si="50"/>
        <v>79408</v>
      </c>
      <c r="I86" s="124">
        <f t="shared" si="50"/>
        <v>79408</v>
      </c>
      <c r="J86" s="124">
        <f t="shared" si="50"/>
        <v>79408</v>
      </c>
      <c r="K86" s="124">
        <v>18121</v>
      </c>
      <c r="L86" s="728">
        <f t="shared" si="28"/>
        <v>0.22820118879709853</v>
      </c>
      <c r="M86" s="1"/>
    </row>
    <row r="87" spans="1:13" ht="15.75" thickBot="1" x14ac:dyDescent="0.3">
      <c r="A87" s="104" t="s">
        <v>79</v>
      </c>
      <c r="B87" s="140"/>
      <c r="C87" s="108">
        <f t="shared" ref="C87:K87" si="51">SUM(C88:C90)</f>
        <v>122230</v>
      </c>
      <c r="D87" s="108">
        <f t="shared" si="51"/>
        <v>122300</v>
      </c>
      <c r="E87" s="108">
        <f t="shared" si="51"/>
        <v>122300</v>
      </c>
      <c r="F87" s="108">
        <f t="shared" si="51"/>
        <v>122300</v>
      </c>
      <c r="G87" s="108">
        <f t="shared" si="51"/>
        <v>117000</v>
      </c>
      <c r="H87" s="108">
        <f t="shared" si="51"/>
        <v>117000</v>
      </c>
      <c r="I87" s="108">
        <f t="shared" ref="I87" si="52">SUM(I88:I90)</f>
        <v>117015</v>
      </c>
      <c r="J87" s="108">
        <f t="shared" ref="J87" si="53">SUM(J88:J90)</f>
        <v>117015</v>
      </c>
      <c r="K87" s="108">
        <f t="shared" si="51"/>
        <v>28869</v>
      </c>
      <c r="L87" s="728">
        <f t="shared" si="28"/>
        <v>0.24671196000512755</v>
      </c>
      <c r="M87" s="1"/>
    </row>
    <row r="88" spans="1:13" x14ac:dyDescent="0.25">
      <c r="A88" s="141" t="s">
        <v>80</v>
      </c>
      <c r="B88" s="142" t="s">
        <v>81</v>
      </c>
      <c r="C88" s="55">
        <v>44750</v>
      </c>
      <c r="D88" s="55">
        <v>44750</v>
      </c>
      <c r="E88" s="55">
        <v>44750</v>
      </c>
      <c r="F88" s="55">
        <v>44750</v>
      </c>
      <c r="G88" s="55">
        <v>44750</v>
      </c>
      <c r="H88" s="55">
        <v>44750</v>
      </c>
      <c r="I88" s="55">
        <v>44750</v>
      </c>
      <c r="J88" s="55">
        <v>44750</v>
      </c>
      <c r="K88" s="55">
        <v>9459</v>
      </c>
      <c r="L88" s="728">
        <f t="shared" si="28"/>
        <v>0.21137430167597765</v>
      </c>
      <c r="M88" s="1"/>
    </row>
    <row r="89" spans="1:13" x14ac:dyDescent="0.25">
      <c r="A89" s="117" t="s">
        <v>82</v>
      </c>
      <c r="B89" s="114" t="s">
        <v>83</v>
      </c>
      <c r="C89" s="60">
        <v>39680</v>
      </c>
      <c r="D89" s="694">
        <f>39680+70</f>
        <v>39750</v>
      </c>
      <c r="E89" s="60">
        <f>39680+70</f>
        <v>39750</v>
      </c>
      <c r="F89" s="60">
        <f>39680+70</f>
        <v>39750</v>
      </c>
      <c r="G89" s="694">
        <f>39680+70-5300</f>
        <v>34450</v>
      </c>
      <c r="H89" s="60">
        <f>39680+70-5300</f>
        <v>34450</v>
      </c>
      <c r="I89" s="694">
        <f>39680+70-5300+15</f>
        <v>34465</v>
      </c>
      <c r="J89" s="60">
        <f>39680+70-5300+15</f>
        <v>34465</v>
      </c>
      <c r="K89" s="60">
        <v>7642</v>
      </c>
      <c r="L89" s="728">
        <f t="shared" si="28"/>
        <v>0.22173219207892064</v>
      </c>
      <c r="M89" s="1"/>
    </row>
    <row r="90" spans="1:13" ht="15.75" thickBot="1" x14ac:dyDescent="0.3">
      <c r="A90" s="117" t="s">
        <v>84</v>
      </c>
      <c r="B90" s="114" t="s">
        <v>85</v>
      </c>
      <c r="C90" s="60">
        <v>37800</v>
      </c>
      <c r="D90" s="60">
        <v>37800</v>
      </c>
      <c r="E90" s="60">
        <v>37800</v>
      </c>
      <c r="F90" s="60">
        <v>37800</v>
      </c>
      <c r="G90" s="60">
        <v>37800</v>
      </c>
      <c r="H90" s="60">
        <v>37800</v>
      </c>
      <c r="I90" s="60">
        <v>37800</v>
      </c>
      <c r="J90" s="60">
        <v>37800</v>
      </c>
      <c r="K90" s="60">
        <v>11768</v>
      </c>
      <c r="L90" s="728">
        <f t="shared" si="28"/>
        <v>0.31132275132275133</v>
      </c>
      <c r="M90" s="1"/>
    </row>
    <row r="91" spans="1:13" ht="15.75" thickBot="1" x14ac:dyDescent="0.3">
      <c r="A91" s="901" t="s">
        <v>86</v>
      </c>
      <c r="B91" s="902"/>
      <c r="C91" s="108">
        <f t="shared" ref="C91:K91" si="54">SUM(C92:C95)</f>
        <v>148830</v>
      </c>
      <c r="D91" s="108">
        <f t="shared" si="54"/>
        <v>148830</v>
      </c>
      <c r="E91" s="108">
        <f t="shared" si="54"/>
        <v>173440</v>
      </c>
      <c r="F91" s="108">
        <f t="shared" si="54"/>
        <v>173440</v>
      </c>
      <c r="G91" s="108">
        <f t="shared" si="54"/>
        <v>173440</v>
      </c>
      <c r="H91" s="108">
        <f t="shared" si="54"/>
        <v>173440</v>
      </c>
      <c r="I91" s="108">
        <f t="shared" ref="I91" si="55">SUM(I92:I95)</f>
        <v>173440</v>
      </c>
      <c r="J91" s="108">
        <f t="shared" ref="J91" si="56">SUM(J92:J95)</f>
        <v>173440</v>
      </c>
      <c r="K91" s="108">
        <f t="shared" si="54"/>
        <v>38903</v>
      </c>
      <c r="L91" s="728">
        <f t="shared" si="28"/>
        <v>0.22430235239852397</v>
      </c>
      <c r="M91" s="1"/>
    </row>
    <row r="92" spans="1:13" x14ac:dyDescent="0.25">
      <c r="A92" s="149" t="s">
        <v>87</v>
      </c>
      <c r="B92" s="150" t="s">
        <v>88</v>
      </c>
      <c r="C92" s="135">
        <v>95830</v>
      </c>
      <c r="D92" s="135">
        <v>95830</v>
      </c>
      <c r="E92" s="135">
        <v>95830</v>
      </c>
      <c r="F92" s="135">
        <v>95830</v>
      </c>
      <c r="G92" s="135">
        <v>95830</v>
      </c>
      <c r="H92" s="135">
        <v>95830</v>
      </c>
      <c r="I92" s="135">
        <v>95830</v>
      </c>
      <c r="J92" s="135">
        <v>95830</v>
      </c>
      <c r="K92" s="135">
        <v>22108</v>
      </c>
      <c r="L92" s="728">
        <f t="shared" si="28"/>
        <v>0.23070019826776583</v>
      </c>
      <c r="M92" s="1"/>
    </row>
    <row r="93" spans="1:13" x14ac:dyDescent="0.25">
      <c r="A93" s="117" t="s">
        <v>89</v>
      </c>
      <c r="B93" s="114" t="s">
        <v>90</v>
      </c>
      <c r="C93" s="148">
        <v>39000</v>
      </c>
      <c r="D93" s="148">
        <v>39000</v>
      </c>
      <c r="E93" s="757">
        <f t="shared" ref="E93:J93" si="57">39000-1575</f>
        <v>37425</v>
      </c>
      <c r="F93" s="148">
        <f t="shared" si="57"/>
        <v>37425</v>
      </c>
      <c r="G93" s="148">
        <f t="shared" si="57"/>
        <v>37425</v>
      </c>
      <c r="H93" s="148">
        <f t="shared" si="57"/>
        <v>37425</v>
      </c>
      <c r="I93" s="148">
        <f t="shared" si="57"/>
        <v>37425</v>
      </c>
      <c r="J93" s="148">
        <f t="shared" si="57"/>
        <v>37425</v>
      </c>
      <c r="K93" s="148">
        <v>11966</v>
      </c>
      <c r="L93" s="728">
        <f t="shared" si="28"/>
        <v>0.31973279893119572</v>
      </c>
      <c r="M93" s="1"/>
    </row>
    <row r="94" spans="1:13" x14ac:dyDescent="0.25">
      <c r="A94" s="127" t="s">
        <v>91</v>
      </c>
      <c r="B94" s="155" t="s">
        <v>92</v>
      </c>
      <c r="C94" s="159">
        <v>2000</v>
      </c>
      <c r="D94" s="159">
        <v>2000</v>
      </c>
      <c r="E94" s="159">
        <v>2000</v>
      </c>
      <c r="F94" s="159">
        <v>2000</v>
      </c>
      <c r="G94" s="159">
        <v>2000</v>
      </c>
      <c r="H94" s="159">
        <v>2000</v>
      </c>
      <c r="I94" s="159">
        <v>2000</v>
      </c>
      <c r="J94" s="159">
        <v>2000</v>
      </c>
      <c r="K94" s="159">
        <v>0</v>
      </c>
      <c r="L94" s="728">
        <f t="shared" si="28"/>
        <v>0</v>
      </c>
      <c r="M94" s="1"/>
    </row>
    <row r="95" spans="1:13" ht="15.75" thickBot="1" x14ac:dyDescent="0.3">
      <c r="A95" s="160" t="s">
        <v>93</v>
      </c>
      <c r="B95" s="161" t="s">
        <v>94</v>
      </c>
      <c r="C95" s="170">
        <v>12000</v>
      </c>
      <c r="D95" s="170">
        <v>12000</v>
      </c>
      <c r="E95" s="758">
        <f t="shared" ref="E95:J95" si="58">12000+26185</f>
        <v>38185</v>
      </c>
      <c r="F95" s="170">
        <f t="shared" si="58"/>
        <v>38185</v>
      </c>
      <c r="G95" s="170">
        <f t="shared" si="58"/>
        <v>38185</v>
      </c>
      <c r="H95" s="170">
        <f t="shared" si="58"/>
        <v>38185</v>
      </c>
      <c r="I95" s="170">
        <f t="shared" si="58"/>
        <v>38185</v>
      </c>
      <c r="J95" s="170">
        <f t="shared" si="58"/>
        <v>38185</v>
      </c>
      <c r="K95" s="164">
        <v>4829</v>
      </c>
      <c r="L95" s="728">
        <f t="shared" si="28"/>
        <v>0.12646327091789969</v>
      </c>
      <c r="M95" s="1"/>
    </row>
    <row r="96" spans="1:13" ht="15.75" thickBot="1" x14ac:dyDescent="0.3">
      <c r="A96" s="104" t="s">
        <v>95</v>
      </c>
      <c r="B96" s="140"/>
      <c r="C96" s="106">
        <f t="shared" ref="C96:K96" si="59">SUM(C97:C100)</f>
        <v>222450</v>
      </c>
      <c r="D96" s="106">
        <f t="shared" si="59"/>
        <v>222450</v>
      </c>
      <c r="E96" s="106">
        <f t="shared" si="59"/>
        <v>208450</v>
      </c>
      <c r="F96" s="106">
        <f t="shared" si="59"/>
        <v>208450</v>
      </c>
      <c r="G96" s="106">
        <f t="shared" si="59"/>
        <v>208450</v>
      </c>
      <c r="H96" s="106">
        <f t="shared" si="59"/>
        <v>208450</v>
      </c>
      <c r="I96" s="106">
        <f t="shared" ref="I96" si="60">SUM(I97:I100)</f>
        <v>208450</v>
      </c>
      <c r="J96" s="106">
        <f t="shared" ref="J96" si="61">SUM(J97:J100)</f>
        <v>208450</v>
      </c>
      <c r="K96" s="106">
        <f t="shared" si="59"/>
        <v>49179</v>
      </c>
      <c r="L96" s="728">
        <f t="shared" si="28"/>
        <v>0.23592708083473254</v>
      </c>
      <c r="M96" s="1"/>
    </row>
    <row r="97" spans="1:15" x14ac:dyDescent="0.25">
      <c r="A97" s="141" t="s">
        <v>96</v>
      </c>
      <c r="B97" s="84" t="s">
        <v>97</v>
      </c>
      <c r="C97" s="112">
        <v>168170</v>
      </c>
      <c r="D97" s="112">
        <v>168170</v>
      </c>
      <c r="E97" s="112">
        <v>168170</v>
      </c>
      <c r="F97" s="112">
        <v>168170</v>
      </c>
      <c r="G97" s="112">
        <v>168170</v>
      </c>
      <c r="H97" s="112">
        <v>168170</v>
      </c>
      <c r="I97" s="112">
        <v>168170</v>
      </c>
      <c r="J97" s="112">
        <v>168170</v>
      </c>
      <c r="K97" s="112">
        <v>38342</v>
      </c>
      <c r="L97" s="728">
        <f t="shared" si="28"/>
        <v>0.22799548076351311</v>
      </c>
      <c r="M97" s="1"/>
    </row>
    <row r="98" spans="1:15" x14ac:dyDescent="0.25">
      <c r="A98" s="141" t="s">
        <v>301</v>
      </c>
      <c r="B98" s="84" t="s">
        <v>321</v>
      </c>
      <c r="C98" s="112">
        <v>1580</v>
      </c>
      <c r="D98" s="112">
        <v>1580</v>
      </c>
      <c r="E98" s="112">
        <v>1580</v>
      </c>
      <c r="F98" s="112">
        <v>1580</v>
      </c>
      <c r="G98" s="112">
        <v>1580</v>
      </c>
      <c r="H98" s="112">
        <v>1580</v>
      </c>
      <c r="I98" s="112">
        <v>1580</v>
      </c>
      <c r="J98" s="112">
        <v>1580</v>
      </c>
      <c r="K98" s="112">
        <v>0</v>
      </c>
      <c r="L98" s="728">
        <f t="shared" si="28"/>
        <v>0</v>
      </c>
      <c r="M98" s="1"/>
    </row>
    <row r="99" spans="1:15" x14ac:dyDescent="0.25">
      <c r="A99" s="166" t="s">
        <v>98</v>
      </c>
      <c r="B99" s="114" t="s">
        <v>99</v>
      </c>
      <c r="C99" s="148">
        <v>35700</v>
      </c>
      <c r="D99" s="148">
        <v>35700</v>
      </c>
      <c r="E99" s="757">
        <f t="shared" ref="E99:J99" si="62">35700-14000</f>
        <v>21700</v>
      </c>
      <c r="F99" s="148">
        <f t="shared" si="62"/>
        <v>21700</v>
      </c>
      <c r="G99" s="148">
        <f t="shared" si="62"/>
        <v>21700</v>
      </c>
      <c r="H99" s="148">
        <f t="shared" si="62"/>
        <v>21700</v>
      </c>
      <c r="I99" s="148">
        <f t="shared" si="62"/>
        <v>21700</v>
      </c>
      <c r="J99" s="148">
        <f t="shared" si="62"/>
        <v>21700</v>
      </c>
      <c r="K99" s="148">
        <v>5478</v>
      </c>
      <c r="L99" s="728">
        <f t="shared" si="28"/>
        <v>0.25244239631336407</v>
      </c>
      <c r="M99" s="1"/>
    </row>
    <row r="100" spans="1:15" ht="15.75" thickBot="1" x14ac:dyDescent="0.3">
      <c r="A100" s="167" t="s">
        <v>100</v>
      </c>
      <c r="B100" s="161" t="s">
        <v>101</v>
      </c>
      <c r="C100" s="170">
        <v>17000</v>
      </c>
      <c r="D100" s="170">
        <v>17000</v>
      </c>
      <c r="E100" s="170">
        <v>17000</v>
      </c>
      <c r="F100" s="170">
        <v>17000</v>
      </c>
      <c r="G100" s="170">
        <v>17000</v>
      </c>
      <c r="H100" s="170">
        <v>17000</v>
      </c>
      <c r="I100" s="170">
        <v>17000</v>
      </c>
      <c r="J100" s="170">
        <v>17000</v>
      </c>
      <c r="K100" s="170">
        <v>5359</v>
      </c>
      <c r="L100" s="728">
        <f t="shared" si="28"/>
        <v>0.31523529411764706</v>
      </c>
      <c r="M100" s="1"/>
    </row>
    <row r="101" spans="1:15" ht="15.75" thickBot="1" x14ac:dyDescent="0.3">
      <c r="A101" s="171" t="s">
        <v>102</v>
      </c>
      <c r="B101" s="172"/>
      <c r="C101" s="173">
        <f t="shared" ref="C101:K101" si="63">SUM(C102:C104)</f>
        <v>850</v>
      </c>
      <c r="D101" s="173">
        <f t="shared" si="63"/>
        <v>850</v>
      </c>
      <c r="E101" s="173">
        <f t="shared" si="63"/>
        <v>850</v>
      </c>
      <c r="F101" s="173">
        <f t="shared" si="63"/>
        <v>850</v>
      </c>
      <c r="G101" s="173">
        <f t="shared" si="63"/>
        <v>850</v>
      </c>
      <c r="H101" s="173">
        <f t="shared" si="63"/>
        <v>850</v>
      </c>
      <c r="I101" s="173">
        <f t="shared" ref="I101" si="64">SUM(I102:I104)</f>
        <v>850</v>
      </c>
      <c r="J101" s="173">
        <f t="shared" ref="J101" si="65">SUM(J102:J104)</f>
        <v>850</v>
      </c>
      <c r="K101" s="173">
        <f t="shared" si="63"/>
        <v>44</v>
      </c>
      <c r="L101" s="728">
        <f t="shared" si="28"/>
        <v>5.1764705882352942E-2</v>
      </c>
      <c r="M101" s="1"/>
    </row>
    <row r="102" spans="1:15" x14ac:dyDescent="0.25">
      <c r="A102" s="131" t="s">
        <v>103</v>
      </c>
      <c r="B102" s="150" t="s">
        <v>104</v>
      </c>
      <c r="C102" s="177">
        <v>100</v>
      </c>
      <c r="D102" s="177">
        <v>100</v>
      </c>
      <c r="E102" s="177">
        <v>100</v>
      </c>
      <c r="F102" s="177">
        <v>100</v>
      </c>
      <c r="G102" s="177">
        <v>100</v>
      </c>
      <c r="H102" s="177">
        <v>100</v>
      </c>
      <c r="I102" s="177">
        <v>100</v>
      </c>
      <c r="J102" s="177">
        <v>100</v>
      </c>
      <c r="K102" s="177">
        <v>0</v>
      </c>
      <c r="L102" s="728">
        <f t="shared" si="28"/>
        <v>0</v>
      </c>
      <c r="M102" s="1"/>
    </row>
    <row r="103" spans="1:15" x14ac:dyDescent="0.25">
      <c r="A103" s="166" t="s">
        <v>105</v>
      </c>
      <c r="B103" s="114" t="s">
        <v>106</v>
      </c>
      <c r="C103" s="180">
        <v>100</v>
      </c>
      <c r="D103" s="180">
        <v>100</v>
      </c>
      <c r="E103" s="180">
        <v>100</v>
      </c>
      <c r="F103" s="180">
        <v>100</v>
      </c>
      <c r="G103" s="180">
        <v>100</v>
      </c>
      <c r="H103" s="180">
        <v>100</v>
      </c>
      <c r="I103" s="180">
        <v>100</v>
      </c>
      <c r="J103" s="180">
        <v>100</v>
      </c>
      <c r="K103" s="180">
        <v>14</v>
      </c>
      <c r="L103" s="728">
        <f t="shared" si="28"/>
        <v>0.14000000000000001</v>
      </c>
      <c r="M103" s="1"/>
    </row>
    <row r="104" spans="1:15" ht="15.75" thickBot="1" x14ac:dyDescent="0.3">
      <c r="A104" s="720" t="s">
        <v>107</v>
      </c>
      <c r="B104" s="721" t="s">
        <v>108</v>
      </c>
      <c r="C104" s="208">
        <v>650</v>
      </c>
      <c r="D104" s="208">
        <v>650</v>
      </c>
      <c r="E104" s="208">
        <v>650</v>
      </c>
      <c r="F104" s="208">
        <v>650</v>
      </c>
      <c r="G104" s="208">
        <v>650</v>
      </c>
      <c r="H104" s="208">
        <v>650</v>
      </c>
      <c r="I104" s="208">
        <v>650</v>
      </c>
      <c r="J104" s="208">
        <v>650</v>
      </c>
      <c r="K104" s="208">
        <v>30</v>
      </c>
      <c r="L104" s="728">
        <f t="shared" si="28"/>
        <v>4.6153846153846156E-2</v>
      </c>
      <c r="M104" s="1"/>
    </row>
    <row r="105" spans="1:15" ht="15.75" thickBot="1" x14ac:dyDescent="0.3">
      <c r="A105" s="722" t="s">
        <v>110</v>
      </c>
      <c r="B105" s="105"/>
      <c r="C105" s="106">
        <f t="shared" ref="C105:K105" si="66">SUM(C106:C110)</f>
        <v>131700</v>
      </c>
      <c r="D105" s="106">
        <f t="shared" si="66"/>
        <v>131700</v>
      </c>
      <c r="E105" s="106">
        <f t="shared" si="66"/>
        <v>132000</v>
      </c>
      <c r="F105" s="106">
        <f t="shared" si="66"/>
        <v>132000</v>
      </c>
      <c r="G105" s="106">
        <f t="shared" si="66"/>
        <v>132000</v>
      </c>
      <c r="H105" s="106">
        <f t="shared" si="66"/>
        <v>132000</v>
      </c>
      <c r="I105" s="106">
        <f t="shared" ref="I105" si="67">SUM(I106:I110)</f>
        <v>138000</v>
      </c>
      <c r="J105" s="106">
        <f t="shared" ref="J105" si="68">SUM(J106:J110)</f>
        <v>138924</v>
      </c>
      <c r="K105" s="106">
        <f t="shared" si="66"/>
        <v>25572</v>
      </c>
      <c r="L105" s="728">
        <f t="shared" si="28"/>
        <v>0.18407186663211539</v>
      </c>
      <c r="M105" s="1"/>
    </row>
    <row r="106" spans="1:15" x14ac:dyDescent="0.25">
      <c r="A106" s="149" t="s">
        <v>111</v>
      </c>
      <c r="B106" s="150" t="s">
        <v>112</v>
      </c>
      <c r="C106" s="135">
        <v>40000</v>
      </c>
      <c r="D106" s="135">
        <v>40000</v>
      </c>
      <c r="E106" s="759">
        <f t="shared" ref="E106:J106" si="69">40000-2000</f>
        <v>38000</v>
      </c>
      <c r="F106" s="135">
        <f t="shared" si="69"/>
        <v>38000</v>
      </c>
      <c r="G106" s="135">
        <f t="shared" si="69"/>
        <v>38000</v>
      </c>
      <c r="H106" s="135">
        <f t="shared" si="69"/>
        <v>38000</v>
      </c>
      <c r="I106" s="135">
        <f t="shared" si="69"/>
        <v>38000</v>
      </c>
      <c r="J106" s="135">
        <f t="shared" si="69"/>
        <v>38000</v>
      </c>
      <c r="K106" s="135">
        <v>13413</v>
      </c>
      <c r="L106" s="728">
        <f t="shared" si="28"/>
        <v>0.35297368421052633</v>
      </c>
      <c r="M106" s="1"/>
    </row>
    <row r="107" spans="1:15" x14ac:dyDescent="0.25">
      <c r="A107" s="192" t="s">
        <v>113</v>
      </c>
      <c r="B107" s="193" t="s">
        <v>114</v>
      </c>
      <c r="C107" s="55">
        <v>61600</v>
      </c>
      <c r="D107" s="55">
        <v>61600</v>
      </c>
      <c r="E107" s="716">
        <f>61600+1700</f>
        <v>63300</v>
      </c>
      <c r="F107" s="55">
        <f>61600+1700</f>
        <v>63300</v>
      </c>
      <c r="G107" s="55">
        <f>61600+1700</f>
        <v>63300</v>
      </c>
      <c r="H107" s="55">
        <f>61600+1700</f>
        <v>63300</v>
      </c>
      <c r="I107" s="716">
        <f>61600+1700+2000+4000</f>
        <v>69300</v>
      </c>
      <c r="J107" s="55">
        <f>61600+1700+2000+4000</f>
        <v>69300</v>
      </c>
      <c r="K107" s="55">
        <v>9309</v>
      </c>
      <c r="L107" s="728">
        <f t="shared" si="28"/>
        <v>0.13432900432900433</v>
      </c>
      <c r="M107" s="1"/>
    </row>
    <row r="108" spans="1:15" x14ac:dyDescent="0.25">
      <c r="A108" s="192" t="s">
        <v>115</v>
      </c>
      <c r="B108" s="84" t="s">
        <v>116</v>
      </c>
      <c r="C108" s="55">
        <v>5900</v>
      </c>
      <c r="D108" s="55">
        <v>5900</v>
      </c>
      <c r="E108" s="55">
        <v>5900</v>
      </c>
      <c r="F108" s="55">
        <v>5900</v>
      </c>
      <c r="G108" s="55">
        <v>5900</v>
      </c>
      <c r="H108" s="55">
        <v>5900</v>
      </c>
      <c r="I108" s="55">
        <v>5900</v>
      </c>
      <c r="J108" s="55">
        <v>5900</v>
      </c>
      <c r="K108" s="55">
        <v>456</v>
      </c>
      <c r="L108" s="728">
        <f t="shared" si="28"/>
        <v>7.7288135593220342E-2</v>
      </c>
      <c r="M108" s="1"/>
    </row>
    <row r="109" spans="1:15" x14ac:dyDescent="0.25">
      <c r="A109" s="192" t="s">
        <v>117</v>
      </c>
      <c r="B109" s="84" t="s">
        <v>118</v>
      </c>
      <c r="C109" s="55">
        <v>22400</v>
      </c>
      <c r="D109" s="55">
        <v>22400</v>
      </c>
      <c r="E109" s="55">
        <v>22400</v>
      </c>
      <c r="F109" s="55">
        <v>22400</v>
      </c>
      <c r="G109" s="55">
        <v>22400</v>
      </c>
      <c r="H109" s="55">
        <v>22400</v>
      </c>
      <c r="I109" s="55">
        <v>22400</v>
      </c>
      <c r="J109" s="55">
        <v>22400</v>
      </c>
      <c r="K109" s="55">
        <v>2294</v>
      </c>
      <c r="L109" s="728">
        <f t="shared" si="28"/>
        <v>0.10241071428571429</v>
      </c>
      <c r="M109" s="1"/>
    </row>
    <row r="110" spans="1:15" ht="15.75" thickBot="1" x14ac:dyDescent="0.3">
      <c r="A110" s="160" t="s">
        <v>119</v>
      </c>
      <c r="B110" s="161" t="s">
        <v>120</v>
      </c>
      <c r="C110" s="182">
        <v>1800</v>
      </c>
      <c r="D110" s="182">
        <v>1800</v>
      </c>
      <c r="E110" s="764">
        <f>1800+100+500</f>
        <v>2400</v>
      </c>
      <c r="F110" s="182">
        <f>1800+100+500</f>
        <v>2400</v>
      </c>
      <c r="G110" s="182">
        <f>1800+100+500</f>
        <v>2400</v>
      </c>
      <c r="H110" s="182">
        <f>1800+100+500</f>
        <v>2400</v>
      </c>
      <c r="I110" s="182">
        <f>1800+100+500</f>
        <v>2400</v>
      </c>
      <c r="J110" s="764">
        <f>1800+100+500+924</f>
        <v>3324</v>
      </c>
      <c r="K110" s="182">
        <v>100</v>
      </c>
      <c r="L110" s="728">
        <f t="shared" si="28"/>
        <v>3.0084235860409144E-2</v>
      </c>
      <c r="M110" s="1"/>
    </row>
    <row r="111" spans="1:15" ht="15.75" thickBot="1" x14ac:dyDescent="0.3">
      <c r="A111" s="125" t="s">
        <v>121</v>
      </c>
      <c r="B111" s="126"/>
      <c r="C111" s="106">
        <f t="shared" ref="C111:H111" si="70">SUM(C112:C119)</f>
        <v>394150</v>
      </c>
      <c r="D111" s="106">
        <f t="shared" si="70"/>
        <v>393973</v>
      </c>
      <c r="E111" s="106">
        <f t="shared" si="70"/>
        <v>402673</v>
      </c>
      <c r="F111" s="106">
        <f t="shared" si="70"/>
        <v>406536</v>
      </c>
      <c r="G111" s="106">
        <f t="shared" si="70"/>
        <v>411836</v>
      </c>
      <c r="H111" s="106">
        <f t="shared" si="70"/>
        <v>411836</v>
      </c>
      <c r="I111" s="106">
        <f t="shared" ref="I111" si="71">SUM(I112:I119)</f>
        <v>413558</v>
      </c>
      <c r="J111" s="106">
        <f t="shared" ref="J111" si="72">SUM(J112:J119)</f>
        <v>413558</v>
      </c>
      <c r="K111" s="106">
        <f>SUM(K112:K119)</f>
        <v>102642</v>
      </c>
      <c r="L111" s="728">
        <f t="shared" si="28"/>
        <v>0.24819251471377654</v>
      </c>
      <c r="M111" s="1"/>
      <c r="N111" s="27"/>
      <c r="O111" s="27"/>
    </row>
    <row r="112" spans="1:15" x14ac:dyDescent="0.25">
      <c r="A112" s="196" t="s">
        <v>122</v>
      </c>
      <c r="B112" s="197" t="s">
        <v>123</v>
      </c>
      <c r="C112" s="201">
        <v>200400</v>
      </c>
      <c r="D112" s="715">
        <f>200400+3</f>
        <v>200403</v>
      </c>
      <c r="E112" s="715">
        <f>200400+3+5000</f>
        <v>205403</v>
      </c>
      <c r="F112" s="715">
        <f>200400+3+5000+3863</f>
        <v>209266</v>
      </c>
      <c r="G112" s="201">
        <f>200400+3+5000+3863</f>
        <v>209266</v>
      </c>
      <c r="H112" s="201">
        <f>200400+3+5000+3863</f>
        <v>209266</v>
      </c>
      <c r="I112" s="715">
        <f>200400+3+5000+3863+1722</f>
        <v>210988</v>
      </c>
      <c r="J112" s="201">
        <f>200400+3+5000+3863+1722</f>
        <v>210988</v>
      </c>
      <c r="K112" s="201">
        <v>56834</v>
      </c>
      <c r="L112" s="728">
        <f t="shared" si="28"/>
        <v>0.2693707699016058</v>
      </c>
      <c r="M112" s="1"/>
    </row>
    <row r="113" spans="1:19" x14ac:dyDescent="0.25">
      <c r="A113" s="578" t="s">
        <v>124</v>
      </c>
      <c r="B113" s="142" t="s">
        <v>340</v>
      </c>
      <c r="C113" s="56">
        <v>0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728">
        <v>0</v>
      </c>
      <c r="M113" s="1"/>
    </row>
    <row r="114" spans="1:19" x14ac:dyDescent="0.25">
      <c r="A114" s="202" t="s">
        <v>125</v>
      </c>
      <c r="B114" s="203" t="s">
        <v>512</v>
      </c>
      <c r="C114" s="61">
        <v>6500</v>
      </c>
      <c r="D114" s="61">
        <v>6500</v>
      </c>
      <c r="E114" s="695">
        <f>6500+3700</f>
        <v>10200</v>
      </c>
      <c r="F114" s="61">
        <f>6500+3700</f>
        <v>10200</v>
      </c>
      <c r="G114" s="695">
        <f>6500+3700+5300</f>
        <v>15500</v>
      </c>
      <c r="H114" s="61">
        <f>6500+3700+5300</f>
        <v>15500</v>
      </c>
      <c r="I114" s="61">
        <f>6500+3700+5300</f>
        <v>15500</v>
      </c>
      <c r="J114" s="61">
        <f>6500+3700+5300</f>
        <v>15500</v>
      </c>
      <c r="K114" s="61">
        <v>1692</v>
      </c>
      <c r="L114" s="728">
        <f t="shared" si="28"/>
        <v>0.10916129032258065</v>
      </c>
      <c r="M114" s="1"/>
    </row>
    <row r="115" spans="1:19" x14ac:dyDescent="0.25">
      <c r="A115" s="202" t="s">
        <v>127</v>
      </c>
      <c r="B115" s="203" t="s">
        <v>128</v>
      </c>
      <c r="C115" s="61">
        <v>36200</v>
      </c>
      <c r="D115" s="61">
        <v>36200</v>
      </c>
      <c r="E115" s="61">
        <v>36200</v>
      </c>
      <c r="F115" s="61">
        <v>36200</v>
      </c>
      <c r="G115" s="61">
        <v>36200</v>
      </c>
      <c r="H115" s="61">
        <v>36200</v>
      </c>
      <c r="I115" s="61">
        <v>36200</v>
      </c>
      <c r="J115" s="61">
        <v>36200</v>
      </c>
      <c r="K115" s="61">
        <v>9225</v>
      </c>
      <c r="L115" s="728">
        <f t="shared" si="28"/>
        <v>0.25483425414364641</v>
      </c>
      <c r="M115" s="1"/>
    </row>
    <row r="116" spans="1:19" x14ac:dyDescent="0.25">
      <c r="A116" s="202" t="s">
        <v>129</v>
      </c>
      <c r="B116" s="203" t="s">
        <v>130</v>
      </c>
      <c r="C116" s="60">
        <v>53850</v>
      </c>
      <c r="D116" s="60">
        <v>53850</v>
      </c>
      <c r="E116" s="60">
        <v>53850</v>
      </c>
      <c r="F116" s="60">
        <v>53850</v>
      </c>
      <c r="G116" s="60">
        <v>53850</v>
      </c>
      <c r="H116" s="60">
        <v>53850</v>
      </c>
      <c r="I116" s="60">
        <v>53850</v>
      </c>
      <c r="J116" s="60">
        <v>53850</v>
      </c>
      <c r="K116" s="60">
        <v>10514</v>
      </c>
      <c r="L116" s="728">
        <f t="shared" si="28"/>
        <v>0.19524605385329619</v>
      </c>
      <c r="M116" s="1"/>
      <c r="N116" s="381"/>
      <c r="O116" s="381"/>
      <c r="R116" s="475"/>
    </row>
    <row r="117" spans="1:19" x14ac:dyDescent="0.25">
      <c r="A117" s="202" t="s">
        <v>131</v>
      </c>
      <c r="B117" s="203" t="s">
        <v>195</v>
      </c>
      <c r="C117" s="60">
        <v>94600</v>
      </c>
      <c r="D117" s="694">
        <f t="shared" ref="D117:J117" si="73">94600-160</f>
        <v>94440</v>
      </c>
      <c r="E117" s="60">
        <f t="shared" si="73"/>
        <v>94440</v>
      </c>
      <c r="F117" s="60">
        <f t="shared" si="73"/>
        <v>94440</v>
      </c>
      <c r="G117" s="60">
        <f t="shared" si="73"/>
        <v>94440</v>
      </c>
      <c r="H117" s="60">
        <f t="shared" si="73"/>
        <v>94440</v>
      </c>
      <c r="I117" s="60">
        <f t="shared" si="73"/>
        <v>94440</v>
      </c>
      <c r="J117" s="60">
        <f t="shared" si="73"/>
        <v>94440</v>
      </c>
      <c r="K117" s="60">
        <v>23802</v>
      </c>
      <c r="L117" s="728">
        <f t="shared" si="28"/>
        <v>0.25203303684879286</v>
      </c>
      <c r="M117" s="27">
        <f>SUM(C115:C117)</f>
        <v>184650</v>
      </c>
      <c r="N117" s="27">
        <f>SUM(D115:D117)</f>
        <v>184490</v>
      </c>
      <c r="O117" s="27">
        <f t="shared" ref="O117" si="74">SUM(K115:K117)</f>
        <v>43541</v>
      </c>
    </row>
    <row r="118" spans="1:19" x14ac:dyDescent="0.25">
      <c r="A118" s="204" t="s">
        <v>132</v>
      </c>
      <c r="B118" s="203" t="s">
        <v>309</v>
      </c>
      <c r="C118" s="208">
        <v>1300</v>
      </c>
      <c r="D118" s="208">
        <v>1300</v>
      </c>
      <c r="E118" s="208">
        <v>1300</v>
      </c>
      <c r="F118" s="208">
        <v>1300</v>
      </c>
      <c r="G118" s="208">
        <v>1300</v>
      </c>
      <c r="H118" s="208">
        <v>1300</v>
      </c>
      <c r="I118" s="208">
        <v>1300</v>
      </c>
      <c r="J118" s="208">
        <v>1300</v>
      </c>
      <c r="K118" s="208">
        <v>242</v>
      </c>
      <c r="L118" s="728">
        <f t="shared" si="28"/>
        <v>0.18615384615384614</v>
      </c>
      <c r="M118" s="1"/>
    </row>
    <row r="119" spans="1:19" ht="15.75" thickBot="1" x14ac:dyDescent="0.3">
      <c r="A119" s="202" t="s">
        <v>133</v>
      </c>
      <c r="B119" s="203" t="s">
        <v>207</v>
      </c>
      <c r="C119" s="208">
        <v>1300</v>
      </c>
      <c r="D119" s="723">
        <f t="shared" ref="D119:J119" si="75">1300-20</f>
        <v>1280</v>
      </c>
      <c r="E119" s="208">
        <f t="shared" si="75"/>
        <v>1280</v>
      </c>
      <c r="F119" s="208">
        <f t="shared" si="75"/>
        <v>1280</v>
      </c>
      <c r="G119" s="208">
        <f t="shared" si="75"/>
        <v>1280</v>
      </c>
      <c r="H119" s="208">
        <f t="shared" si="75"/>
        <v>1280</v>
      </c>
      <c r="I119" s="208">
        <f t="shared" si="75"/>
        <v>1280</v>
      </c>
      <c r="J119" s="208">
        <f t="shared" si="75"/>
        <v>1280</v>
      </c>
      <c r="K119" s="208">
        <v>333</v>
      </c>
      <c r="L119" s="728">
        <f t="shared" si="28"/>
        <v>0.26015624999999998</v>
      </c>
      <c r="M119" s="1"/>
    </row>
    <row r="120" spans="1:19" ht="15.75" thickBot="1" x14ac:dyDescent="0.3">
      <c r="A120" s="104" t="s">
        <v>134</v>
      </c>
      <c r="B120" s="105"/>
      <c r="C120" s="108">
        <f t="shared" ref="C120:K120" si="76">SUM(C121:C125)</f>
        <v>482770</v>
      </c>
      <c r="D120" s="108">
        <f t="shared" si="76"/>
        <v>485270</v>
      </c>
      <c r="E120" s="108">
        <f t="shared" si="76"/>
        <v>485270</v>
      </c>
      <c r="F120" s="108">
        <f t="shared" si="76"/>
        <v>485270</v>
      </c>
      <c r="G120" s="108">
        <f t="shared" si="76"/>
        <v>485270</v>
      </c>
      <c r="H120" s="108">
        <f t="shared" si="76"/>
        <v>485270</v>
      </c>
      <c r="I120" s="108">
        <f t="shared" ref="I120" si="77">SUM(I121:I125)</f>
        <v>485850</v>
      </c>
      <c r="J120" s="108">
        <f t="shared" ref="J120" si="78">SUM(J121:J125)</f>
        <v>485850</v>
      </c>
      <c r="K120" s="108">
        <f t="shared" si="76"/>
        <v>133744</v>
      </c>
      <c r="L120" s="728">
        <f t="shared" si="28"/>
        <v>0.2752783781002367</v>
      </c>
      <c r="M120" s="1"/>
    </row>
    <row r="121" spans="1:19" x14ac:dyDescent="0.25">
      <c r="A121" s="192" t="s">
        <v>135</v>
      </c>
      <c r="B121" s="84" t="s">
        <v>220</v>
      </c>
      <c r="C121" s="55">
        <v>392070</v>
      </c>
      <c r="D121" s="716">
        <f t="shared" ref="D121:J121" si="79">392070-1998</f>
        <v>390072</v>
      </c>
      <c r="E121" s="55">
        <f t="shared" si="79"/>
        <v>390072</v>
      </c>
      <c r="F121" s="55">
        <f t="shared" si="79"/>
        <v>390072</v>
      </c>
      <c r="G121" s="55">
        <f t="shared" si="79"/>
        <v>390072</v>
      </c>
      <c r="H121" s="55">
        <f t="shared" si="79"/>
        <v>390072</v>
      </c>
      <c r="I121" s="55">
        <f t="shared" si="79"/>
        <v>390072</v>
      </c>
      <c r="J121" s="55">
        <f t="shared" si="79"/>
        <v>390072</v>
      </c>
      <c r="K121" s="55">
        <v>98666</v>
      </c>
      <c r="L121" s="728">
        <f t="shared" si="28"/>
        <v>0.25294304641194448</v>
      </c>
      <c r="M121" s="1"/>
    </row>
    <row r="122" spans="1:19" x14ac:dyDescent="0.25">
      <c r="A122" s="192" t="s">
        <v>136</v>
      </c>
      <c r="B122" s="84" t="s">
        <v>137</v>
      </c>
      <c r="C122" s="55">
        <v>73400</v>
      </c>
      <c r="D122" s="716">
        <f t="shared" ref="D122:H122" si="80">73400+3781</f>
        <v>77181</v>
      </c>
      <c r="E122" s="55">
        <f t="shared" si="80"/>
        <v>77181</v>
      </c>
      <c r="F122" s="55">
        <f t="shared" si="80"/>
        <v>77181</v>
      </c>
      <c r="G122" s="55">
        <f t="shared" si="80"/>
        <v>77181</v>
      </c>
      <c r="H122" s="55">
        <f t="shared" si="80"/>
        <v>77181</v>
      </c>
      <c r="I122" s="716">
        <f>73400+3781+580</f>
        <v>77761</v>
      </c>
      <c r="J122" s="55">
        <f>73400+3781+580</f>
        <v>77761</v>
      </c>
      <c r="K122" s="55">
        <v>30032</v>
      </c>
      <c r="L122" s="728">
        <f t="shared" si="28"/>
        <v>0.3862090250896979</v>
      </c>
      <c r="M122" s="1"/>
    </row>
    <row r="123" spans="1:19" x14ac:dyDescent="0.25">
      <c r="A123" s="117" t="s">
        <v>138</v>
      </c>
      <c r="B123" s="114" t="s">
        <v>139</v>
      </c>
      <c r="C123" s="60">
        <v>16300</v>
      </c>
      <c r="D123" s="694">
        <f t="shared" ref="D123:J123" si="81">16300+717</f>
        <v>17017</v>
      </c>
      <c r="E123" s="60">
        <f t="shared" si="81"/>
        <v>17017</v>
      </c>
      <c r="F123" s="60">
        <f t="shared" si="81"/>
        <v>17017</v>
      </c>
      <c r="G123" s="60">
        <f t="shared" si="81"/>
        <v>17017</v>
      </c>
      <c r="H123" s="60">
        <f t="shared" si="81"/>
        <v>17017</v>
      </c>
      <c r="I123" s="60">
        <f t="shared" si="81"/>
        <v>17017</v>
      </c>
      <c r="J123" s="60">
        <f t="shared" si="81"/>
        <v>17017</v>
      </c>
      <c r="K123" s="60">
        <v>5046</v>
      </c>
      <c r="L123" s="728">
        <f t="shared" si="28"/>
        <v>0.29652700240935537</v>
      </c>
      <c r="M123" s="1"/>
    </row>
    <row r="124" spans="1:19" x14ac:dyDescent="0.25">
      <c r="A124" s="117" t="s">
        <v>140</v>
      </c>
      <c r="B124" s="114" t="s">
        <v>141</v>
      </c>
      <c r="C124" s="60">
        <v>500</v>
      </c>
      <c r="D124" s="60">
        <v>500</v>
      </c>
      <c r="E124" s="60">
        <v>500</v>
      </c>
      <c r="F124" s="60">
        <v>500</v>
      </c>
      <c r="G124" s="60">
        <v>500</v>
      </c>
      <c r="H124" s="60">
        <v>500</v>
      </c>
      <c r="I124" s="60">
        <v>500</v>
      </c>
      <c r="J124" s="60">
        <v>500</v>
      </c>
      <c r="K124" s="60">
        <v>0</v>
      </c>
      <c r="L124" s="728">
        <f t="shared" si="28"/>
        <v>0</v>
      </c>
      <c r="M124" s="1"/>
    </row>
    <row r="125" spans="1:19" ht="15.75" thickBot="1" x14ac:dyDescent="0.3">
      <c r="A125" s="160" t="s">
        <v>142</v>
      </c>
      <c r="B125" s="161" t="s">
        <v>143</v>
      </c>
      <c r="C125" s="182">
        <v>500</v>
      </c>
      <c r="D125" s="182">
        <v>500</v>
      </c>
      <c r="E125" s="182">
        <v>500</v>
      </c>
      <c r="F125" s="182">
        <v>500</v>
      </c>
      <c r="G125" s="182">
        <v>500</v>
      </c>
      <c r="H125" s="182">
        <v>500</v>
      </c>
      <c r="I125" s="182">
        <v>500</v>
      </c>
      <c r="J125" s="182">
        <v>500</v>
      </c>
      <c r="K125" s="182">
        <v>0</v>
      </c>
      <c r="L125" s="728">
        <f t="shared" si="28"/>
        <v>0</v>
      </c>
      <c r="M125" s="1"/>
      <c r="N125" s="27"/>
      <c r="O125" s="27"/>
    </row>
    <row r="126" spans="1:19" ht="24.75" customHeight="1" thickBot="1" x14ac:dyDescent="0.3">
      <c r="A126" s="209" t="s">
        <v>144</v>
      </c>
      <c r="B126" s="172"/>
      <c r="C126" s="212">
        <f t="shared" ref="C126:K126" si="82">SUM(C76+C82+C84+C87+C91+C96+C101+C105+C111+C120)</f>
        <v>1919385</v>
      </c>
      <c r="D126" s="212">
        <f t="shared" si="82"/>
        <v>1922156</v>
      </c>
      <c r="E126" s="212">
        <f t="shared" si="82"/>
        <v>1939266</v>
      </c>
      <c r="F126" s="212">
        <f t="shared" si="82"/>
        <v>1943129</v>
      </c>
      <c r="G126" s="212">
        <f t="shared" si="82"/>
        <v>1943129</v>
      </c>
      <c r="H126" s="212">
        <f t="shared" si="82"/>
        <v>1943129</v>
      </c>
      <c r="I126" s="212">
        <f t="shared" ref="I126" si="83">SUM(I76+I82+I84+I87+I91+I96+I101+I105+I111+I120)</f>
        <v>1951446</v>
      </c>
      <c r="J126" s="212">
        <f t="shared" ref="J126" si="84">SUM(J76+J82+J84+J87+J91+J96+J101+J105+J111+J120)</f>
        <v>1952370</v>
      </c>
      <c r="K126" s="212">
        <f t="shared" si="82"/>
        <v>484741</v>
      </c>
      <c r="L126" s="728">
        <f t="shared" si="28"/>
        <v>0.24828336841889601</v>
      </c>
      <c r="M126" s="27">
        <f>D126-C126</f>
        <v>2771</v>
      </c>
      <c r="N126" s="27">
        <f>E126-D126</f>
        <v>17110</v>
      </c>
      <c r="O126" s="27">
        <f>F126-E126</f>
        <v>3863</v>
      </c>
      <c r="P126" s="27">
        <f>G126-F126</f>
        <v>0</v>
      </c>
      <c r="Q126" s="27">
        <f t="shared" ref="Q126:S126" si="85">H126-G126</f>
        <v>0</v>
      </c>
      <c r="R126" s="27">
        <f t="shared" si="85"/>
        <v>8317</v>
      </c>
      <c r="S126" s="27">
        <f t="shared" si="85"/>
        <v>924</v>
      </c>
    </row>
    <row r="127" spans="1:19" x14ac:dyDescent="0.25">
      <c r="A127" s="502" t="s">
        <v>124</v>
      </c>
      <c r="B127" s="213" t="s">
        <v>341</v>
      </c>
      <c r="C127" s="216">
        <f>C63</f>
        <v>720000</v>
      </c>
      <c r="D127" s="715">
        <f t="shared" ref="D127:J127" si="86">D63+D180</f>
        <v>722098</v>
      </c>
      <c r="E127" s="216">
        <f t="shared" si="86"/>
        <v>722098</v>
      </c>
      <c r="F127" s="715">
        <f t="shared" si="86"/>
        <v>711459</v>
      </c>
      <c r="G127" s="216">
        <f t="shared" si="86"/>
        <v>711459</v>
      </c>
      <c r="H127" s="216">
        <f t="shared" si="86"/>
        <v>711459</v>
      </c>
      <c r="I127" s="216">
        <f t="shared" si="86"/>
        <v>715098</v>
      </c>
      <c r="J127" s="216">
        <f t="shared" si="86"/>
        <v>715098</v>
      </c>
      <c r="K127" s="216">
        <f>K63</f>
        <v>266956</v>
      </c>
      <c r="L127" s="728">
        <f t="shared" si="28"/>
        <v>0.37331386746991324</v>
      </c>
      <c r="M127" s="1"/>
      <c r="N127" s="27"/>
      <c r="O127" s="27"/>
      <c r="P127" s="27"/>
      <c r="Q127" s="27"/>
      <c r="R127" s="27"/>
      <c r="S127" s="27"/>
    </row>
    <row r="128" spans="1:19" ht="15.75" thickBot="1" x14ac:dyDescent="0.3">
      <c r="A128" s="717" t="s">
        <v>124</v>
      </c>
      <c r="B128" s="718" t="s">
        <v>145</v>
      </c>
      <c r="C128" s="719">
        <f t="shared" ref="C128:K128" si="87">C65</f>
        <v>1500</v>
      </c>
      <c r="D128" s="719">
        <f t="shared" si="87"/>
        <v>1500</v>
      </c>
      <c r="E128" s="719">
        <f t="shared" si="87"/>
        <v>1500</v>
      </c>
      <c r="F128" s="719">
        <f t="shared" si="87"/>
        <v>1500</v>
      </c>
      <c r="G128" s="719">
        <f t="shared" si="87"/>
        <v>1500</v>
      </c>
      <c r="H128" s="719">
        <f t="shared" si="87"/>
        <v>1500</v>
      </c>
      <c r="I128" s="719">
        <f t="shared" ref="I128" si="88">I65</f>
        <v>1500</v>
      </c>
      <c r="J128" s="719">
        <f t="shared" ref="J128" si="89">J65</f>
        <v>1500</v>
      </c>
      <c r="K128" s="719">
        <f t="shared" si="87"/>
        <v>0</v>
      </c>
      <c r="L128" s="728">
        <f t="shared" si="28"/>
        <v>0</v>
      </c>
      <c r="M128" s="27">
        <f>SUM(G127:G128)</f>
        <v>712959</v>
      </c>
      <c r="N128" s="27">
        <f>SUM(K127:K128)</f>
        <v>266956</v>
      </c>
      <c r="O128" s="27"/>
      <c r="P128" s="27"/>
      <c r="Q128" s="27"/>
      <c r="R128" s="27"/>
      <c r="S128" s="27"/>
    </row>
    <row r="129" spans="1:19" x14ac:dyDescent="0.25">
      <c r="A129" s="226" t="s">
        <v>125</v>
      </c>
      <c r="B129" s="227" t="s">
        <v>148</v>
      </c>
      <c r="C129" s="230">
        <v>34400</v>
      </c>
      <c r="D129" s="230">
        <v>34400</v>
      </c>
      <c r="E129" s="230">
        <v>34400</v>
      </c>
      <c r="F129" s="230">
        <v>34400</v>
      </c>
      <c r="G129" s="230">
        <v>34400</v>
      </c>
      <c r="H129" s="230">
        <v>34400</v>
      </c>
      <c r="I129" s="230">
        <v>34400</v>
      </c>
      <c r="J129" s="230">
        <v>34400</v>
      </c>
      <c r="K129" s="230">
        <v>11468</v>
      </c>
      <c r="L129" s="728">
        <f t="shared" si="28"/>
        <v>0.33337209302325582</v>
      </c>
      <c r="M129" s="27"/>
    </row>
    <row r="130" spans="1:19" ht="15.75" thickBot="1" x14ac:dyDescent="0.3">
      <c r="A130" s="217" t="s">
        <v>125</v>
      </c>
      <c r="B130" s="218" t="s">
        <v>149</v>
      </c>
      <c r="C130" s="221">
        <f t="shared" ref="C130:H130" si="90">C66</f>
        <v>3600</v>
      </c>
      <c r="D130" s="221">
        <f t="shared" si="90"/>
        <v>3600</v>
      </c>
      <c r="E130" s="221">
        <f t="shared" si="90"/>
        <v>3600</v>
      </c>
      <c r="F130" s="221">
        <f t="shared" si="90"/>
        <v>3600</v>
      </c>
      <c r="G130" s="221">
        <f t="shared" si="90"/>
        <v>3600</v>
      </c>
      <c r="H130" s="221">
        <f t="shared" si="90"/>
        <v>3600</v>
      </c>
      <c r="I130" s="221">
        <f t="shared" ref="I130" si="91">I66</f>
        <v>3600</v>
      </c>
      <c r="J130" s="221">
        <f t="shared" ref="J130" si="92">J66</f>
        <v>3600</v>
      </c>
      <c r="K130" s="221">
        <v>1092</v>
      </c>
      <c r="L130" s="728">
        <f t="shared" si="28"/>
        <v>0.30333333333333334</v>
      </c>
      <c r="M130" s="27">
        <f>SUM(G129:G130)</f>
        <v>38000</v>
      </c>
      <c r="N130" s="27">
        <f>SUM(K129:K130)</f>
        <v>12560</v>
      </c>
      <c r="O130" s="27"/>
      <c r="P130" s="27"/>
      <c r="Q130" s="27"/>
      <c r="R130" s="27"/>
      <c r="S130" s="27"/>
    </row>
    <row r="131" spans="1:19" ht="15.75" thickBot="1" x14ac:dyDescent="0.3">
      <c r="A131" s="903" t="s">
        <v>150</v>
      </c>
      <c r="B131" s="904"/>
      <c r="C131" s="233">
        <f t="shared" ref="C131:K131" si="93">SUM(C127:C130)</f>
        <v>759500</v>
      </c>
      <c r="D131" s="233">
        <f t="shared" si="93"/>
        <v>761598</v>
      </c>
      <c r="E131" s="233">
        <f t="shared" si="93"/>
        <v>761598</v>
      </c>
      <c r="F131" s="233">
        <f t="shared" si="93"/>
        <v>750959</v>
      </c>
      <c r="G131" s="233">
        <f t="shared" si="93"/>
        <v>750959</v>
      </c>
      <c r="H131" s="233">
        <f t="shared" si="93"/>
        <v>750959</v>
      </c>
      <c r="I131" s="233">
        <f t="shared" ref="I131" si="94">SUM(I127:I130)</f>
        <v>754598</v>
      </c>
      <c r="J131" s="233">
        <f t="shared" ref="J131" si="95">SUM(J127:J130)</f>
        <v>754598</v>
      </c>
      <c r="K131" s="233">
        <f t="shared" si="93"/>
        <v>279516</v>
      </c>
      <c r="L131" s="728">
        <f t="shared" si="28"/>
        <v>0.37041709625522462</v>
      </c>
      <c r="M131" s="27">
        <f>D131-C131</f>
        <v>2098</v>
      </c>
      <c r="N131" s="27">
        <f>E131-D131</f>
        <v>0</v>
      </c>
      <c r="O131" s="27">
        <f>F131-E131</f>
        <v>-10639</v>
      </c>
      <c r="P131" s="27">
        <f>G131-F131</f>
        <v>0</v>
      </c>
      <c r="Q131" s="27">
        <f t="shared" ref="Q131:S131" si="96">H131-G131</f>
        <v>0</v>
      </c>
      <c r="R131" s="27">
        <f t="shared" si="96"/>
        <v>3639</v>
      </c>
      <c r="S131" s="27">
        <f t="shared" si="96"/>
        <v>0</v>
      </c>
    </row>
    <row r="132" spans="1:19" x14ac:dyDescent="0.25">
      <c r="A132" s="234" t="s">
        <v>125</v>
      </c>
      <c r="B132" s="235" t="s">
        <v>151</v>
      </c>
      <c r="C132" s="238">
        <v>298000</v>
      </c>
      <c r="D132" s="238">
        <v>298000</v>
      </c>
      <c r="E132" s="238">
        <v>298000</v>
      </c>
      <c r="F132" s="238">
        <v>298000</v>
      </c>
      <c r="G132" s="238">
        <v>298000</v>
      </c>
      <c r="H132" s="238">
        <v>298000</v>
      </c>
      <c r="I132" s="238">
        <v>298000</v>
      </c>
      <c r="J132" s="238">
        <v>298000</v>
      </c>
      <c r="K132" s="238">
        <v>99332</v>
      </c>
      <c r="L132" s="728">
        <f t="shared" ref="L132:L193" si="97">K132/J132</f>
        <v>0.33332885906040266</v>
      </c>
      <c r="M132" s="1"/>
    </row>
    <row r="133" spans="1:19" ht="15.75" thickBot="1" x14ac:dyDescent="0.3">
      <c r="A133" s="239" t="s">
        <v>125</v>
      </c>
      <c r="B133" s="240" t="s">
        <v>152</v>
      </c>
      <c r="C133" s="89">
        <f t="shared" ref="C133:H133" si="98">C68</f>
        <v>13600</v>
      </c>
      <c r="D133" s="89">
        <f t="shared" si="98"/>
        <v>13600</v>
      </c>
      <c r="E133" s="89">
        <f t="shared" si="98"/>
        <v>13600</v>
      </c>
      <c r="F133" s="89">
        <f t="shared" si="98"/>
        <v>13600</v>
      </c>
      <c r="G133" s="89">
        <f t="shared" si="98"/>
        <v>13600</v>
      </c>
      <c r="H133" s="89">
        <f t="shared" si="98"/>
        <v>13600</v>
      </c>
      <c r="I133" s="89">
        <f t="shared" ref="I133" si="99">I68</f>
        <v>13600</v>
      </c>
      <c r="J133" s="89">
        <f t="shared" ref="J133" si="100">J68</f>
        <v>13600</v>
      </c>
      <c r="K133" s="89">
        <v>6775</v>
      </c>
      <c r="L133" s="728">
        <f t="shared" si="97"/>
        <v>0.49816176470588236</v>
      </c>
      <c r="M133" s="1"/>
    </row>
    <row r="134" spans="1:19" ht="15.75" thickBot="1" x14ac:dyDescent="0.3">
      <c r="A134" s="886" t="s">
        <v>153</v>
      </c>
      <c r="B134" s="887"/>
      <c r="C134" s="245">
        <f t="shared" ref="C134:K134" si="101">SUM(C132:C133)</f>
        <v>311600</v>
      </c>
      <c r="D134" s="245">
        <f t="shared" si="101"/>
        <v>311600</v>
      </c>
      <c r="E134" s="245">
        <f t="shared" si="101"/>
        <v>311600</v>
      </c>
      <c r="F134" s="245">
        <f t="shared" si="101"/>
        <v>311600</v>
      </c>
      <c r="G134" s="245">
        <f t="shared" si="101"/>
        <v>311600</v>
      </c>
      <c r="H134" s="245">
        <f t="shared" si="101"/>
        <v>311600</v>
      </c>
      <c r="I134" s="245">
        <f t="shared" ref="I134" si="102">SUM(I132:I133)</f>
        <v>311600</v>
      </c>
      <c r="J134" s="245">
        <f t="shared" ref="J134" si="103">SUM(J132:J133)</f>
        <v>311600</v>
      </c>
      <c r="K134" s="245">
        <f t="shared" si="101"/>
        <v>106107</v>
      </c>
      <c r="L134" s="728">
        <f t="shared" si="97"/>
        <v>0.34052310654685491</v>
      </c>
      <c r="M134" s="27">
        <f t="shared" ref="M134:P136" si="104">D134-C134</f>
        <v>0</v>
      </c>
      <c r="N134" s="27">
        <f t="shared" si="104"/>
        <v>0</v>
      </c>
      <c r="O134" s="27">
        <f t="shared" si="104"/>
        <v>0</v>
      </c>
      <c r="P134" s="27">
        <f t="shared" si="104"/>
        <v>0</v>
      </c>
      <c r="Q134" s="27">
        <f t="shared" ref="Q134:S136" si="105">H134-G134</f>
        <v>0</v>
      </c>
      <c r="R134" s="27">
        <f t="shared" si="105"/>
        <v>0</v>
      </c>
      <c r="S134" s="27">
        <f t="shared" si="105"/>
        <v>0</v>
      </c>
    </row>
    <row r="135" spans="1:19" ht="22.5" customHeight="1" thickBot="1" x14ac:dyDescent="0.3">
      <c r="A135" s="872" t="s">
        <v>154</v>
      </c>
      <c r="B135" s="873"/>
      <c r="C135" s="248">
        <f t="shared" ref="C135:K135" si="106">C131+C134</f>
        <v>1071100</v>
      </c>
      <c r="D135" s="248">
        <f t="shared" si="106"/>
        <v>1073198</v>
      </c>
      <c r="E135" s="248">
        <f t="shared" si="106"/>
        <v>1073198</v>
      </c>
      <c r="F135" s="248">
        <f t="shared" si="106"/>
        <v>1062559</v>
      </c>
      <c r="G135" s="248">
        <f t="shared" si="106"/>
        <v>1062559</v>
      </c>
      <c r="H135" s="248">
        <f t="shared" si="106"/>
        <v>1062559</v>
      </c>
      <c r="I135" s="248">
        <f t="shared" ref="I135" si="107">I131+I134</f>
        <v>1066198</v>
      </c>
      <c r="J135" s="248">
        <f t="shared" ref="J135" si="108">J131+J134</f>
        <v>1066198</v>
      </c>
      <c r="K135" s="248">
        <f t="shared" si="106"/>
        <v>385623</v>
      </c>
      <c r="L135" s="728">
        <f t="shared" si="97"/>
        <v>0.36168047585908059</v>
      </c>
      <c r="M135" s="27">
        <f t="shared" si="104"/>
        <v>2098</v>
      </c>
      <c r="N135" s="27">
        <f t="shared" si="104"/>
        <v>0</v>
      </c>
      <c r="O135" s="27">
        <f t="shared" si="104"/>
        <v>-10639</v>
      </c>
      <c r="P135" s="27">
        <f t="shared" si="104"/>
        <v>0</v>
      </c>
      <c r="Q135" s="27">
        <f t="shared" si="105"/>
        <v>0</v>
      </c>
      <c r="R135" s="27">
        <f t="shared" si="105"/>
        <v>3639</v>
      </c>
      <c r="S135" s="27">
        <f t="shared" si="105"/>
        <v>0</v>
      </c>
    </row>
    <row r="136" spans="1:19" ht="27.75" customHeight="1" thickBot="1" x14ac:dyDescent="0.3">
      <c r="A136" s="249" t="s">
        <v>155</v>
      </c>
      <c r="B136" s="140"/>
      <c r="C136" s="252">
        <f t="shared" ref="C136:K136" si="109">C126+C135</f>
        <v>2990485</v>
      </c>
      <c r="D136" s="252">
        <f t="shared" si="109"/>
        <v>2995354</v>
      </c>
      <c r="E136" s="252">
        <f t="shared" si="109"/>
        <v>3012464</v>
      </c>
      <c r="F136" s="252">
        <f t="shared" si="109"/>
        <v>3005688</v>
      </c>
      <c r="G136" s="252">
        <f t="shared" si="109"/>
        <v>3005688</v>
      </c>
      <c r="H136" s="252">
        <f t="shared" si="109"/>
        <v>3005688</v>
      </c>
      <c r="I136" s="252">
        <f t="shared" ref="I136" si="110">I126+I135</f>
        <v>3017644</v>
      </c>
      <c r="J136" s="252">
        <f t="shared" ref="J136" si="111">J126+J135</f>
        <v>3018568</v>
      </c>
      <c r="K136" s="252">
        <f t="shared" si="109"/>
        <v>870364</v>
      </c>
      <c r="L136" s="728">
        <f t="shared" si="97"/>
        <v>0.28833672125325649</v>
      </c>
      <c r="M136" s="27">
        <f t="shared" si="104"/>
        <v>4869</v>
      </c>
      <c r="N136" s="27">
        <f t="shared" si="104"/>
        <v>17110</v>
      </c>
      <c r="O136" s="27">
        <f t="shared" si="104"/>
        <v>-6776</v>
      </c>
      <c r="P136" s="27">
        <f t="shared" si="104"/>
        <v>0</v>
      </c>
      <c r="Q136" s="27">
        <f t="shared" si="105"/>
        <v>0</v>
      </c>
      <c r="R136" s="27">
        <f t="shared" si="105"/>
        <v>11956</v>
      </c>
      <c r="S136" s="27">
        <f t="shared" si="105"/>
        <v>924</v>
      </c>
    </row>
    <row r="137" spans="1:1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728"/>
      <c r="M137" s="1"/>
    </row>
    <row r="138" spans="1:1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728"/>
      <c r="M138" s="1"/>
    </row>
    <row r="139" spans="1:19" ht="18.75" thickBot="1" x14ac:dyDescent="0.3">
      <c r="A139" s="874" t="s">
        <v>156</v>
      </c>
      <c r="B139" s="875"/>
      <c r="C139" s="875"/>
      <c r="D139" s="875"/>
      <c r="E139" s="875"/>
      <c r="F139" s="875"/>
      <c r="G139" s="875"/>
      <c r="H139" s="875"/>
      <c r="I139" s="875"/>
      <c r="J139" s="875"/>
      <c r="K139" s="875"/>
      <c r="L139" s="728"/>
      <c r="M139" s="1"/>
    </row>
    <row r="140" spans="1:19" ht="38.25" customHeight="1" thickBot="1" x14ac:dyDescent="0.3">
      <c r="A140" s="876" t="s">
        <v>1</v>
      </c>
      <c r="B140" s="877"/>
      <c r="C140" s="387" t="s">
        <v>467</v>
      </c>
      <c r="D140" s="387" t="s">
        <v>465</v>
      </c>
      <c r="E140" s="387" t="s">
        <v>483</v>
      </c>
      <c r="F140" s="387" t="s">
        <v>500</v>
      </c>
      <c r="G140" s="387" t="s">
        <v>533</v>
      </c>
      <c r="H140" s="387" t="s">
        <v>578</v>
      </c>
      <c r="I140" s="387" t="s">
        <v>610</v>
      </c>
      <c r="J140" s="387" t="s">
        <v>579</v>
      </c>
      <c r="K140" s="387" t="s">
        <v>633</v>
      </c>
      <c r="L140" s="728"/>
      <c r="M140" s="1"/>
    </row>
    <row r="141" spans="1:19" ht="16.5" thickBot="1" x14ac:dyDescent="0.3">
      <c r="A141" s="878" t="s">
        <v>157</v>
      </c>
      <c r="B141" s="879"/>
      <c r="C141" s="253">
        <f t="shared" ref="C141:K141" si="112">SUM(C142:C152)</f>
        <v>2593450</v>
      </c>
      <c r="D141" s="253">
        <f t="shared" si="112"/>
        <v>2523450</v>
      </c>
      <c r="E141" s="253">
        <f t="shared" si="112"/>
        <v>2511270</v>
      </c>
      <c r="F141" s="253">
        <f t="shared" si="112"/>
        <v>2511270</v>
      </c>
      <c r="G141" s="253">
        <f t="shared" si="112"/>
        <v>2541070</v>
      </c>
      <c r="H141" s="253">
        <f t="shared" si="112"/>
        <v>2541070</v>
      </c>
      <c r="I141" s="253">
        <f t="shared" si="112"/>
        <v>2541070</v>
      </c>
      <c r="J141" s="253">
        <f t="shared" si="112"/>
        <v>2541070</v>
      </c>
      <c r="K141" s="253">
        <f t="shared" si="112"/>
        <v>0</v>
      </c>
      <c r="L141" s="728">
        <f t="shared" si="97"/>
        <v>0</v>
      </c>
      <c r="M141" s="27">
        <f>D141-C141</f>
        <v>-70000</v>
      </c>
      <c r="N141" s="27">
        <f>E141-D141</f>
        <v>-12180</v>
      </c>
      <c r="O141" s="27">
        <f>F141-E141</f>
        <v>0</v>
      </c>
      <c r="P141" s="27">
        <f>G141-F141</f>
        <v>29800</v>
      </c>
    </row>
    <row r="142" spans="1:19" ht="15.75" thickBot="1" x14ac:dyDescent="0.3">
      <c r="A142" s="77">
        <v>233</v>
      </c>
      <c r="B142" s="311" t="s">
        <v>158</v>
      </c>
      <c r="C142" s="255">
        <v>3000</v>
      </c>
      <c r="D142" s="255">
        <v>3000</v>
      </c>
      <c r="E142" s="255">
        <v>3000</v>
      </c>
      <c r="F142" s="255">
        <v>3000</v>
      </c>
      <c r="G142" s="255">
        <v>3000</v>
      </c>
      <c r="H142" s="255">
        <v>3000</v>
      </c>
      <c r="I142" s="255">
        <v>3000</v>
      </c>
      <c r="J142" s="255">
        <v>3000</v>
      </c>
      <c r="K142" s="255">
        <v>0</v>
      </c>
      <c r="L142" s="728">
        <f t="shared" si="97"/>
        <v>0</v>
      </c>
      <c r="M142" s="1"/>
    </row>
    <row r="143" spans="1:19" x14ac:dyDescent="0.25">
      <c r="A143" s="261">
        <v>322</v>
      </c>
      <c r="B143" s="264" t="s">
        <v>356</v>
      </c>
      <c r="C143" s="260">
        <v>145000</v>
      </c>
      <c r="D143" s="260">
        <v>145000</v>
      </c>
      <c r="E143" s="260">
        <v>145000</v>
      </c>
      <c r="F143" s="260">
        <v>145000</v>
      </c>
      <c r="G143" s="260">
        <v>145000</v>
      </c>
      <c r="H143" s="260">
        <v>145000</v>
      </c>
      <c r="I143" s="260">
        <v>145000</v>
      </c>
      <c r="J143" s="260">
        <v>145000</v>
      </c>
      <c r="K143" s="699">
        <v>0</v>
      </c>
      <c r="L143" s="728">
        <f t="shared" si="97"/>
        <v>0</v>
      </c>
      <c r="M143" s="1"/>
    </row>
    <row r="144" spans="1:19" x14ac:dyDescent="0.25">
      <c r="A144" s="261">
        <v>322</v>
      </c>
      <c r="B144" s="76" t="s">
        <v>355</v>
      </c>
      <c r="C144" s="263">
        <v>430000</v>
      </c>
      <c r="D144" s="263">
        <v>430000</v>
      </c>
      <c r="E144" s="263">
        <v>430000</v>
      </c>
      <c r="F144" s="263">
        <v>430000</v>
      </c>
      <c r="G144" s="263">
        <v>430000</v>
      </c>
      <c r="H144" s="263">
        <v>430000</v>
      </c>
      <c r="I144" s="263">
        <v>430000</v>
      </c>
      <c r="J144" s="263">
        <v>430000</v>
      </c>
      <c r="K144" s="263">
        <v>0</v>
      </c>
      <c r="L144" s="728">
        <f t="shared" si="97"/>
        <v>0</v>
      </c>
      <c r="M144" s="1"/>
    </row>
    <row r="145" spans="1:16" x14ac:dyDescent="0.25">
      <c r="A145" s="261">
        <v>322</v>
      </c>
      <c r="B145" s="84" t="s">
        <v>348</v>
      </c>
      <c r="C145" s="263">
        <v>138200</v>
      </c>
      <c r="D145" s="263">
        <v>138200</v>
      </c>
      <c r="E145" s="263">
        <v>138200</v>
      </c>
      <c r="F145" s="263">
        <v>138200</v>
      </c>
      <c r="G145" s="263">
        <v>138200</v>
      </c>
      <c r="H145" s="263">
        <v>138200</v>
      </c>
      <c r="I145" s="263">
        <v>138200</v>
      </c>
      <c r="J145" s="263">
        <v>138200</v>
      </c>
      <c r="K145" s="260">
        <v>0</v>
      </c>
      <c r="L145" s="728">
        <f t="shared" si="97"/>
        <v>0</v>
      </c>
      <c r="M145" s="1"/>
    </row>
    <row r="146" spans="1:16" x14ac:dyDescent="0.25">
      <c r="A146" s="261">
        <v>322</v>
      </c>
      <c r="B146" s="76" t="s">
        <v>353</v>
      </c>
      <c r="C146" s="263">
        <v>1146000</v>
      </c>
      <c r="D146" s="263">
        <v>1146000</v>
      </c>
      <c r="E146" s="263">
        <v>1146000</v>
      </c>
      <c r="F146" s="263">
        <v>1146000</v>
      </c>
      <c r="G146" s="263">
        <v>1146000</v>
      </c>
      <c r="H146" s="263">
        <v>1146000</v>
      </c>
      <c r="I146" s="263">
        <v>1146000</v>
      </c>
      <c r="J146" s="263">
        <v>1146000</v>
      </c>
      <c r="K146" s="260">
        <v>0</v>
      </c>
      <c r="L146" s="728">
        <f t="shared" si="97"/>
        <v>0</v>
      </c>
      <c r="M146" s="1"/>
    </row>
    <row r="147" spans="1:16" x14ac:dyDescent="0.25">
      <c r="A147" s="258">
        <v>322</v>
      </c>
      <c r="B147" s="72" t="s">
        <v>352</v>
      </c>
      <c r="C147" s="260">
        <v>379400</v>
      </c>
      <c r="D147" s="260">
        <v>379400</v>
      </c>
      <c r="E147" s="763">
        <f t="shared" ref="E147:J147" si="113">379400+680</f>
        <v>380080</v>
      </c>
      <c r="F147" s="260">
        <f t="shared" si="113"/>
        <v>380080</v>
      </c>
      <c r="G147" s="260">
        <f t="shared" si="113"/>
        <v>380080</v>
      </c>
      <c r="H147" s="260">
        <f t="shared" si="113"/>
        <v>380080</v>
      </c>
      <c r="I147" s="260">
        <f t="shared" si="113"/>
        <v>380080</v>
      </c>
      <c r="J147" s="260">
        <f t="shared" si="113"/>
        <v>380080</v>
      </c>
      <c r="K147" s="260">
        <v>0</v>
      </c>
      <c r="L147" s="728">
        <f t="shared" si="97"/>
        <v>0</v>
      </c>
      <c r="M147" s="1"/>
    </row>
    <row r="148" spans="1:16" x14ac:dyDescent="0.25">
      <c r="A148" s="258">
        <v>322</v>
      </c>
      <c r="B148" s="72" t="s">
        <v>351</v>
      </c>
      <c r="C148" s="257">
        <v>50000</v>
      </c>
      <c r="D148" s="257">
        <v>50000</v>
      </c>
      <c r="E148" s="257">
        <v>50000</v>
      </c>
      <c r="F148" s="257">
        <v>50000</v>
      </c>
      <c r="G148" s="257">
        <v>50000</v>
      </c>
      <c r="H148" s="257">
        <v>50000</v>
      </c>
      <c r="I148" s="257">
        <v>50000</v>
      </c>
      <c r="J148" s="257">
        <v>50000</v>
      </c>
      <c r="K148" s="260">
        <v>0</v>
      </c>
      <c r="L148" s="728">
        <f t="shared" si="97"/>
        <v>0</v>
      </c>
      <c r="M148" s="1"/>
    </row>
    <row r="149" spans="1:16" x14ac:dyDescent="0.25">
      <c r="A149" s="258">
        <v>322</v>
      </c>
      <c r="B149" s="114" t="s">
        <v>349</v>
      </c>
      <c r="C149" s="257">
        <v>196500</v>
      </c>
      <c r="D149" s="257">
        <v>196500</v>
      </c>
      <c r="E149" s="688">
        <f t="shared" ref="E149:J149" si="114">196500-12860</f>
        <v>183640</v>
      </c>
      <c r="F149" s="257">
        <f t="shared" si="114"/>
        <v>183640</v>
      </c>
      <c r="G149" s="257">
        <f t="shared" si="114"/>
        <v>183640</v>
      </c>
      <c r="H149" s="257">
        <f t="shared" si="114"/>
        <v>183640</v>
      </c>
      <c r="I149" s="257">
        <f t="shared" si="114"/>
        <v>183640</v>
      </c>
      <c r="J149" s="257">
        <f t="shared" si="114"/>
        <v>183640</v>
      </c>
      <c r="K149" s="260">
        <v>0</v>
      </c>
      <c r="L149" s="728">
        <f>K149/J149</f>
        <v>0</v>
      </c>
      <c r="M149" s="1"/>
    </row>
    <row r="150" spans="1:16" x14ac:dyDescent="0.25">
      <c r="A150" s="258">
        <v>322</v>
      </c>
      <c r="B150" s="114" t="s">
        <v>635</v>
      </c>
      <c r="C150" s="257">
        <v>0</v>
      </c>
      <c r="D150" s="257">
        <v>0</v>
      </c>
      <c r="E150" s="257">
        <v>0</v>
      </c>
      <c r="F150" s="257">
        <v>0</v>
      </c>
      <c r="G150" s="688">
        <v>29800</v>
      </c>
      <c r="H150" s="257">
        <v>29800</v>
      </c>
      <c r="I150" s="257">
        <v>29800</v>
      </c>
      <c r="J150" s="257">
        <v>29800</v>
      </c>
      <c r="K150" s="260">
        <v>0</v>
      </c>
      <c r="L150" s="728">
        <f t="shared" ref="L150" si="115">K150/J150</f>
        <v>0</v>
      </c>
      <c r="M150" s="1"/>
    </row>
    <row r="151" spans="1:16" x14ac:dyDescent="0.25">
      <c r="A151" s="258">
        <v>322</v>
      </c>
      <c r="B151" s="264" t="s">
        <v>286</v>
      </c>
      <c r="C151" s="257">
        <v>70000</v>
      </c>
      <c r="D151" s="688">
        <f t="shared" ref="D151:J151" si="116">70000-70000</f>
        <v>0</v>
      </c>
      <c r="E151" s="257">
        <f t="shared" si="116"/>
        <v>0</v>
      </c>
      <c r="F151" s="257">
        <f t="shared" si="116"/>
        <v>0</v>
      </c>
      <c r="G151" s="257">
        <f t="shared" si="116"/>
        <v>0</v>
      </c>
      <c r="H151" s="257">
        <f t="shared" si="116"/>
        <v>0</v>
      </c>
      <c r="I151" s="257">
        <f t="shared" si="116"/>
        <v>0</v>
      </c>
      <c r="J151" s="257">
        <f t="shared" si="116"/>
        <v>0</v>
      </c>
      <c r="K151" s="260">
        <v>0</v>
      </c>
      <c r="L151" s="728">
        <v>0</v>
      </c>
      <c r="M151" s="1"/>
    </row>
    <row r="152" spans="1:16" ht="15.75" thickBot="1" x14ac:dyDescent="0.3">
      <c r="A152" s="506">
        <v>322</v>
      </c>
      <c r="B152" s="522" t="s">
        <v>287</v>
      </c>
      <c r="C152" s="257">
        <f t="shared" ref="C152:J152" si="117">140750-105400</f>
        <v>35350</v>
      </c>
      <c r="D152" s="257">
        <f t="shared" si="117"/>
        <v>35350</v>
      </c>
      <c r="E152" s="257">
        <f t="shared" si="117"/>
        <v>35350</v>
      </c>
      <c r="F152" s="257">
        <f t="shared" si="117"/>
        <v>35350</v>
      </c>
      <c r="G152" s="257">
        <f t="shared" si="117"/>
        <v>35350</v>
      </c>
      <c r="H152" s="257">
        <f t="shared" si="117"/>
        <v>35350</v>
      </c>
      <c r="I152" s="257">
        <f t="shared" si="117"/>
        <v>35350</v>
      </c>
      <c r="J152" s="257">
        <f t="shared" si="117"/>
        <v>35350</v>
      </c>
      <c r="K152" s="260">
        <v>0</v>
      </c>
      <c r="L152" s="728">
        <f t="shared" si="97"/>
        <v>0</v>
      </c>
      <c r="M152" s="27">
        <f>SUM(J143:J152)</f>
        <v>2538070</v>
      </c>
      <c r="N152" s="27">
        <f>SUM(K143:K152)</f>
        <v>0</v>
      </c>
      <c r="O152" s="27"/>
    </row>
    <row r="153" spans="1:16" ht="16.5" thickBot="1" x14ac:dyDescent="0.3">
      <c r="A153" s="878" t="s">
        <v>161</v>
      </c>
      <c r="B153" s="879"/>
      <c r="C153" s="253">
        <f>SUM(C154:C171)</f>
        <v>3144736</v>
      </c>
      <c r="D153" s="253">
        <f t="shared" ref="D153:K153" si="118">SUM(D154:D171)</f>
        <v>3137146</v>
      </c>
      <c r="E153" s="253">
        <f t="shared" si="118"/>
        <v>3124966</v>
      </c>
      <c r="F153" s="253">
        <f t="shared" si="118"/>
        <v>3124966</v>
      </c>
      <c r="G153" s="253">
        <f t="shared" si="118"/>
        <v>3154766</v>
      </c>
      <c r="H153" s="253">
        <f t="shared" si="118"/>
        <v>3154766</v>
      </c>
      <c r="I153" s="253">
        <f t="shared" ref="I153" si="119">SUM(I154:I171)</f>
        <v>3154766</v>
      </c>
      <c r="J153" s="253">
        <f t="shared" ref="J153" si="120">SUM(J154:J171)</f>
        <v>3154766</v>
      </c>
      <c r="K153" s="253">
        <f t="shared" si="118"/>
        <v>66353</v>
      </c>
      <c r="L153" s="728">
        <f t="shared" si="97"/>
        <v>2.1032621753879686E-2</v>
      </c>
      <c r="M153" s="27">
        <f>D153-C153</f>
        <v>-7590</v>
      </c>
      <c r="N153" s="27">
        <f>E153-D153</f>
        <v>-12180</v>
      </c>
      <c r="O153" s="27">
        <f>F153-E153</f>
        <v>0</v>
      </c>
      <c r="P153" s="27">
        <f>G153-F153</f>
        <v>29800</v>
      </c>
    </row>
    <row r="154" spans="1:16" x14ac:dyDescent="0.25">
      <c r="A154" s="710" t="s">
        <v>82</v>
      </c>
      <c r="B154" s="711" t="s">
        <v>200</v>
      </c>
      <c r="C154" s="268">
        <v>30000</v>
      </c>
      <c r="D154" s="268">
        <v>30000</v>
      </c>
      <c r="E154" s="268">
        <v>30000</v>
      </c>
      <c r="F154" s="268">
        <v>30000</v>
      </c>
      <c r="G154" s="268">
        <v>30000</v>
      </c>
      <c r="H154" s="268">
        <v>30000</v>
      </c>
      <c r="I154" s="268">
        <v>30000</v>
      </c>
      <c r="J154" s="268">
        <v>30000</v>
      </c>
      <c r="K154" s="268">
        <v>7280</v>
      </c>
      <c r="L154" s="728">
        <f t="shared" si="97"/>
        <v>0.24266666666666667</v>
      </c>
      <c r="M154" s="27"/>
    </row>
    <row r="155" spans="1:16" x14ac:dyDescent="0.25">
      <c r="A155" s="275" t="s">
        <v>82</v>
      </c>
      <c r="B155" s="265" t="s">
        <v>163</v>
      </c>
      <c r="C155" s="276">
        <v>1500</v>
      </c>
      <c r="D155" s="276">
        <v>1500</v>
      </c>
      <c r="E155" s="276">
        <v>1500</v>
      </c>
      <c r="F155" s="276">
        <v>1500</v>
      </c>
      <c r="G155" s="276">
        <v>1500</v>
      </c>
      <c r="H155" s="276">
        <v>1500</v>
      </c>
      <c r="I155" s="276">
        <v>1500</v>
      </c>
      <c r="J155" s="276">
        <v>1500</v>
      </c>
      <c r="K155" s="276">
        <v>0</v>
      </c>
      <c r="L155" s="728">
        <f t="shared" si="97"/>
        <v>0</v>
      </c>
      <c r="M155" s="1"/>
    </row>
    <row r="156" spans="1:16" x14ac:dyDescent="0.25">
      <c r="A156" s="280" t="s">
        <v>87</v>
      </c>
      <c r="B156" s="556" t="s">
        <v>332</v>
      </c>
      <c r="C156" s="282">
        <v>151200</v>
      </c>
      <c r="D156" s="282">
        <v>151200</v>
      </c>
      <c r="E156" s="282">
        <v>151200</v>
      </c>
      <c r="F156" s="282">
        <v>151200</v>
      </c>
      <c r="G156" s="282">
        <v>151200</v>
      </c>
      <c r="H156" s="282">
        <v>151200</v>
      </c>
      <c r="I156" s="282">
        <v>151200</v>
      </c>
      <c r="J156" s="282">
        <v>151200</v>
      </c>
      <c r="K156" s="276">
        <v>0</v>
      </c>
      <c r="L156" s="728">
        <f t="shared" si="97"/>
        <v>0</v>
      </c>
      <c r="M156" s="1"/>
    </row>
    <row r="157" spans="1:16" x14ac:dyDescent="0.25">
      <c r="A157" s="280" t="s">
        <v>89</v>
      </c>
      <c r="B157" s="281" t="s">
        <v>333</v>
      </c>
      <c r="C157" s="270">
        <v>100000</v>
      </c>
      <c r="D157" s="270">
        <v>100000</v>
      </c>
      <c r="E157" s="270">
        <v>100000</v>
      </c>
      <c r="F157" s="270">
        <v>100000</v>
      </c>
      <c r="G157" s="270">
        <v>100000</v>
      </c>
      <c r="H157" s="270">
        <v>100000</v>
      </c>
      <c r="I157" s="270">
        <v>100000</v>
      </c>
      <c r="J157" s="270">
        <v>100000</v>
      </c>
      <c r="K157" s="276">
        <v>0</v>
      </c>
      <c r="L157" s="728">
        <f t="shared" si="97"/>
        <v>0</v>
      </c>
      <c r="M157" s="1"/>
    </row>
    <row r="158" spans="1:16" x14ac:dyDescent="0.25">
      <c r="A158" s="706" t="s">
        <v>93</v>
      </c>
      <c r="B158" s="707" t="s">
        <v>350</v>
      </c>
      <c r="C158" s="270">
        <v>196500</v>
      </c>
      <c r="D158" s="270">
        <v>196500</v>
      </c>
      <c r="E158" s="753">
        <f t="shared" ref="E158:J158" si="121">196500-12860</f>
        <v>183640</v>
      </c>
      <c r="F158" s="270">
        <f t="shared" si="121"/>
        <v>183640</v>
      </c>
      <c r="G158" s="270">
        <f t="shared" si="121"/>
        <v>183640</v>
      </c>
      <c r="H158" s="270">
        <f t="shared" si="121"/>
        <v>183640</v>
      </c>
      <c r="I158" s="270">
        <f t="shared" si="121"/>
        <v>183640</v>
      </c>
      <c r="J158" s="270">
        <f t="shared" si="121"/>
        <v>183640</v>
      </c>
      <c r="K158" s="276">
        <v>0</v>
      </c>
      <c r="L158" s="728">
        <f t="shared" si="97"/>
        <v>0</v>
      </c>
      <c r="M158" s="1"/>
    </row>
    <row r="159" spans="1:16" x14ac:dyDescent="0.25">
      <c r="A159" s="706" t="s">
        <v>164</v>
      </c>
      <c r="B159" s="708" t="s">
        <v>165</v>
      </c>
      <c r="C159" s="270">
        <v>23000</v>
      </c>
      <c r="D159" s="270">
        <v>23000</v>
      </c>
      <c r="E159" s="270">
        <v>23000</v>
      </c>
      <c r="F159" s="270">
        <v>23000</v>
      </c>
      <c r="G159" s="270">
        <v>23000</v>
      </c>
      <c r="H159" s="270">
        <v>23000</v>
      </c>
      <c r="I159" s="270">
        <v>23000</v>
      </c>
      <c r="J159" s="270">
        <v>23000</v>
      </c>
      <c r="K159" s="276">
        <v>0</v>
      </c>
      <c r="L159" s="728">
        <f t="shared" si="97"/>
        <v>0</v>
      </c>
      <c r="M159" s="1"/>
    </row>
    <row r="160" spans="1:16" x14ac:dyDescent="0.25">
      <c r="A160" s="287" t="s">
        <v>96</v>
      </c>
      <c r="B160" s="285" t="s">
        <v>475</v>
      </c>
      <c r="C160" s="270">
        <v>10000</v>
      </c>
      <c r="D160" s="270">
        <v>10000</v>
      </c>
      <c r="E160" s="753">
        <f t="shared" ref="E160:J160" si="122">10000-5700</f>
        <v>4300</v>
      </c>
      <c r="F160" s="270">
        <f t="shared" si="122"/>
        <v>4300</v>
      </c>
      <c r="G160" s="270">
        <f t="shared" si="122"/>
        <v>4300</v>
      </c>
      <c r="H160" s="270">
        <f t="shared" si="122"/>
        <v>4300</v>
      </c>
      <c r="I160" s="270">
        <f t="shared" si="122"/>
        <v>4300</v>
      </c>
      <c r="J160" s="270">
        <f t="shared" si="122"/>
        <v>4300</v>
      </c>
      <c r="K160" s="276">
        <v>0</v>
      </c>
      <c r="L160" s="728">
        <f t="shared" si="97"/>
        <v>0</v>
      </c>
      <c r="M160" s="27"/>
    </row>
    <row r="161" spans="1:16" x14ac:dyDescent="0.25">
      <c r="A161" s="284" t="s">
        <v>96</v>
      </c>
      <c r="B161" s="493" t="s">
        <v>357</v>
      </c>
      <c r="C161" s="270">
        <v>221836</v>
      </c>
      <c r="D161" s="270">
        <v>221836</v>
      </c>
      <c r="E161" s="753">
        <f>221836-34376</f>
        <v>187460</v>
      </c>
      <c r="F161" s="270">
        <f>221836-34376</f>
        <v>187460</v>
      </c>
      <c r="G161" s="753">
        <f>221836-34376-55000-300</f>
        <v>132160</v>
      </c>
      <c r="H161" s="270">
        <f>221836-34376-55000-300</f>
        <v>132160</v>
      </c>
      <c r="I161" s="270">
        <f>221836-34376-55000-300</f>
        <v>132160</v>
      </c>
      <c r="J161" s="270">
        <f>221836-34376-55000-300</f>
        <v>132160</v>
      </c>
      <c r="K161" s="276">
        <v>0</v>
      </c>
      <c r="L161" s="728">
        <f t="shared" si="97"/>
        <v>0</v>
      </c>
      <c r="M161" s="1"/>
    </row>
    <row r="162" spans="1:16" x14ac:dyDescent="0.25">
      <c r="A162" s="287" t="s">
        <v>301</v>
      </c>
      <c r="B162" s="530" t="s">
        <v>476</v>
      </c>
      <c r="C162" s="276">
        <v>216000</v>
      </c>
      <c r="D162" s="276">
        <v>216000</v>
      </c>
      <c r="E162" s="276">
        <v>216000</v>
      </c>
      <c r="F162" s="276">
        <v>216000</v>
      </c>
      <c r="G162" s="276">
        <v>216000</v>
      </c>
      <c r="H162" s="276">
        <v>216000</v>
      </c>
      <c r="I162" s="276">
        <v>216000</v>
      </c>
      <c r="J162" s="276">
        <v>216000</v>
      </c>
      <c r="K162" s="276">
        <v>0</v>
      </c>
      <c r="L162" s="728">
        <f t="shared" si="97"/>
        <v>0</v>
      </c>
      <c r="M162" s="1"/>
    </row>
    <row r="163" spans="1:16" x14ac:dyDescent="0.25">
      <c r="A163" s="287" t="s">
        <v>98</v>
      </c>
      <c r="B163" s="492" t="s">
        <v>274</v>
      </c>
      <c r="C163" s="276">
        <v>112000</v>
      </c>
      <c r="D163" s="276">
        <v>112000</v>
      </c>
      <c r="E163" s="276">
        <v>112000</v>
      </c>
      <c r="F163" s="276">
        <v>112000</v>
      </c>
      <c r="G163" s="742">
        <f>112000+300</f>
        <v>112300</v>
      </c>
      <c r="H163" s="276">
        <f>112000+300</f>
        <v>112300</v>
      </c>
      <c r="I163" s="276">
        <f>112000+300</f>
        <v>112300</v>
      </c>
      <c r="J163" s="276">
        <f>112000+300</f>
        <v>112300</v>
      </c>
      <c r="K163" s="276">
        <v>0</v>
      </c>
      <c r="L163" s="728">
        <f t="shared" si="97"/>
        <v>0</v>
      </c>
      <c r="M163" s="27"/>
    </row>
    <row r="164" spans="1:16" x14ac:dyDescent="0.25">
      <c r="A164" s="289" t="s">
        <v>111</v>
      </c>
      <c r="B164" s="290" t="s">
        <v>337</v>
      </c>
      <c r="C164" s="282">
        <v>55000</v>
      </c>
      <c r="D164" s="282">
        <v>55000</v>
      </c>
      <c r="E164" s="282">
        <v>55000</v>
      </c>
      <c r="F164" s="282">
        <v>55000</v>
      </c>
      <c r="G164" s="709">
        <f>55000-1800</f>
        <v>53200</v>
      </c>
      <c r="H164" s="282">
        <f>55000-1800</f>
        <v>53200</v>
      </c>
      <c r="I164" s="282">
        <f>55000-1800</f>
        <v>53200</v>
      </c>
      <c r="J164" s="709">
        <f>55000-1800-520</f>
        <v>52680</v>
      </c>
      <c r="K164" s="276">
        <v>0</v>
      </c>
      <c r="L164" s="728">
        <f t="shared" si="97"/>
        <v>0</v>
      </c>
      <c r="M164" s="27"/>
    </row>
    <row r="165" spans="1:16" x14ac:dyDescent="0.25">
      <c r="A165" s="289" t="s">
        <v>111</v>
      </c>
      <c r="B165" s="290" t="s">
        <v>477</v>
      </c>
      <c r="C165" s="282">
        <v>196100</v>
      </c>
      <c r="D165" s="709">
        <f>196100-7590</f>
        <v>188510</v>
      </c>
      <c r="E165" s="282">
        <f>196100-7590</f>
        <v>188510</v>
      </c>
      <c r="F165" s="282">
        <f>196100-7590</f>
        <v>188510</v>
      </c>
      <c r="G165" s="709">
        <f>196100-7590+1800+55000</f>
        <v>245310</v>
      </c>
      <c r="H165" s="282">
        <f>196100-7590+1800+55000</f>
        <v>245310</v>
      </c>
      <c r="I165" s="282">
        <f>196100-7590+1800+55000</f>
        <v>245310</v>
      </c>
      <c r="J165" s="282">
        <f>196100-7590+1800+55000</f>
        <v>245310</v>
      </c>
      <c r="K165" s="276">
        <v>59073</v>
      </c>
      <c r="L165" s="728">
        <f t="shared" si="97"/>
        <v>0.24080958786841139</v>
      </c>
      <c r="M165" s="1"/>
    </row>
    <row r="166" spans="1:16" x14ac:dyDescent="0.25">
      <c r="A166" s="284" t="s">
        <v>111</v>
      </c>
      <c r="B166" s="283" t="s">
        <v>585</v>
      </c>
      <c r="C166" s="270">
        <v>30000</v>
      </c>
      <c r="D166" s="270">
        <v>30000</v>
      </c>
      <c r="E166" s="270">
        <v>30000</v>
      </c>
      <c r="F166" s="270">
        <v>30000</v>
      </c>
      <c r="G166" s="753">
        <f>30000+29800</f>
        <v>59800</v>
      </c>
      <c r="H166" s="270">
        <f>30000+29800</f>
        <v>59800</v>
      </c>
      <c r="I166" s="270">
        <f>30000+29800</f>
        <v>59800</v>
      </c>
      <c r="J166" s="753">
        <f>30000+29800+520</f>
        <v>60320</v>
      </c>
      <c r="K166" s="276">
        <v>0</v>
      </c>
      <c r="L166" s="728">
        <f t="shared" si="97"/>
        <v>0</v>
      </c>
      <c r="M166" s="1"/>
    </row>
    <row r="167" spans="1:16" x14ac:dyDescent="0.25">
      <c r="A167" s="289" t="s">
        <v>113</v>
      </c>
      <c r="B167" s="290" t="s">
        <v>329</v>
      </c>
      <c r="C167" s="282">
        <v>15000</v>
      </c>
      <c r="D167" s="282">
        <v>15000</v>
      </c>
      <c r="E167" s="282">
        <v>15000</v>
      </c>
      <c r="F167" s="282">
        <v>15000</v>
      </c>
      <c r="G167" s="282">
        <v>15000</v>
      </c>
      <c r="H167" s="282">
        <v>15000</v>
      </c>
      <c r="I167" s="282">
        <v>15000</v>
      </c>
      <c r="J167" s="282">
        <v>15000</v>
      </c>
      <c r="K167" s="276">
        <v>0</v>
      </c>
      <c r="L167" s="728">
        <f t="shared" si="97"/>
        <v>0</v>
      </c>
      <c r="M167" s="1"/>
    </row>
    <row r="168" spans="1:16" x14ac:dyDescent="0.25">
      <c r="A168" s="289" t="s">
        <v>113</v>
      </c>
      <c r="B168" s="283" t="s">
        <v>302</v>
      </c>
      <c r="C168" s="282">
        <v>0</v>
      </c>
      <c r="D168" s="282">
        <v>0</v>
      </c>
      <c r="E168" s="282">
        <v>0</v>
      </c>
      <c r="F168" s="282">
        <v>0</v>
      </c>
      <c r="G168" s="282">
        <v>0</v>
      </c>
      <c r="H168" s="282">
        <v>0</v>
      </c>
      <c r="I168" s="282">
        <v>0</v>
      </c>
      <c r="J168" s="282">
        <v>0</v>
      </c>
      <c r="K168" s="276">
        <v>0</v>
      </c>
      <c r="L168" s="728">
        <v>0</v>
      </c>
      <c r="M168" s="1"/>
    </row>
    <row r="169" spans="1:16" x14ac:dyDescent="0.25">
      <c r="A169" s="284" t="s">
        <v>113</v>
      </c>
      <c r="B169" s="283" t="s">
        <v>325</v>
      </c>
      <c r="C169" s="270">
        <v>412400</v>
      </c>
      <c r="D169" s="270">
        <v>412400</v>
      </c>
      <c r="E169" s="753">
        <f t="shared" ref="E169:J169" si="123">412400+40756</f>
        <v>453156</v>
      </c>
      <c r="F169" s="270">
        <f t="shared" si="123"/>
        <v>453156</v>
      </c>
      <c r="G169" s="270">
        <f t="shared" si="123"/>
        <v>453156</v>
      </c>
      <c r="H169" s="270">
        <f t="shared" si="123"/>
        <v>453156</v>
      </c>
      <c r="I169" s="270">
        <f t="shared" si="123"/>
        <v>453156</v>
      </c>
      <c r="J169" s="270">
        <f t="shared" si="123"/>
        <v>453156</v>
      </c>
      <c r="K169" s="276">
        <v>0</v>
      </c>
      <c r="L169" s="728">
        <f t="shared" si="97"/>
        <v>0</v>
      </c>
      <c r="M169" s="27"/>
    </row>
    <row r="170" spans="1:16" ht="15.75" customHeight="1" x14ac:dyDescent="0.25">
      <c r="A170" s="292" t="s">
        <v>122</v>
      </c>
      <c r="B170" s="265" t="s">
        <v>478</v>
      </c>
      <c r="C170" s="276">
        <v>245000</v>
      </c>
      <c r="D170" s="276">
        <v>245000</v>
      </c>
      <c r="E170" s="276">
        <v>245000</v>
      </c>
      <c r="F170" s="276">
        <v>245000</v>
      </c>
      <c r="G170" s="276">
        <v>245000</v>
      </c>
      <c r="H170" s="276">
        <v>245000</v>
      </c>
      <c r="I170" s="276">
        <v>245000</v>
      </c>
      <c r="J170" s="276">
        <v>245000</v>
      </c>
      <c r="K170" s="276">
        <v>0</v>
      </c>
      <c r="L170" s="728">
        <f t="shared" si="97"/>
        <v>0</v>
      </c>
      <c r="M170" s="1"/>
    </row>
    <row r="171" spans="1:16" ht="15.75" thickBot="1" x14ac:dyDescent="0.3">
      <c r="A171" s="286" t="s">
        <v>124</v>
      </c>
      <c r="B171" s="712" t="s">
        <v>292</v>
      </c>
      <c r="C171" s="273">
        <v>1129200</v>
      </c>
      <c r="D171" s="273">
        <v>1129200</v>
      </c>
      <c r="E171" s="273">
        <v>1129200</v>
      </c>
      <c r="F171" s="273">
        <v>1129200</v>
      </c>
      <c r="G171" s="273">
        <v>1129200</v>
      </c>
      <c r="H171" s="273">
        <v>1129200</v>
      </c>
      <c r="I171" s="273">
        <v>1129200</v>
      </c>
      <c r="J171" s="273">
        <v>1129200</v>
      </c>
      <c r="K171" s="273">
        <v>0</v>
      </c>
      <c r="L171" s="728">
        <f t="shared" si="97"/>
        <v>0</v>
      </c>
      <c r="M171" s="1"/>
    </row>
    <row r="172" spans="1:16" ht="15" customHeight="1" x14ac:dyDescent="0.25">
      <c r="A172" s="294"/>
      <c r="B172" s="295"/>
      <c r="C172" s="296"/>
      <c r="D172" s="296"/>
      <c r="E172" s="296"/>
      <c r="F172" s="296"/>
      <c r="G172" s="296"/>
      <c r="H172" s="296"/>
      <c r="I172" s="296"/>
      <c r="J172" s="296"/>
      <c r="K172" s="296"/>
      <c r="L172" s="728"/>
      <c r="M172" s="1"/>
    </row>
    <row r="173" spans="1:16" x14ac:dyDescent="0.25">
      <c r="A173" s="297"/>
      <c r="B173" s="298"/>
      <c r="C173" s="299"/>
      <c r="D173" s="299"/>
      <c r="E173" s="299"/>
      <c r="F173" s="299"/>
      <c r="G173" s="299"/>
      <c r="H173" s="299"/>
      <c r="I173" s="299"/>
      <c r="J173" s="299"/>
      <c r="K173" s="299"/>
      <c r="L173" s="728"/>
      <c r="M173" s="1"/>
    </row>
    <row r="174" spans="1:16" ht="18.75" thickBot="1" x14ac:dyDescent="0.3">
      <c r="A174" s="880" t="s">
        <v>168</v>
      </c>
      <c r="B174" s="881"/>
      <c r="C174" s="881"/>
      <c r="D174" s="881"/>
      <c r="E174" s="881"/>
      <c r="F174" s="881"/>
      <c r="G174" s="881"/>
      <c r="H174" s="881"/>
      <c r="I174" s="881"/>
      <c r="J174" s="881"/>
      <c r="K174" s="881"/>
      <c r="L174" s="728"/>
      <c r="M174" s="1"/>
    </row>
    <row r="175" spans="1:16" ht="26.25" thickBot="1" x14ac:dyDescent="0.3">
      <c r="A175" s="876" t="s">
        <v>1</v>
      </c>
      <c r="B175" s="877"/>
      <c r="C175" s="387" t="s">
        <v>467</v>
      </c>
      <c r="D175" s="387" t="s">
        <v>465</v>
      </c>
      <c r="E175" s="387" t="s">
        <v>483</v>
      </c>
      <c r="F175" s="387" t="s">
        <v>500</v>
      </c>
      <c r="G175" s="387" t="s">
        <v>533</v>
      </c>
      <c r="H175" s="387" t="s">
        <v>578</v>
      </c>
      <c r="I175" s="387" t="s">
        <v>610</v>
      </c>
      <c r="J175" s="387" t="s">
        <v>579</v>
      </c>
      <c r="K175" s="387" t="s">
        <v>633</v>
      </c>
      <c r="L175" s="728"/>
      <c r="M175" s="27"/>
    </row>
    <row r="176" spans="1:16" ht="18" customHeight="1" thickBot="1" x14ac:dyDescent="0.3">
      <c r="A176" s="410" t="s">
        <v>169</v>
      </c>
      <c r="B176" s="411"/>
      <c r="C176" s="412">
        <f>SUM(C177:C188)</f>
        <v>571286</v>
      </c>
      <c r="D176" s="412">
        <f>SUM(D177:D188)</f>
        <v>638913</v>
      </c>
      <c r="E176" s="412">
        <f>SUM(E177:E188)</f>
        <v>638913</v>
      </c>
      <c r="F176" s="412">
        <f>SUM(F177:F188)</f>
        <v>638913</v>
      </c>
      <c r="G176" s="412">
        <f>SUM(G177:G189)</f>
        <v>692938</v>
      </c>
      <c r="H176" s="412">
        <f>SUM(H177:H189)</f>
        <v>692938</v>
      </c>
      <c r="I176" s="412">
        <f>SUM(I177:I189)</f>
        <v>692938</v>
      </c>
      <c r="J176" s="412">
        <f>SUM(J177:J189)</f>
        <v>692938</v>
      </c>
      <c r="K176" s="412">
        <f>SUM(K177:K188)</f>
        <v>87903</v>
      </c>
      <c r="L176" s="728">
        <f t="shared" si="97"/>
        <v>0.12685550511012531</v>
      </c>
      <c r="M176" s="27">
        <f>D176-C176</f>
        <v>67627</v>
      </c>
      <c r="N176" s="27">
        <f>E176-D176</f>
        <v>0</v>
      </c>
      <c r="O176" s="27">
        <f>F176-E176</f>
        <v>0</v>
      </c>
      <c r="P176" s="27">
        <f>G176-F176</f>
        <v>54025</v>
      </c>
    </row>
    <row r="177" spans="1:17" ht="15.6" customHeight="1" x14ac:dyDescent="0.25">
      <c r="A177" s="378">
        <v>453</v>
      </c>
      <c r="B177" s="379" t="s">
        <v>255</v>
      </c>
      <c r="C177" s="380">
        <f>10000+4000</f>
        <v>14000</v>
      </c>
      <c r="D177" s="704">
        <f t="shared" ref="D177:J177" si="124">10000+4000+3781-160</f>
        <v>17621</v>
      </c>
      <c r="E177" s="380">
        <f t="shared" si="124"/>
        <v>17621</v>
      </c>
      <c r="F177" s="380">
        <f t="shared" si="124"/>
        <v>17621</v>
      </c>
      <c r="G177" s="380">
        <f t="shared" si="124"/>
        <v>17621</v>
      </c>
      <c r="H177" s="380">
        <f t="shared" si="124"/>
        <v>17621</v>
      </c>
      <c r="I177" s="380">
        <f t="shared" si="124"/>
        <v>17621</v>
      </c>
      <c r="J177" s="380">
        <f t="shared" si="124"/>
        <v>17621</v>
      </c>
      <c r="K177" s="380">
        <v>15790</v>
      </c>
      <c r="L177" s="728">
        <f t="shared" si="97"/>
        <v>0.8960898927416151</v>
      </c>
      <c r="M177" s="27"/>
    </row>
    <row r="178" spans="1:17" x14ac:dyDescent="0.25">
      <c r="A178" s="403">
        <v>453</v>
      </c>
      <c r="B178" s="404" t="s">
        <v>254</v>
      </c>
      <c r="C178" s="64">
        <v>2000</v>
      </c>
      <c r="D178" s="64">
        <v>2000</v>
      </c>
      <c r="E178" s="64">
        <v>2000</v>
      </c>
      <c r="F178" s="64">
        <v>2000</v>
      </c>
      <c r="G178" s="64">
        <v>2000</v>
      </c>
      <c r="H178" s="64">
        <v>2000</v>
      </c>
      <c r="I178" s="64">
        <v>2000</v>
      </c>
      <c r="J178" s="64">
        <v>2000</v>
      </c>
      <c r="K178" s="64">
        <v>165</v>
      </c>
      <c r="L178" s="728">
        <f t="shared" si="97"/>
        <v>8.2500000000000004E-2</v>
      </c>
      <c r="M178" s="27"/>
    </row>
    <row r="179" spans="1:17" x14ac:dyDescent="0.25">
      <c r="A179" s="700">
        <v>453</v>
      </c>
      <c r="B179" s="377" t="s">
        <v>256</v>
      </c>
      <c r="C179" s="701">
        <v>2500</v>
      </c>
      <c r="D179" s="702">
        <f t="shared" ref="D179:J179" si="125">2500-2500</f>
        <v>0</v>
      </c>
      <c r="E179" s="701">
        <f t="shared" si="125"/>
        <v>0</v>
      </c>
      <c r="F179" s="701">
        <f t="shared" si="125"/>
        <v>0</v>
      </c>
      <c r="G179" s="701">
        <f t="shared" si="125"/>
        <v>0</v>
      </c>
      <c r="H179" s="701">
        <f t="shared" si="125"/>
        <v>0</v>
      </c>
      <c r="I179" s="701">
        <f t="shared" si="125"/>
        <v>0</v>
      </c>
      <c r="J179" s="701">
        <f t="shared" si="125"/>
        <v>0</v>
      </c>
      <c r="K179" s="484">
        <v>0</v>
      </c>
      <c r="L179" s="728">
        <v>0</v>
      </c>
      <c r="M179" s="27"/>
    </row>
    <row r="180" spans="1:17" x14ac:dyDescent="0.25">
      <c r="A180" s="403">
        <v>453</v>
      </c>
      <c r="B180" s="404" t="s">
        <v>472</v>
      </c>
      <c r="C180" s="64">
        <v>0</v>
      </c>
      <c r="D180" s="689">
        <v>3211</v>
      </c>
      <c r="E180" s="64">
        <v>3211</v>
      </c>
      <c r="F180" s="64">
        <v>3211</v>
      </c>
      <c r="G180" s="64">
        <v>3211</v>
      </c>
      <c r="H180" s="64">
        <v>3211</v>
      </c>
      <c r="I180" s="64">
        <v>3211</v>
      </c>
      <c r="J180" s="64">
        <v>3211</v>
      </c>
      <c r="K180" s="64">
        <v>3211</v>
      </c>
      <c r="L180" s="728">
        <f t="shared" si="97"/>
        <v>1</v>
      </c>
      <c r="M180" s="27"/>
    </row>
    <row r="181" spans="1:17" x14ac:dyDescent="0.25">
      <c r="A181" s="403">
        <v>453</v>
      </c>
      <c r="B181" s="404" t="s">
        <v>289</v>
      </c>
      <c r="C181" s="64">
        <v>1500</v>
      </c>
      <c r="D181" s="689">
        <f t="shared" ref="D181:J181" si="126">1500+502</f>
        <v>2002</v>
      </c>
      <c r="E181" s="64">
        <f t="shared" si="126"/>
        <v>2002</v>
      </c>
      <c r="F181" s="64">
        <f t="shared" si="126"/>
        <v>2002</v>
      </c>
      <c r="G181" s="64">
        <f t="shared" si="126"/>
        <v>2002</v>
      </c>
      <c r="H181" s="64">
        <f t="shared" si="126"/>
        <v>2002</v>
      </c>
      <c r="I181" s="64">
        <f t="shared" si="126"/>
        <v>2002</v>
      </c>
      <c r="J181" s="64">
        <f t="shared" si="126"/>
        <v>2002</v>
      </c>
      <c r="K181" s="64">
        <v>2002</v>
      </c>
      <c r="L181" s="728">
        <f t="shared" si="97"/>
        <v>1</v>
      </c>
      <c r="M181" s="27"/>
    </row>
    <row r="182" spans="1:17" ht="15.75" thickBot="1" x14ac:dyDescent="0.3">
      <c r="A182" s="303">
        <v>453</v>
      </c>
      <c r="B182" s="304" t="s">
        <v>473</v>
      </c>
      <c r="C182" s="305">
        <v>0</v>
      </c>
      <c r="D182" s="690">
        <f>383</f>
        <v>383</v>
      </c>
      <c r="E182" s="305">
        <f>383</f>
        <v>383</v>
      </c>
      <c r="F182" s="305">
        <f>383</f>
        <v>383</v>
      </c>
      <c r="G182" s="305">
        <f>383</f>
        <v>383</v>
      </c>
      <c r="H182" s="305">
        <f>383</f>
        <v>383</v>
      </c>
      <c r="I182" s="305">
        <f>383</f>
        <v>383</v>
      </c>
      <c r="J182" s="305">
        <f>383</f>
        <v>383</v>
      </c>
      <c r="K182" s="305">
        <v>382</v>
      </c>
      <c r="L182" s="728">
        <f t="shared" si="97"/>
        <v>0.99738903394255873</v>
      </c>
      <c r="M182" s="703">
        <f>SUM(G177:G182)</f>
        <v>25217</v>
      </c>
      <c r="N182" s="703">
        <f>SUM(K177:K182)</f>
        <v>21550</v>
      </c>
      <c r="O182" s="703"/>
    </row>
    <row r="183" spans="1:17" x14ac:dyDescent="0.25">
      <c r="A183" s="378">
        <v>453</v>
      </c>
      <c r="B183" s="379" t="s">
        <v>241</v>
      </c>
      <c r="C183" s="380">
        <v>886</v>
      </c>
      <c r="D183" s="380">
        <v>886</v>
      </c>
      <c r="E183" s="380">
        <v>886</v>
      </c>
      <c r="F183" s="380">
        <v>886</v>
      </c>
      <c r="G183" s="380">
        <v>886</v>
      </c>
      <c r="H183" s="380">
        <v>886</v>
      </c>
      <c r="I183" s="380">
        <v>886</v>
      </c>
      <c r="J183" s="380">
        <v>886</v>
      </c>
      <c r="K183" s="380">
        <v>0</v>
      </c>
      <c r="L183" s="728">
        <f t="shared" si="97"/>
        <v>0</v>
      </c>
      <c r="M183" s="703"/>
      <c r="N183" s="703"/>
      <c r="O183" s="703"/>
    </row>
    <row r="184" spans="1:17" x14ac:dyDescent="0.25">
      <c r="A184" s="471">
        <v>453</v>
      </c>
      <c r="B184" s="482" t="s">
        <v>291</v>
      </c>
      <c r="C184" s="472">
        <f>105400</f>
        <v>105400</v>
      </c>
      <c r="D184" s="691">
        <f t="shared" ref="D184:J184" si="127">105400-7590</f>
        <v>97810</v>
      </c>
      <c r="E184" s="472">
        <f t="shared" si="127"/>
        <v>97810</v>
      </c>
      <c r="F184" s="472">
        <f t="shared" si="127"/>
        <v>97810</v>
      </c>
      <c r="G184" s="472">
        <f t="shared" si="127"/>
        <v>97810</v>
      </c>
      <c r="H184" s="472">
        <f t="shared" si="127"/>
        <v>97810</v>
      </c>
      <c r="I184" s="472">
        <f t="shared" si="127"/>
        <v>97810</v>
      </c>
      <c r="J184" s="472">
        <f t="shared" si="127"/>
        <v>97810</v>
      </c>
      <c r="K184" s="472">
        <v>40511</v>
      </c>
      <c r="L184" s="728">
        <f t="shared" si="97"/>
        <v>0.41418055413556898</v>
      </c>
      <c r="M184" s="27"/>
      <c r="N184" s="27"/>
      <c r="O184" s="27"/>
    </row>
    <row r="185" spans="1:17" x14ac:dyDescent="0.25">
      <c r="A185" s="403">
        <v>453</v>
      </c>
      <c r="B185" s="404" t="s">
        <v>293</v>
      </c>
      <c r="C185" s="64">
        <v>0</v>
      </c>
      <c r="D185" s="689">
        <f t="shared" ref="D185:J185" si="128">70000</f>
        <v>70000</v>
      </c>
      <c r="E185" s="64">
        <f t="shared" si="128"/>
        <v>70000</v>
      </c>
      <c r="F185" s="64">
        <f t="shared" si="128"/>
        <v>70000</v>
      </c>
      <c r="G185" s="64">
        <f t="shared" si="128"/>
        <v>70000</v>
      </c>
      <c r="H185" s="64">
        <f t="shared" si="128"/>
        <v>70000</v>
      </c>
      <c r="I185" s="64">
        <f t="shared" si="128"/>
        <v>70000</v>
      </c>
      <c r="J185" s="64">
        <f t="shared" si="128"/>
        <v>70000</v>
      </c>
      <c r="K185" s="524">
        <v>0</v>
      </c>
      <c r="L185" s="728">
        <f t="shared" si="97"/>
        <v>0</v>
      </c>
      <c r="M185" s="27"/>
    </row>
    <row r="186" spans="1:17" ht="15.75" thickBot="1" x14ac:dyDescent="0.3">
      <c r="A186" s="483">
        <v>453</v>
      </c>
      <c r="B186" s="377" t="s">
        <v>304</v>
      </c>
      <c r="C186" s="484">
        <v>100000</v>
      </c>
      <c r="D186" s="484">
        <v>100000</v>
      </c>
      <c r="E186" s="484">
        <v>100000</v>
      </c>
      <c r="F186" s="484">
        <v>100000</v>
      </c>
      <c r="G186" s="484">
        <v>100000</v>
      </c>
      <c r="H186" s="484">
        <v>100000</v>
      </c>
      <c r="I186" s="484">
        <v>100000</v>
      </c>
      <c r="J186" s="484">
        <v>100000</v>
      </c>
      <c r="K186" s="484">
        <v>0</v>
      </c>
      <c r="L186" s="728">
        <f t="shared" si="97"/>
        <v>0</v>
      </c>
      <c r="M186" s="426">
        <f>SUM(G183:G186)</f>
        <v>268696</v>
      </c>
      <c r="N186" s="426">
        <f>SUM(K183:K186)</f>
        <v>40511</v>
      </c>
      <c r="O186" s="426"/>
    </row>
    <row r="187" spans="1:17" x14ac:dyDescent="0.25">
      <c r="A187" s="378">
        <v>454</v>
      </c>
      <c r="B187" s="379" t="s">
        <v>474</v>
      </c>
      <c r="C187" s="380">
        <v>0</v>
      </c>
      <c r="D187" s="380">
        <v>0</v>
      </c>
      <c r="E187" s="380">
        <v>0</v>
      </c>
      <c r="F187" s="380">
        <v>0</v>
      </c>
      <c r="G187" s="380">
        <v>0</v>
      </c>
      <c r="H187" s="380">
        <v>0</v>
      </c>
      <c r="I187" s="380">
        <v>0</v>
      </c>
      <c r="J187" s="380">
        <v>0</v>
      </c>
      <c r="K187" s="380">
        <v>0</v>
      </c>
      <c r="L187" s="728">
        <v>0</v>
      </c>
      <c r="M187" s="27"/>
      <c r="N187" s="27"/>
      <c r="O187" s="27"/>
    </row>
    <row r="188" spans="1:17" ht="15.75" thickBot="1" x14ac:dyDescent="0.3">
      <c r="A188" s="303">
        <v>454</v>
      </c>
      <c r="B188" s="304" t="s">
        <v>266</v>
      </c>
      <c r="C188" s="305">
        <f t="shared" ref="C188:J188" si="129">152000+193000</f>
        <v>345000</v>
      </c>
      <c r="D188" s="305">
        <f t="shared" si="129"/>
        <v>345000</v>
      </c>
      <c r="E188" s="305">
        <f t="shared" si="129"/>
        <v>345000</v>
      </c>
      <c r="F188" s="305">
        <f t="shared" si="129"/>
        <v>345000</v>
      </c>
      <c r="G188" s="305">
        <f t="shared" si="129"/>
        <v>345000</v>
      </c>
      <c r="H188" s="305">
        <f t="shared" si="129"/>
        <v>345000</v>
      </c>
      <c r="I188" s="305">
        <f t="shared" si="129"/>
        <v>345000</v>
      </c>
      <c r="J188" s="305">
        <f t="shared" si="129"/>
        <v>345000</v>
      </c>
      <c r="K188" s="305">
        <v>25842</v>
      </c>
      <c r="L188" s="728">
        <f t="shared" si="97"/>
        <v>7.4904347826086959E-2</v>
      </c>
      <c r="M188" s="27">
        <f>SUM(G187:G188)</f>
        <v>345000</v>
      </c>
      <c r="N188" s="27">
        <f>SUM(K187:K188)</f>
        <v>25842</v>
      </c>
      <c r="O188" s="27"/>
    </row>
    <row r="189" spans="1:17" ht="15.75" thickBot="1" x14ac:dyDescent="0.3">
      <c r="A189" s="770">
        <v>456</v>
      </c>
      <c r="B189" s="772" t="s">
        <v>535</v>
      </c>
      <c r="C189" s="771">
        <v>0</v>
      </c>
      <c r="D189" s="771">
        <v>0</v>
      </c>
      <c r="E189" s="771">
        <v>0</v>
      </c>
      <c r="F189" s="771">
        <v>0</v>
      </c>
      <c r="G189" s="773">
        <v>54025</v>
      </c>
      <c r="H189" s="771">
        <v>54025</v>
      </c>
      <c r="I189" s="771">
        <v>54025</v>
      </c>
      <c r="J189" s="771">
        <v>54025</v>
      </c>
      <c r="K189" s="771">
        <v>0</v>
      </c>
      <c r="L189" s="728">
        <f t="shared" si="97"/>
        <v>0</v>
      </c>
      <c r="M189" s="27"/>
      <c r="N189" s="27"/>
      <c r="O189" s="27"/>
    </row>
    <row r="190" spans="1:17" ht="16.5" thickBot="1" x14ac:dyDescent="0.3">
      <c r="A190" s="410" t="s">
        <v>171</v>
      </c>
      <c r="B190" s="411"/>
      <c r="C190" s="412">
        <f t="shared" ref="C190:K190" si="130">SUM(C191:C193)</f>
        <v>1090</v>
      </c>
      <c r="D190" s="412">
        <f t="shared" si="130"/>
        <v>1110</v>
      </c>
      <c r="E190" s="412">
        <f t="shared" si="130"/>
        <v>1110</v>
      </c>
      <c r="F190" s="412">
        <f t="shared" si="130"/>
        <v>1110</v>
      </c>
      <c r="G190" s="412">
        <f t="shared" si="130"/>
        <v>55135</v>
      </c>
      <c r="H190" s="412">
        <f t="shared" si="130"/>
        <v>55135</v>
      </c>
      <c r="I190" s="412">
        <f t="shared" ref="I190" si="131">SUM(I191:I193)</f>
        <v>55135</v>
      </c>
      <c r="J190" s="412">
        <f t="shared" ref="J190" si="132">SUM(J191:J193)</f>
        <v>55135</v>
      </c>
      <c r="K190" s="412">
        <f t="shared" si="130"/>
        <v>363</v>
      </c>
      <c r="L190" s="728">
        <f t="shared" si="97"/>
        <v>6.5838396662736918E-3</v>
      </c>
      <c r="M190" s="27">
        <f>D190-C190</f>
        <v>20</v>
      </c>
      <c r="N190" s="27">
        <f>E190-D190</f>
        <v>0</v>
      </c>
      <c r="O190" s="27">
        <f>F190-E190</f>
        <v>0</v>
      </c>
      <c r="P190" s="27">
        <f>G190-F190</f>
        <v>54025</v>
      </c>
      <c r="Q190" s="426"/>
    </row>
    <row r="191" spans="1:17" x14ac:dyDescent="0.25">
      <c r="A191" s="308">
        <v>819</v>
      </c>
      <c r="B191" s="307" t="s">
        <v>244</v>
      </c>
      <c r="C191" s="56">
        <v>0</v>
      </c>
      <c r="D191" s="705">
        <v>20</v>
      </c>
      <c r="E191" s="56">
        <v>20</v>
      </c>
      <c r="F191" s="56">
        <v>20</v>
      </c>
      <c r="G191" s="56">
        <v>20</v>
      </c>
      <c r="H191" s="56">
        <v>20</v>
      </c>
      <c r="I191" s="56">
        <v>20</v>
      </c>
      <c r="J191" s="56">
        <v>20</v>
      </c>
      <c r="K191" s="56">
        <v>5</v>
      </c>
      <c r="L191" s="728">
        <f t="shared" si="97"/>
        <v>0.25</v>
      </c>
      <c r="M191" s="27"/>
      <c r="N191" s="27"/>
      <c r="O191" s="27"/>
      <c r="Q191" s="426"/>
    </row>
    <row r="192" spans="1:17" x14ac:dyDescent="0.25">
      <c r="A192" s="308">
        <v>819</v>
      </c>
      <c r="B192" s="377" t="s">
        <v>535</v>
      </c>
      <c r="C192" s="56">
        <v>0</v>
      </c>
      <c r="D192" s="56">
        <v>0</v>
      </c>
      <c r="E192" s="56">
        <v>0</v>
      </c>
      <c r="F192" s="56">
        <v>0</v>
      </c>
      <c r="G192" s="705">
        <v>54025</v>
      </c>
      <c r="H192" s="56">
        <v>54025</v>
      </c>
      <c r="I192" s="56">
        <v>54025</v>
      </c>
      <c r="J192" s="56">
        <v>54025</v>
      </c>
      <c r="K192" s="56">
        <v>0</v>
      </c>
      <c r="L192" s="728">
        <f t="shared" si="97"/>
        <v>0</v>
      </c>
      <c r="M192" s="27">
        <f>SUM(G191:G192)</f>
        <v>54045</v>
      </c>
      <c r="N192" s="27">
        <f>SUM(K191:K192)</f>
        <v>5</v>
      </c>
      <c r="O192" s="27"/>
      <c r="Q192" s="426"/>
    </row>
    <row r="193" spans="1:16" ht="15.75" thickBot="1" x14ac:dyDescent="0.3">
      <c r="A193" s="310">
        <v>821</v>
      </c>
      <c r="B193" s="311" t="s">
        <v>173</v>
      </c>
      <c r="C193" s="124">
        <v>1090</v>
      </c>
      <c r="D193" s="124">
        <v>1090</v>
      </c>
      <c r="E193" s="124">
        <v>1090</v>
      </c>
      <c r="F193" s="124">
        <v>1090</v>
      </c>
      <c r="G193" s="124">
        <v>1090</v>
      </c>
      <c r="H193" s="124">
        <v>1090</v>
      </c>
      <c r="I193" s="124">
        <v>1090</v>
      </c>
      <c r="J193" s="124">
        <v>1090</v>
      </c>
      <c r="K193" s="124">
        <v>358</v>
      </c>
      <c r="L193" s="728">
        <f t="shared" si="97"/>
        <v>0.32844036697247708</v>
      </c>
      <c r="M193" s="1"/>
    </row>
    <row r="194" spans="1:16" x14ac:dyDescent="0.25">
      <c r="A194" s="297"/>
      <c r="B194" s="312"/>
      <c r="C194" s="157"/>
      <c r="D194" s="157"/>
      <c r="E194" s="157"/>
      <c r="F194" s="157"/>
      <c r="G194" s="157"/>
      <c r="H194" s="157"/>
      <c r="I194" s="157"/>
      <c r="J194" s="157"/>
      <c r="K194" s="157"/>
      <c r="L194" s="157"/>
      <c r="M194" s="1"/>
    </row>
    <row r="195" spans="1:16" ht="14.25" customHeight="1" x14ac:dyDescent="0.25">
      <c r="A195" s="101"/>
      <c r="B195" s="295"/>
      <c r="C195" s="295"/>
      <c r="D195" s="295"/>
      <c r="E195" s="295"/>
      <c r="F195" s="295"/>
      <c r="G195" s="295"/>
      <c r="H195" s="295"/>
      <c r="I195" s="295"/>
      <c r="J195" s="295"/>
      <c r="K195" s="295"/>
      <c r="L195" s="295"/>
      <c r="M195" s="295"/>
    </row>
    <row r="196" spans="1:16" ht="18.75" thickBot="1" x14ac:dyDescent="0.3">
      <c r="A196" s="882" t="s">
        <v>174</v>
      </c>
      <c r="B196" s="883"/>
      <c r="C196" s="883"/>
      <c r="D196" s="883"/>
      <c r="E196" s="883"/>
      <c r="F196" s="883"/>
      <c r="G196" s="883"/>
      <c r="H196" s="883"/>
      <c r="I196" s="883"/>
      <c r="J196" s="883"/>
      <c r="K196" s="883"/>
      <c r="L196" s="729"/>
      <c r="M196" s="1"/>
    </row>
    <row r="197" spans="1:16" ht="26.25" thickBot="1" x14ac:dyDescent="0.3">
      <c r="A197" s="876" t="s">
        <v>1</v>
      </c>
      <c r="B197" s="877"/>
      <c r="C197" s="387" t="s">
        <v>467</v>
      </c>
      <c r="D197" s="387" t="s">
        <v>465</v>
      </c>
      <c r="E197" s="387" t="s">
        <v>483</v>
      </c>
      <c r="F197" s="387" t="s">
        <v>500</v>
      </c>
      <c r="G197" s="387" t="s">
        <v>533</v>
      </c>
      <c r="H197" s="387" t="s">
        <v>578</v>
      </c>
      <c r="I197" s="387" t="s">
        <v>610</v>
      </c>
      <c r="J197" s="387" t="s">
        <v>579</v>
      </c>
      <c r="K197" s="387" t="s">
        <v>633</v>
      </c>
      <c r="L197" s="730"/>
    </row>
    <row r="198" spans="1:16" ht="15.75" x14ac:dyDescent="0.25">
      <c r="A198" s="313" t="s">
        <v>175</v>
      </c>
      <c r="B198" s="29"/>
      <c r="C198" s="314">
        <f t="shared" ref="C198:K198" si="133">C71</f>
        <v>2971575</v>
      </c>
      <c r="D198" s="314">
        <f t="shared" si="133"/>
        <v>2971247</v>
      </c>
      <c r="E198" s="314">
        <f t="shared" si="133"/>
        <v>2988357</v>
      </c>
      <c r="F198" s="314">
        <f t="shared" si="133"/>
        <v>2981581</v>
      </c>
      <c r="G198" s="314">
        <f t="shared" si="133"/>
        <v>2981581</v>
      </c>
      <c r="H198" s="314">
        <f t="shared" si="133"/>
        <v>2981581</v>
      </c>
      <c r="I198" s="314">
        <f t="shared" si="133"/>
        <v>2993537</v>
      </c>
      <c r="J198" s="314">
        <f t="shared" si="133"/>
        <v>2994461</v>
      </c>
      <c r="K198" s="314">
        <f t="shared" si="133"/>
        <v>1095687</v>
      </c>
      <c r="L198" s="726"/>
    </row>
    <row r="199" spans="1:16" ht="15.75" x14ac:dyDescent="0.25">
      <c r="A199" s="315" t="s">
        <v>176</v>
      </c>
      <c r="B199" s="316"/>
      <c r="C199" s="317">
        <f t="shared" ref="C199:K199" si="134">C136</f>
        <v>2990485</v>
      </c>
      <c r="D199" s="317">
        <f t="shared" si="134"/>
        <v>2995354</v>
      </c>
      <c r="E199" s="317">
        <f t="shared" si="134"/>
        <v>3012464</v>
      </c>
      <c r="F199" s="317">
        <f t="shared" si="134"/>
        <v>3005688</v>
      </c>
      <c r="G199" s="317">
        <f t="shared" si="134"/>
        <v>3005688</v>
      </c>
      <c r="H199" s="317">
        <f t="shared" si="134"/>
        <v>3005688</v>
      </c>
      <c r="I199" s="317">
        <f t="shared" si="134"/>
        <v>3017644</v>
      </c>
      <c r="J199" s="317">
        <f t="shared" si="134"/>
        <v>3018568</v>
      </c>
      <c r="K199" s="317">
        <f t="shared" si="134"/>
        <v>870364</v>
      </c>
      <c r="L199" s="726"/>
      <c r="M199" s="1"/>
    </row>
    <row r="200" spans="1:16" ht="15.75" x14ac:dyDescent="0.25">
      <c r="A200" s="884" t="s">
        <v>177</v>
      </c>
      <c r="B200" s="885"/>
      <c r="C200" s="318">
        <f t="shared" ref="C200:K200" si="135">C198-C199</f>
        <v>-18910</v>
      </c>
      <c r="D200" s="318">
        <f t="shared" si="135"/>
        <v>-24107</v>
      </c>
      <c r="E200" s="318">
        <f t="shared" si="135"/>
        <v>-24107</v>
      </c>
      <c r="F200" s="318">
        <f t="shared" si="135"/>
        <v>-24107</v>
      </c>
      <c r="G200" s="318">
        <f t="shared" si="135"/>
        <v>-24107</v>
      </c>
      <c r="H200" s="318">
        <f t="shared" si="135"/>
        <v>-24107</v>
      </c>
      <c r="I200" s="318">
        <f t="shared" ref="I200" si="136">I198-I199</f>
        <v>-24107</v>
      </c>
      <c r="J200" s="318">
        <f t="shared" ref="J200" si="137">J198-J199</f>
        <v>-24107</v>
      </c>
      <c r="K200" s="318">
        <f t="shared" si="135"/>
        <v>225323</v>
      </c>
      <c r="L200" s="731"/>
      <c r="M200" s="27">
        <f>C200-C193</f>
        <v>-20000</v>
      </c>
      <c r="N200" s="27">
        <f t="shared" ref="N200" si="138">D200-D193</f>
        <v>-25197</v>
      </c>
      <c r="O200" s="27"/>
      <c r="P200" s="27"/>
    </row>
    <row r="201" spans="1:16" ht="15.75" x14ac:dyDescent="0.25">
      <c r="A201" s="315" t="s">
        <v>178</v>
      </c>
      <c r="B201" s="18"/>
      <c r="C201" s="317">
        <f t="shared" ref="C201:K201" si="139">C141</f>
        <v>2593450</v>
      </c>
      <c r="D201" s="317">
        <f t="shared" si="139"/>
        <v>2523450</v>
      </c>
      <c r="E201" s="317">
        <f t="shared" si="139"/>
        <v>2511270</v>
      </c>
      <c r="F201" s="317">
        <f t="shared" si="139"/>
        <v>2511270</v>
      </c>
      <c r="G201" s="317">
        <f t="shared" si="139"/>
        <v>2541070</v>
      </c>
      <c r="H201" s="317">
        <f t="shared" si="139"/>
        <v>2541070</v>
      </c>
      <c r="I201" s="317">
        <f t="shared" si="139"/>
        <v>2541070</v>
      </c>
      <c r="J201" s="317">
        <f t="shared" si="139"/>
        <v>2541070</v>
      </c>
      <c r="K201" s="317">
        <f t="shared" si="139"/>
        <v>0</v>
      </c>
      <c r="L201" s="726"/>
      <c r="M201" s="1"/>
    </row>
    <row r="202" spans="1:16" ht="13.9" customHeight="1" x14ac:dyDescent="0.25">
      <c r="A202" s="315" t="s">
        <v>179</v>
      </c>
      <c r="B202" s="18"/>
      <c r="C202" s="20">
        <f t="shared" ref="C202:K202" si="140">C153</f>
        <v>3144736</v>
      </c>
      <c r="D202" s="20">
        <f t="shared" si="140"/>
        <v>3137146</v>
      </c>
      <c r="E202" s="20">
        <f t="shared" si="140"/>
        <v>3124966</v>
      </c>
      <c r="F202" s="20">
        <f t="shared" si="140"/>
        <v>3124966</v>
      </c>
      <c r="G202" s="20">
        <f t="shared" si="140"/>
        <v>3154766</v>
      </c>
      <c r="H202" s="20">
        <f t="shared" si="140"/>
        <v>3154766</v>
      </c>
      <c r="I202" s="20">
        <f t="shared" ref="I202" si="141">I153</f>
        <v>3154766</v>
      </c>
      <c r="J202" s="20">
        <f t="shared" ref="J202" si="142">J153</f>
        <v>3154766</v>
      </c>
      <c r="K202" s="20">
        <f t="shared" si="140"/>
        <v>66353</v>
      </c>
      <c r="L202" s="703"/>
      <c r="M202" s="1"/>
    </row>
    <row r="203" spans="1:16" ht="16.149999999999999" customHeight="1" x14ac:dyDescent="0.25">
      <c r="A203" s="884" t="s">
        <v>180</v>
      </c>
      <c r="B203" s="885"/>
      <c r="C203" s="318">
        <f t="shared" ref="C203:K203" si="143">C201-C202</f>
        <v>-551286</v>
      </c>
      <c r="D203" s="318">
        <f t="shared" si="143"/>
        <v>-613696</v>
      </c>
      <c r="E203" s="318">
        <f t="shared" si="143"/>
        <v>-613696</v>
      </c>
      <c r="F203" s="318">
        <f t="shared" si="143"/>
        <v>-613696</v>
      </c>
      <c r="G203" s="318">
        <f t="shared" si="143"/>
        <v>-613696</v>
      </c>
      <c r="H203" s="318">
        <f t="shared" si="143"/>
        <v>-613696</v>
      </c>
      <c r="I203" s="318">
        <f t="shared" ref="I203" si="144">I201-I202</f>
        <v>-613696</v>
      </c>
      <c r="J203" s="318">
        <f t="shared" ref="J203" si="145">J201-J202</f>
        <v>-613696</v>
      </c>
      <c r="K203" s="318">
        <f t="shared" si="143"/>
        <v>-66353</v>
      </c>
      <c r="L203" s="731"/>
      <c r="M203" s="703"/>
      <c r="N203" s="703"/>
      <c r="O203" s="703"/>
    </row>
    <row r="204" spans="1:16" ht="15.75" x14ac:dyDescent="0.25">
      <c r="A204" s="319" t="s">
        <v>181</v>
      </c>
      <c r="B204" s="320"/>
      <c r="C204" s="321">
        <f t="shared" ref="C204:K204" si="146">C176</f>
        <v>571286</v>
      </c>
      <c r="D204" s="321">
        <f t="shared" si="146"/>
        <v>638913</v>
      </c>
      <c r="E204" s="321">
        <f t="shared" si="146"/>
        <v>638913</v>
      </c>
      <c r="F204" s="321">
        <f t="shared" si="146"/>
        <v>638913</v>
      </c>
      <c r="G204" s="321">
        <f t="shared" si="146"/>
        <v>692938</v>
      </c>
      <c r="H204" s="321">
        <f t="shared" si="146"/>
        <v>692938</v>
      </c>
      <c r="I204" s="321">
        <f t="shared" ref="I204" si="147">I176</f>
        <v>692938</v>
      </c>
      <c r="J204" s="321">
        <f t="shared" ref="J204" si="148">J176</f>
        <v>692938</v>
      </c>
      <c r="K204" s="321">
        <f t="shared" si="146"/>
        <v>87903</v>
      </c>
      <c r="L204" s="726"/>
      <c r="M204" s="1"/>
    </row>
    <row r="205" spans="1:16" ht="15.75" x14ac:dyDescent="0.25">
      <c r="A205" s="319" t="s">
        <v>182</v>
      </c>
      <c r="B205" s="320"/>
      <c r="C205" s="321">
        <f t="shared" ref="C205:K205" si="149">C190</f>
        <v>1090</v>
      </c>
      <c r="D205" s="321">
        <f t="shared" si="149"/>
        <v>1110</v>
      </c>
      <c r="E205" s="321">
        <f t="shared" si="149"/>
        <v>1110</v>
      </c>
      <c r="F205" s="321">
        <f t="shared" si="149"/>
        <v>1110</v>
      </c>
      <c r="G205" s="321">
        <f t="shared" si="149"/>
        <v>55135</v>
      </c>
      <c r="H205" s="321">
        <f t="shared" si="149"/>
        <v>55135</v>
      </c>
      <c r="I205" s="321">
        <f t="shared" ref="I205" si="150">I190</f>
        <v>55135</v>
      </c>
      <c r="J205" s="321">
        <f t="shared" ref="J205" si="151">J190</f>
        <v>55135</v>
      </c>
      <c r="K205" s="321">
        <f t="shared" si="149"/>
        <v>363</v>
      </c>
      <c r="L205" s="726"/>
      <c r="M205" s="1"/>
    </row>
    <row r="206" spans="1:16" ht="16.5" thickBot="1" x14ac:dyDescent="0.3">
      <c r="A206" s="870" t="s">
        <v>183</v>
      </c>
      <c r="B206" s="871"/>
      <c r="C206" s="322">
        <f t="shared" ref="C206:K206" si="152">C204-C205</f>
        <v>570196</v>
      </c>
      <c r="D206" s="322">
        <f t="shared" si="152"/>
        <v>637803</v>
      </c>
      <c r="E206" s="322">
        <f t="shared" si="152"/>
        <v>637803</v>
      </c>
      <c r="F206" s="322">
        <f t="shared" si="152"/>
        <v>637803</v>
      </c>
      <c r="G206" s="322">
        <f t="shared" si="152"/>
        <v>637803</v>
      </c>
      <c r="H206" s="322">
        <f t="shared" si="152"/>
        <v>637803</v>
      </c>
      <c r="I206" s="322">
        <f t="shared" ref="I206" si="153">I204-I205</f>
        <v>637803</v>
      </c>
      <c r="J206" s="322">
        <f t="shared" ref="J206" si="154">J204-J205</f>
        <v>637803</v>
      </c>
      <c r="K206" s="322">
        <f t="shared" si="152"/>
        <v>87540</v>
      </c>
      <c r="L206" s="731"/>
      <c r="M206" s="1"/>
    </row>
    <row r="207" spans="1:16" ht="30" customHeight="1" thickBot="1" x14ac:dyDescent="0.3">
      <c r="A207" s="323" t="s">
        <v>184</v>
      </c>
      <c r="B207" s="324"/>
      <c r="C207" s="325">
        <f t="shared" ref="C207:K207" si="155">C200+C203+C206</f>
        <v>0</v>
      </c>
      <c r="D207" s="325">
        <f t="shared" si="155"/>
        <v>0</v>
      </c>
      <c r="E207" s="325">
        <f t="shared" si="155"/>
        <v>0</v>
      </c>
      <c r="F207" s="325">
        <f t="shared" si="155"/>
        <v>0</v>
      </c>
      <c r="G207" s="325">
        <f t="shared" si="155"/>
        <v>0</v>
      </c>
      <c r="H207" s="325">
        <f t="shared" si="155"/>
        <v>0</v>
      </c>
      <c r="I207" s="325">
        <f t="shared" ref="I207" si="156">I200+I203+I206</f>
        <v>0</v>
      </c>
      <c r="J207" s="325">
        <f t="shared" ref="J207" si="157">J200+J203+J206</f>
        <v>0</v>
      </c>
      <c r="K207" s="325">
        <f t="shared" si="155"/>
        <v>246510</v>
      </c>
      <c r="L207" s="731"/>
      <c r="M207" s="1"/>
    </row>
    <row r="208" spans="1:1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00"/>
      <c r="M208" s="1"/>
    </row>
    <row r="209" spans="1:19" x14ac:dyDescent="0.25">
      <c r="A209" s="1"/>
      <c r="B209" s="487" t="s">
        <v>267</v>
      </c>
      <c r="C209" s="488">
        <f t="shared" ref="C209:K210" si="158">C198+C201+C204</f>
        <v>6136311</v>
      </c>
      <c r="D209" s="488">
        <f t="shared" si="158"/>
        <v>6133610</v>
      </c>
      <c r="E209" s="488">
        <f t="shared" si="158"/>
        <v>6138540</v>
      </c>
      <c r="F209" s="488">
        <f t="shared" si="158"/>
        <v>6131764</v>
      </c>
      <c r="G209" s="488">
        <f t="shared" si="158"/>
        <v>6215589</v>
      </c>
      <c r="H209" s="488">
        <f t="shared" si="158"/>
        <v>6215589</v>
      </c>
      <c r="I209" s="488">
        <f t="shared" ref="I209" si="159">I198+I201+I204</f>
        <v>6227545</v>
      </c>
      <c r="J209" s="488">
        <f t="shared" ref="J209" si="160">J198+J201+J204</f>
        <v>6228469</v>
      </c>
      <c r="K209" s="488">
        <f t="shared" si="158"/>
        <v>1183590</v>
      </c>
      <c r="L209" s="732"/>
      <c r="M209" s="488">
        <f t="shared" ref="M209:P210" si="161">D209-C209</f>
        <v>-2701</v>
      </c>
      <c r="N209" s="488">
        <f t="shared" si="161"/>
        <v>4930</v>
      </c>
      <c r="O209" s="488">
        <f t="shared" si="161"/>
        <v>-6776</v>
      </c>
      <c r="P209" s="488">
        <f t="shared" si="161"/>
        <v>83825</v>
      </c>
      <c r="Q209" s="488">
        <f t="shared" ref="Q209:R210" si="162">H209-G209</f>
        <v>0</v>
      </c>
      <c r="R209" s="488">
        <f t="shared" si="162"/>
        <v>11956</v>
      </c>
      <c r="S209" s="488">
        <f>J209-I209</f>
        <v>924</v>
      </c>
    </row>
    <row r="210" spans="1:19" x14ac:dyDescent="0.25">
      <c r="A210" s="1"/>
      <c r="B210" s="487" t="s">
        <v>268</v>
      </c>
      <c r="C210" s="488">
        <f t="shared" si="158"/>
        <v>6136311</v>
      </c>
      <c r="D210" s="488">
        <f t="shared" si="158"/>
        <v>6133610</v>
      </c>
      <c r="E210" s="488">
        <f t="shared" si="158"/>
        <v>6138540</v>
      </c>
      <c r="F210" s="488">
        <f t="shared" si="158"/>
        <v>6131764</v>
      </c>
      <c r="G210" s="488">
        <f t="shared" si="158"/>
        <v>6215589</v>
      </c>
      <c r="H210" s="488">
        <f t="shared" si="158"/>
        <v>6215589</v>
      </c>
      <c r="I210" s="488">
        <f t="shared" ref="I210" si="163">I199+I202+I205</f>
        <v>6227545</v>
      </c>
      <c r="J210" s="488">
        <f t="shared" ref="J210" si="164">J199+J202+J205</f>
        <v>6228469</v>
      </c>
      <c r="K210" s="488">
        <f t="shared" si="158"/>
        <v>937080</v>
      </c>
      <c r="L210" s="732"/>
      <c r="M210" s="488">
        <f t="shared" si="161"/>
        <v>-2701</v>
      </c>
      <c r="N210" s="488">
        <f t="shared" si="161"/>
        <v>4930</v>
      </c>
      <c r="O210" s="488">
        <f t="shared" si="161"/>
        <v>-6776</v>
      </c>
      <c r="P210" s="488">
        <f t="shared" si="161"/>
        <v>83825</v>
      </c>
      <c r="Q210" s="488">
        <f t="shared" si="162"/>
        <v>0</v>
      </c>
      <c r="R210" s="488">
        <f t="shared" si="162"/>
        <v>11956</v>
      </c>
      <c r="S210" s="488">
        <f>J210-I210</f>
        <v>924</v>
      </c>
    </row>
    <row r="211" spans="1:19" x14ac:dyDescent="0.25">
      <c r="A211" s="1"/>
      <c r="B211" s="487"/>
      <c r="C211" s="488"/>
      <c r="D211" s="488"/>
      <c r="E211" s="488"/>
      <c r="F211" s="488"/>
      <c r="G211" s="488"/>
      <c r="H211" s="488"/>
      <c r="I211" s="488"/>
      <c r="J211" s="488"/>
      <c r="K211" s="488"/>
      <c r="L211" s="732"/>
      <c r="M211" s="488"/>
      <c r="N211" s="488"/>
      <c r="O211" s="488"/>
      <c r="P211" s="488"/>
      <c r="Q211" s="488"/>
      <c r="R211" s="488"/>
      <c r="S211" s="488"/>
    </row>
    <row r="212" spans="1:19" x14ac:dyDescent="0.25">
      <c r="A212" s="1"/>
      <c r="B212" s="487" t="s">
        <v>269</v>
      </c>
      <c r="C212" s="488">
        <f t="shared" ref="C212:K212" si="165">C209-C70</f>
        <v>6117611</v>
      </c>
      <c r="D212" s="488">
        <f t="shared" si="165"/>
        <v>6114910</v>
      </c>
      <c r="E212" s="488">
        <f t="shared" si="165"/>
        <v>6119840</v>
      </c>
      <c r="F212" s="488">
        <f t="shared" si="165"/>
        <v>6113064</v>
      </c>
      <c r="G212" s="488">
        <f t="shared" si="165"/>
        <v>6196889</v>
      </c>
      <c r="H212" s="488">
        <f t="shared" si="165"/>
        <v>6196889</v>
      </c>
      <c r="I212" s="488">
        <f t="shared" si="165"/>
        <v>6208845</v>
      </c>
      <c r="J212" s="488">
        <f t="shared" si="165"/>
        <v>6209769</v>
      </c>
      <c r="K212" s="488">
        <f t="shared" si="165"/>
        <v>1175723</v>
      </c>
      <c r="L212" s="732"/>
      <c r="M212" s="488">
        <f t="shared" ref="M212:P213" si="166">D212-C212</f>
        <v>-2701</v>
      </c>
      <c r="N212" s="488">
        <f t="shared" si="166"/>
        <v>4930</v>
      </c>
      <c r="O212" s="488">
        <f t="shared" si="166"/>
        <v>-6776</v>
      </c>
      <c r="P212" s="488">
        <f t="shared" si="166"/>
        <v>83825</v>
      </c>
      <c r="Q212" s="488">
        <f t="shared" ref="Q212:R213" si="167">H212-G212</f>
        <v>0</v>
      </c>
      <c r="R212" s="488">
        <f t="shared" si="167"/>
        <v>11956</v>
      </c>
      <c r="S212" s="488">
        <f>J212-I212</f>
        <v>924</v>
      </c>
    </row>
    <row r="213" spans="1:19" ht="11.45" customHeight="1" x14ac:dyDescent="0.25">
      <c r="A213" s="1"/>
      <c r="B213" s="487" t="s">
        <v>270</v>
      </c>
      <c r="C213" s="488">
        <f t="shared" ref="C213:K213" si="168">C210-C135</f>
        <v>5065211</v>
      </c>
      <c r="D213" s="488">
        <f t="shared" si="168"/>
        <v>5060412</v>
      </c>
      <c r="E213" s="488">
        <f t="shared" si="168"/>
        <v>5065342</v>
      </c>
      <c r="F213" s="488">
        <f t="shared" si="168"/>
        <v>5069205</v>
      </c>
      <c r="G213" s="488">
        <f t="shared" si="168"/>
        <v>5153030</v>
      </c>
      <c r="H213" s="488">
        <f t="shared" si="168"/>
        <v>5153030</v>
      </c>
      <c r="I213" s="488">
        <f t="shared" si="168"/>
        <v>5161347</v>
      </c>
      <c r="J213" s="488">
        <f t="shared" si="168"/>
        <v>5162271</v>
      </c>
      <c r="K213" s="488">
        <f t="shared" si="168"/>
        <v>551457</v>
      </c>
      <c r="L213" s="732"/>
      <c r="M213" s="488">
        <f t="shared" si="166"/>
        <v>-4799</v>
      </c>
      <c r="N213" s="488">
        <f t="shared" si="166"/>
        <v>4930</v>
      </c>
      <c r="O213" s="488">
        <f t="shared" si="166"/>
        <v>3863</v>
      </c>
      <c r="P213" s="488">
        <f t="shared" si="166"/>
        <v>83825</v>
      </c>
      <c r="Q213" s="488">
        <f t="shared" si="167"/>
        <v>0</v>
      </c>
      <c r="R213" s="488">
        <f t="shared" si="167"/>
        <v>8317</v>
      </c>
      <c r="S213" s="488">
        <f>J213-I213</f>
        <v>924</v>
      </c>
    </row>
    <row r="214" spans="1:19" x14ac:dyDescent="0.25">
      <c r="A214" s="1"/>
      <c r="B214" s="487"/>
      <c r="C214" s="488"/>
      <c r="D214" s="488"/>
      <c r="E214" s="488"/>
      <c r="F214" s="488"/>
      <c r="G214" s="488"/>
      <c r="H214" s="488"/>
      <c r="I214" s="488"/>
      <c r="J214" s="488"/>
      <c r="K214" s="488"/>
      <c r="L214" s="732"/>
      <c r="M214" s="488"/>
      <c r="N214" s="488"/>
      <c r="O214" s="488"/>
      <c r="P214" s="488"/>
    </row>
    <row r="215" spans="1:19" x14ac:dyDescent="0.25">
      <c r="A215" s="1"/>
      <c r="B215" s="485" t="s">
        <v>271</v>
      </c>
      <c r="C215" s="486">
        <f t="shared" ref="C215:K216" si="169">C209-C212</f>
        <v>18700</v>
      </c>
      <c r="D215" s="486">
        <f t="shared" si="169"/>
        <v>18700</v>
      </c>
      <c r="E215" s="486">
        <f t="shared" si="169"/>
        <v>18700</v>
      </c>
      <c r="F215" s="486">
        <f t="shared" si="169"/>
        <v>18700</v>
      </c>
      <c r="G215" s="486">
        <f t="shared" si="169"/>
        <v>18700</v>
      </c>
      <c r="H215" s="486">
        <f t="shared" si="169"/>
        <v>18700</v>
      </c>
      <c r="I215" s="486">
        <f t="shared" ref="I215" si="170">I209-I212</f>
        <v>18700</v>
      </c>
      <c r="J215" s="486">
        <f t="shared" ref="J215" si="171">J209-J212</f>
        <v>18700</v>
      </c>
      <c r="K215" s="486">
        <f t="shared" si="169"/>
        <v>7867</v>
      </c>
      <c r="L215" s="733"/>
      <c r="M215" s="488">
        <f t="shared" ref="M215:P216" si="172">D215-C215</f>
        <v>0</v>
      </c>
      <c r="N215" s="488">
        <f t="shared" si="172"/>
        <v>0</v>
      </c>
      <c r="O215" s="488">
        <f t="shared" si="172"/>
        <v>0</v>
      </c>
      <c r="P215" s="488">
        <f t="shared" si="172"/>
        <v>0</v>
      </c>
    </row>
    <row r="216" spans="1:19" x14ac:dyDescent="0.25">
      <c r="A216" s="100"/>
      <c r="B216" s="485" t="s">
        <v>272</v>
      </c>
      <c r="C216" s="486">
        <f t="shared" si="169"/>
        <v>1071100</v>
      </c>
      <c r="D216" s="486">
        <f t="shared" si="169"/>
        <v>1073198</v>
      </c>
      <c r="E216" s="486">
        <f t="shared" si="169"/>
        <v>1073198</v>
      </c>
      <c r="F216" s="486">
        <f t="shared" si="169"/>
        <v>1062559</v>
      </c>
      <c r="G216" s="486">
        <f t="shared" si="169"/>
        <v>1062559</v>
      </c>
      <c r="H216" s="486">
        <f t="shared" si="169"/>
        <v>1062559</v>
      </c>
      <c r="I216" s="486">
        <f t="shared" ref="I216" si="173">I210-I213</f>
        <v>1066198</v>
      </c>
      <c r="J216" s="486">
        <f t="shared" ref="J216" si="174">J210-J213</f>
        <v>1066198</v>
      </c>
      <c r="K216" s="486">
        <f t="shared" si="169"/>
        <v>385623</v>
      </c>
      <c r="L216" s="486"/>
      <c r="M216" s="488">
        <f t="shared" si="172"/>
        <v>2098</v>
      </c>
      <c r="N216" s="488">
        <f t="shared" si="172"/>
        <v>0</v>
      </c>
      <c r="O216" s="488">
        <f t="shared" si="172"/>
        <v>-10639</v>
      </c>
      <c r="P216" s="488">
        <f t="shared" si="172"/>
        <v>0</v>
      </c>
    </row>
    <row r="217" spans="1:19" x14ac:dyDescent="0.25">
      <c r="A217" s="1"/>
      <c r="B217" s="489"/>
      <c r="C217" s="486">
        <f t="shared" ref="C217:K217" si="175">C216-C215+C207</f>
        <v>1052400</v>
      </c>
      <c r="D217" s="486">
        <f t="shared" si="175"/>
        <v>1054498</v>
      </c>
      <c r="E217" s="486">
        <f t="shared" si="175"/>
        <v>1054498</v>
      </c>
      <c r="F217" s="486">
        <f t="shared" si="175"/>
        <v>1043859</v>
      </c>
      <c r="G217" s="486">
        <f t="shared" si="175"/>
        <v>1043859</v>
      </c>
      <c r="H217" s="486">
        <f t="shared" si="175"/>
        <v>1043859</v>
      </c>
      <c r="I217" s="486">
        <f t="shared" ref="I217" si="176">I216-I215+I207</f>
        <v>1047498</v>
      </c>
      <c r="J217" s="486">
        <f t="shared" ref="J217" si="177">J216-J215+J207</f>
        <v>1047498</v>
      </c>
      <c r="K217" s="486">
        <f t="shared" si="175"/>
        <v>624266</v>
      </c>
      <c r="L217" s="486"/>
      <c r="M217" s="489"/>
      <c r="N217" s="489"/>
    </row>
    <row r="218" spans="1:19" x14ac:dyDescent="0.25">
      <c r="A218" s="1"/>
      <c r="B218" s="327" t="s">
        <v>185</v>
      </c>
      <c r="C218" s="469"/>
      <c r="D218" s="327"/>
      <c r="E218" s="327"/>
      <c r="F218" s="327"/>
      <c r="G218" s="327"/>
      <c r="H218" s="327"/>
      <c r="I218" s="327"/>
      <c r="J218" s="327"/>
      <c r="K218" s="327"/>
      <c r="L218" s="327"/>
      <c r="M218" s="1"/>
    </row>
    <row r="219" spans="1:19" x14ac:dyDescent="0.25">
      <c r="A219" s="1"/>
      <c r="B219" s="327" t="s">
        <v>295</v>
      </c>
      <c r="C219" s="523"/>
      <c r="D219" s="327"/>
      <c r="E219" s="327"/>
      <c r="F219" s="327"/>
      <c r="G219" s="327"/>
      <c r="H219" s="327"/>
      <c r="I219" s="327"/>
      <c r="J219" s="327"/>
      <c r="K219" s="327"/>
      <c r="L219" s="327"/>
      <c r="M219" s="1"/>
    </row>
    <row r="220" spans="1:19" x14ac:dyDescent="0.25">
      <c r="A220" s="1"/>
      <c r="B220" s="327"/>
      <c r="C220" s="327"/>
      <c r="D220" s="327"/>
      <c r="E220" s="327"/>
      <c r="F220" s="327"/>
      <c r="G220" s="327"/>
      <c r="H220" s="327"/>
      <c r="I220" s="327"/>
      <c r="J220" s="327"/>
      <c r="K220" s="327"/>
      <c r="L220" s="327"/>
      <c r="M220" s="1"/>
    </row>
    <row r="221" spans="1:19" x14ac:dyDescent="0.25">
      <c r="A221" s="1"/>
      <c r="B221" s="327"/>
      <c r="C221" s="327"/>
      <c r="D221" s="327"/>
      <c r="E221" s="327"/>
      <c r="F221" s="327"/>
      <c r="G221" s="327"/>
      <c r="H221" s="327"/>
      <c r="I221" s="327"/>
      <c r="J221" s="327"/>
      <c r="K221" s="327"/>
      <c r="L221" s="327"/>
      <c r="M221" s="1"/>
    </row>
    <row r="222" spans="1:19" x14ac:dyDescent="0.25">
      <c r="A222" s="1"/>
      <c r="C222" s="327"/>
      <c r="D222" s="327"/>
      <c r="E222" s="327"/>
      <c r="F222" s="327"/>
      <c r="G222" s="327"/>
      <c r="H222" s="327"/>
      <c r="I222" s="327"/>
      <c r="J222" s="327"/>
      <c r="K222" s="327"/>
      <c r="L222" s="327"/>
      <c r="M222" s="1"/>
    </row>
    <row r="223" spans="1:19" x14ac:dyDescent="0.25">
      <c r="A223" s="1"/>
      <c r="B223" s="328" t="s">
        <v>611</v>
      </c>
      <c r="C223" s="327"/>
      <c r="D223" s="327"/>
      <c r="E223" s="327"/>
      <c r="F223" s="327"/>
      <c r="G223" s="327"/>
      <c r="H223" s="327"/>
      <c r="I223" s="327"/>
      <c r="J223" s="327"/>
      <c r="K223" s="327"/>
      <c r="L223" s="327"/>
      <c r="M223" s="1"/>
    </row>
    <row r="224" spans="1:19" x14ac:dyDescent="0.25">
      <c r="A224" s="1"/>
      <c r="C224" s="327"/>
      <c r="D224" s="327"/>
      <c r="E224" s="327"/>
      <c r="F224" s="327"/>
      <c r="G224" s="327"/>
      <c r="H224" s="327"/>
      <c r="I224" s="327"/>
      <c r="J224" s="327"/>
      <c r="K224" s="327"/>
      <c r="L224" s="327"/>
      <c r="M224" s="1"/>
    </row>
    <row r="225" spans="1:13" x14ac:dyDescent="0.25">
      <c r="A225" s="1"/>
      <c r="B225" s="327" t="s">
        <v>612</v>
      </c>
      <c r="C225" s="327"/>
      <c r="D225" s="327"/>
      <c r="E225" s="327"/>
      <c r="F225" s="327"/>
      <c r="G225" s="327"/>
      <c r="H225" s="327"/>
      <c r="I225" s="327"/>
      <c r="J225" s="327"/>
      <c r="K225" s="327"/>
      <c r="L225" s="327"/>
      <c r="M225" s="1"/>
    </row>
    <row r="226" spans="1:13" x14ac:dyDescent="0.25">
      <c r="A226" s="1"/>
      <c r="B226" s="327" t="s">
        <v>613</v>
      </c>
      <c r="C226" s="327"/>
      <c r="D226" s="327"/>
      <c r="E226" s="327"/>
      <c r="F226" s="327"/>
      <c r="G226" s="327"/>
      <c r="H226" s="327"/>
      <c r="I226" s="327"/>
      <c r="J226" s="327"/>
      <c r="K226" s="327"/>
      <c r="L226" s="327"/>
      <c r="M226" s="1"/>
    </row>
    <row r="227" spans="1:13" x14ac:dyDescent="0.25">
      <c r="A227" s="1"/>
      <c r="B227" s="327"/>
      <c r="C227" s="327"/>
      <c r="D227" s="327"/>
      <c r="E227" s="327"/>
      <c r="F227" s="327"/>
      <c r="G227" s="327"/>
      <c r="H227" s="327"/>
      <c r="I227" s="327"/>
      <c r="J227" s="327"/>
      <c r="K227" s="327"/>
      <c r="L227" s="327"/>
      <c r="M227" s="1"/>
    </row>
    <row r="228" spans="1:13" x14ac:dyDescent="0.25">
      <c r="A228" s="1"/>
      <c r="B228" s="329" t="s">
        <v>361</v>
      </c>
      <c r="C228" s="327"/>
      <c r="D228" s="327"/>
      <c r="E228" s="327"/>
      <c r="F228" s="327"/>
      <c r="G228" s="327"/>
      <c r="H228" s="327"/>
      <c r="I228" s="327"/>
      <c r="J228" s="327"/>
      <c r="K228" s="327"/>
      <c r="L228" s="327"/>
      <c r="M228" s="1"/>
    </row>
    <row r="229" spans="1:13" x14ac:dyDescent="0.25">
      <c r="A229" s="1"/>
      <c r="B229" s="329" t="s">
        <v>362</v>
      </c>
      <c r="C229" s="327"/>
      <c r="D229" s="327"/>
      <c r="E229" s="327"/>
      <c r="F229" s="327"/>
      <c r="G229" s="327"/>
      <c r="H229" s="327"/>
      <c r="I229" s="327"/>
      <c r="J229" s="327"/>
      <c r="K229" s="327"/>
      <c r="L229" s="327"/>
      <c r="M229" s="1"/>
    </row>
    <row r="230" spans="1:13" x14ac:dyDescent="0.25">
      <c r="A230" s="1"/>
      <c r="B230" s="329"/>
      <c r="C230" s="327"/>
      <c r="D230" s="327"/>
      <c r="E230" s="327"/>
      <c r="F230" s="327"/>
      <c r="G230" s="327"/>
      <c r="H230" s="327"/>
      <c r="I230" s="327"/>
      <c r="J230" s="327"/>
      <c r="K230" s="327"/>
      <c r="L230" s="327"/>
      <c r="M230" s="1"/>
    </row>
    <row r="231" spans="1:13" x14ac:dyDescent="0.25">
      <c r="A231" s="1"/>
      <c r="B231" s="329" t="s">
        <v>532</v>
      </c>
      <c r="C231" s="327"/>
      <c r="D231" s="327"/>
      <c r="E231" s="327"/>
      <c r="F231" s="327"/>
      <c r="G231" s="327"/>
      <c r="H231" s="327"/>
      <c r="I231" s="327"/>
      <c r="J231" s="327"/>
      <c r="K231" s="327"/>
      <c r="L231" s="327"/>
      <c r="M231" s="1"/>
    </row>
    <row r="232" spans="1:13" x14ac:dyDescent="0.25">
      <c r="A232" s="1"/>
      <c r="B232" s="329" t="s">
        <v>614</v>
      </c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25">
      <c r="A233" s="1"/>
      <c r="B233" s="329" t="s">
        <v>615</v>
      </c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25">
      <c r="A234" s="1"/>
      <c r="B234" s="326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25">
      <c r="A235" s="1"/>
      <c r="B235" s="326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25">
      <c r="M236" s="1"/>
    </row>
  </sheetData>
  <mergeCells count="24">
    <mergeCell ref="A206:B206"/>
    <mergeCell ref="A135:B135"/>
    <mergeCell ref="A139:K139"/>
    <mergeCell ref="A140:B140"/>
    <mergeCell ref="A141:B141"/>
    <mergeCell ref="A153:B153"/>
    <mergeCell ref="A174:K174"/>
    <mergeCell ref="A175:B175"/>
    <mergeCell ref="A196:K196"/>
    <mergeCell ref="A197:B197"/>
    <mergeCell ref="A200:B200"/>
    <mergeCell ref="A203:B203"/>
    <mergeCell ref="A134:B134"/>
    <mergeCell ref="A1:K1"/>
    <mergeCell ref="A2:B2"/>
    <mergeCell ref="A3:B3"/>
    <mergeCell ref="A11:B11"/>
    <mergeCell ref="A67:B67"/>
    <mergeCell ref="A69:B69"/>
    <mergeCell ref="A70:B70"/>
    <mergeCell ref="A74:K74"/>
    <mergeCell ref="A75:B75"/>
    <mergeCell ref="A91:B91"/>
    <mergeCell ref="A131:B131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Header xml:space="preserve">&amp;CRozpočet obce Heľpa na rok 2025
3. zmena 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76F71-DF50-4003-A61C-F82DA25AF36B}">
  <sheetPr>
    <pageSetUpPr fitToPage="1"/>
  </sheetPr>
  <dimension ref="A1:S236"/>
  <sheetViews>
    <sheetView zoomScale="124" zoomScaleNormal="124" workbookViewId="0">
      <selection sqref="A1:I1"/>
    </sheetView>
  </sheetViews>
  <sheetFormatPr defaultRowHeight="15" x14ac:dyDescent="0.25"/>
  <cols>
    <col min="1" max="1" width="6.42578125" customWidth="1"/>
    <col min="2" max="2" width="52.28515625" customWidth="1"/>
    <col min="3" max="9" width="12.7109375" customWidth="1"/>
    <col min="10" max="10" width="7.42578125" customWidth="1"/>
    <col min="11" max="11" width="10.85546875" customWidth="1"/>
    <col min="12" max="12" width="10" customWidth="1"/>
  </cols>
  <sheetData>
    <row r="1" spans="1:19" ht="18.75" thickBot="1" x14ac:dyDescent="0.3">
      <c r="A1" s="888" t="s">
        <v>0</v>
      </c>
      <c r="B1" s="889"/>
      <c r="C1" s="889"/>
      <c r="D1" s="889"/>
      <c r="E1" s="889"/>
      <c r="F1" s="889"/>
      <c r="G1" s="889"/>
      <c r="H1" s="889"/>
      <c r="I1" s="889"/>
      <c r="J1" s="725"/>
      <c r="K1" s="1"/>
    </row>
    <row r="2" spans="1:19" ht="46.5" customHeight="1" thickBot="1" x14ac:dyDescent="0.3">
      <c r="A2" s="890" t="s">
        <v>1</v>
      </c>
      <c r="B2" s="891"/>
      <c r="C2" s="387" t="s">
        <v>467</v>
      </c>
      <c r="D2" s="387" t="s">
        <v>465</v>
      </c>
      <c r="E2" s="387" t="s">
        <v>483</v>
      </c>
      <c r="F2" s="387" t="s">
        <v>500</v>
      </c>
      <c r="G2" s="387" t="s">
        <v>533</v>
      </c>
      <c r="H2" s="387" t="s">
        <v>578</v>
      </c>
      <c r="I2" s="387" t="s">
        <v>577</v>
      </c>
      <c r="J2" s="727" t="s">
        <v>479</v>
      </c>
      <c r="K2" s="1"/>
    </row>
    <row r="3" spans="1:19" ht="15.75" thickBot="1" x14ac:dyDescent="0.3">
      <c r="A3" s="892" t="s">
        <v>4</v>
      </c>
      <c r="B3" s="893"/>
      <c r="C3" s="2">
        <f t="shared" ref="C3:I3" si="0">SUM(C4:C10)</f>
        <v>1338200</v>
      </c>
      <c r="D3" s="2">
        <f t="shared" si="0"/>
        <v>1338200</v>
      </c>
      <c r="E3" s="2">
        <f t="shared" si="0"/>
        <v>1338200</v>
      </c>
      <c r="F3" s="2">
        <f t="shared" si="0"/>
        <v>1338200</v>
      </c>
      <c r="G3" s="2">
        <f t="shared" ref="G3:H3" si="1">SUM(G4:G10)</f>
        <v>1338200</v>
      </c>
      <c r="H3" s="2">
        <f t="shared" si="1"/>
        <v>1338200</v>
      </c>
      <c r="I3" s="2">
        <f t="shared" si="0"/>
        <v>375095</v>
      </c>
      <c r="J3" s="728">
        <f>I3/H3</f>
        <v>0.28029816170975935</v>
      </c>
      <c r="K3" s="1"/>
    </row>
    <row r="4" spans="1:19" ht="15.75" thickBot="1" x14ac:dyDescent="0.3">
      <c r="A4" s="3">
        <v>111</v>
      </c>
      <c r="B4" s="120" t="s">
        <v>5</v>
      </c>
      <c r="C4" s="6">
        <v>1227300</v>
      </c>
      <c r="D4" s="6">
        <v>1227300</v>
      </c>
      <c r="E4" s="6">
        <v>1227300</v>
      </c>
      <c r="F4" s="6">
        <v>1227300</v>
      </c>
      <c r="G4" s="6">
        <v>1227300</v>
      </c>
      <c r="H4" s="6">
        <v>1227300</v>
      </c>
      <c r="I4" s="6">
        <v>332119</v>
      </c>
      <c r="J4" s="728">
        <f t="shared" ref="J4:J67" si="2">I4/H4</f>
        <v>0.27060946793774954</v>
      </c>
      <c r="K4" s="1"/>
    </row>
    <row r="5" spans="1:19" ht="15.75" thickBot="1" x14ac:dyDescent="0.3">
      <c r="A5" s="7">
        <v>121</v>
      </c>
      <c r="B5" s="332" t="s">
        <v>6</v>
      </c>
      <c r="C5" s="11">
        <v>61200</v>
      </c>
      <c r="D5" s="11">
        <v>61200</v>
      </c>
      <c r="E5" s="11">
        <v>61200</v>
      </c>
      <c r="F5" s="11">
        <v>61200</v>
      </c>
      <c r="G5" s="11">
        <v>61200</v>
      </c>
      <c r="H5" s="11">
        <v>61200</v>
      </c>
      <c r="I5" s="11">
        <v>15691</v>
      </c>
      <c r="J5" s="728">
        <f t="shared" si="2"/>
        <v>0.25638888888888889</v>
      </c>
      <c r="K5" s="1"/>
    </row>
    <row r="6" spans="1:19" x14ac:dyDescent="0.25">
      <c r="A6" s="12">
        <v>133</v>
      </c>
      <c r="B6" s="333" t="s">
        <v>7</v>
      </c>
      <c r="C6" s="16">
        <v>2000</v>
      </c>
      <c r="D6" s="16">
        <v>2000</v>
      </c>
      <c r="E6" s="16">
        <v>2000</v>
      </c>
      <c r="F6" s="16">
        <v>2000</v>
      </c>
      <c r="G6" s="16">
        <v>2000</v>
      </c>
      <c r="H6" s="16">
        <v>2000</v>
      </c>
      <c r="I6" s="16">
        <v>1384</v>
      </c>
      <c r="J6" s="728">
        <f t="shared" si="2"/>
        <v>0.69199999999999995</v>
      </c>
      <c r="K6" s="1"/>
    </row>
    <row r="7" spans="1:19" x14ac:dyDescent="0.25">
      <c r="A7" s="17">
        <v>133</v>
      </c>
      <c r="B7" s="334" t="s">
        <v>8</v>
      </c>
      <c r="C7" s="21">
        <v>200</v>
      </c>
      <c r="D7" s="21">
        <v>200</v>
      </c>
      <c r="E7" s="21">
        <v>200</v>
      </c>
      <c r="F7" s="21">
        <v>200</v>
      </c>
      <c r="G7" s="21">
        <v>200</v>
      </c>
      <c r="H7" s="21">
        <v>200</v>
      </c>
      <c r="I7" s="21">
        <v>0</v>
      </c>
      <c r="J7" s="728">
        <f t="shared" si="2"/>
        <v>0</v>
      </c>
      <c r="K7" s="1"/>
    </row>
    <row r="8" spans="1:19" x14ac:dyDescent="0.25">
      <c r="A8" s="17">
        <v>133</v>
      </c>
      <c r="B8" s="334" t="s">
        <v>9</v>
      </c>
      <c r="C8" s="21">
        <v>6000</v>
      </c>
      <c r="D8" s="21">
        <v>6000</v>
      </c>
      <c r="E8" s="21">
        <v>6000</v>
      </c>
      <c r="F8" s="21">
        <v>6000</v>
      </c>
      <c r="G8" s="21">
        <v>6000</v>
      </c>
      <c r="H8" s="21">
        <v>6000</v>
      </c>
      <c r="I8" s="21">
        <v>1009</v>
      </c>
      <c r="J8" s="728">
        <f t="shared" si="2"/>
        <v>0.16816666666666666</v>
      </c>
      <c r="K8" s="1"/>
    </row>
    <row r="9" spans="1:19" x14ac:dyDescent="0.25">
      <c r="A9" s="17">
        <v>133</v>
      </c>
      <c r="B9" s="334" t="s">
        <v>10</v>
      </c>
      <c r="C9" s="21">
        <v>6500</v>
      </c>
      <c r="D9" s="21">
        <v>6500</v>
      </c>
      <c r="E9" s="21">
        <v>6500</v>
      </c>
      <c r="F9" s="21">
        <v>6500</v>
      </c>
      <c r="G9" s="21">
        <v>6500</v>
      </c>
      <c r="H9" s="21">
        <v>6500</v>
      </c>
      <c r="I9" s="21">
        <v>324</v>
      </c>
      <c r="J9" s="728">
        <f t="shared" si="2"/>
        <v>4.9846153846153846E-2</v>
      </c>
      <c r="K9" s="1"/>
    </row>
    <row r="10" spans="1:19" ht="15.75" thickBot="1" x14ac:dyDescent="0.3">
      <c r="A10" s="22">
        <v>133</v>
      </c>
      <c r="B10" s="335" t="s">
        <v>11</v>
      </c>
      <c r="C10" s="26">
        <v>35000</v>
      </c>
      <c r="D10" s="26">
        <v>35000</v>
      </c>
      <c r="E10" s="26">
        <v>35000</v>
      </c>
      <c r="F10" s="26">
        <v>35000</v>
      </c>
      <c r="G10" s="26">
        <v>35000</v>
      </c>
      <c r="H10" s="26">
        <v>35000</v>
      </c>
      <c r="I10" s="26">
        <v>24568</v>
      </c>
      <c r="J10" s="728">
        <f t="shared" si="2"/>
        <v>0.70194285714285709</v>
      </c>
      <c r="K10" s="27">
        <f>SUM(D6:D10)</f>
        <v>49700</v>
      </c>
      <c r="L10" s="27">
        <f>SUM(I6:I10)</f>
        <v>27285</v>
      </c>
      <c r="M10" s="27"/>
      <c r="N10" s="27"/>
      <c r="O10" s="27"/>
      <c r="P10" s="27"/>
      <c r="Q10" s="27"/>
    </row>
    <row r="11" spans="1:19" ht="15.75" thickBot="1" x14ac:dyDescent="0.3">
      <c r="A11" s="892" t="s">
        <v>12</v>
      </c>
      <c r="B11" s="893"/>
      <c r="C11" s="336">
        <f t="shared" ref="C11:I11" si="3">SUM(C12:C30)</f>
        <v>247720</v>
      </c>
      <c r="D11" s="336">
        <f t="shared" si="3"/>
        <v>247720</v>
      </c>
      <c r="E11" s="336">
        <f t="shared" si="3"/>
        <v>247720</v>
      </c>
      <c r="F11" s="336">
        <f t="shared" si="3"/>
        <v>247720</v>
      </c>
      <c r="G11" s="336">
        <f t="shared" si="3"/>
        <v>247720</v>
      </c>
      <c r="H11" s="336">
        <f t="shared" ref="H11" si="4">SUM(H12:H30)</f>
        <v>247720</v>
      </c>
      <c r="I11" s="336">
        <f t="shared" si="3"/>
        <v>53798</v>
      </c>
      <c r="J11" s="728">
        <f t="shared" si="2"/>
        <v>0.217172614241886</v>
      </c>
      <c r="K11" s="1"/>
    </row>
    <row r="12" spans="1:19" x14ac:dyDescent="0.25">
      <c r="A12" s="28">
        <v>212</v>
      </c>
      <c r="B12" s="29" t="s">
        <v>13</v>
      </c>
      <c r="C12" s="32">
        <v>3032</v>
      </c>
      <c r="D12" s="692">
        <f>3032-20+127</f>
        <v>3139</v>
      </c>
      <c r="E12" s="32">
        <f>3032-20+127</f>
        <v>3139</v>
      </c>
      <c r="F12" s="32">
        <f>3032-20+127</f>
        <v>3139</v>
      </c>
      <c r="G12" s="32">
        <f>3032-20+127</f>
        <v>3139</v>
      </c>
      <c r="H12" s="32">
        <f>3032-20+127</f>
        <v>3139</v>
      </c>
      <c r="I12" s="32">
        <v>525</v>
      </c>
      <c r="J12" s="728">
        <f t="shared" si="2"/>
        <v>0.16725071678878622</v>
      </c>
      <c r="K12" s="1"/>
    </row>
    <row r="13" spans="1:19" x14ac:dyDescent="0.25">
      <c r="A13" s="17">
        <v>212</v>
      </c>
      <c r="B13" s="18" t="s">
        <v>14</v>
      </c>
      <c r="C13" s="21">
        <v>1000</v>
      </c>
      <c r="D13" s="21">
        <v>1000</v>
      </c>
      <c r="E13" s="21">
        <v>1000</v>
      </c>
      <c r="F13" s="21">
        <v>1000</v>
      </c>
      <c r="G13" s="21">
        <v>1000</v>
      </c>
      <c r="H13" s="21">
        <v>1000</v>
      </c>
      <c r="I13" s="21">
        <v>60</v>
      </c>
      <c r="J13" s="728">
        <f t="shared" si="2"/>
        <v>0.06</v>
      </c>
      <c r="K13" s="27"/>
    </row>
    <row r="14" spans="1:19" x14ac:dyDescent="0.25">
      <c r="A14" s="12">
        <v>212</v>
      </c>
      <c r="B14" s="13" t="s">
        <v>15</v>
      </c>
      <c r="C14" s="82">
        <v>3425</v>
      </c>
      <c r="D14" s="82">
        <v>3425</v>
      </c>
      <c r="E14" s="82">
        <v>3425</v>
      </c>
      <c r="F14" s="82">
        <v>3425</v>
      </c>
      <c r="G14" s="82">
        <v>3425</v>
      </c>
      <c r="H14" s="82">
        <v>3425</v>
      </c>
      <c r="I14" s="82">
        <v>907</v>
      </c>
      <c r="J14" s="728">
        <f t="shared" si="2"/>
        <v>0.26481751824817518</v>
      </c>
      <c r="K14" s="1"/>
    </row>
    <row r="15" spans="1:19" x14ac:dyDescent="0.25">
      <c r="A15" s="17">
        <v>212</v>
      </c>
      <c r="B15" s="18" t="s">
        <v>16</v>
      </c>
      <c r="C15" s="21">
        <v>19463</v>
      </c>
      <c r="D15" s="693">
        <f>19463+129-236</f>
        <v>19356</v>
      </c>
      <c r="E15" s="21">
        <f>19463+129-236</f>
        <v>19356</v>
      </c>
      <c r="F15" s="21">
        <f>19463+129-236</f>
        <v>19356</v>
      </c>
      <c r="G15" s="21">
        <f>19463+129-236</f>
        <v>19356</v>
      </c>
      <c r="H15" s="21">
        <f>19463+129-236</f>
        <v>19356</v>
      </c>
      <c r="I15" s="21">
        <v>4409</v>
      </c>
      <c r="J15" s="728">
        <f t="shared" si="2"/>
        <v>0.22778466625335814</v>
      </c>
      <c r="K15" s="27"/>
    </row>
    <row r="16" spans="1:19" ht="15.75" thickBot="1" x14ac:dyDescent="0.3">
      <c r="A16" s="35">
        <v>212</v>
      </c>
      <c r="B16" s="36" t="s">
        <v>17</v>
      </c>
      <c r="C16" s="39">
        <v>100</v>
      </c>
      <c r="D16" s="39">
        <v>100</v>
      </c>
      <c r="E16" s="39">
        <v>100</v>
      </c>
      <c r="F16" s="39">
        <v>100</v>
      </c>
      <c r="G16" s="39">
        <v>100</v>
      </c>
      <c r="H16" s="39">
        <v>100</v>
      </c>
      <c r="I16" s="39">
        <v>0</v>
      </c>
      <c r="J16" s="728">
        <f t="shared" si="2"/>
        <v>0</v>
      </c>
      <c r="K16" s="426">
        <f>SUM(G12:G16)</f>
        <v>27020</v>
      </c>
      <c r="L16" s="426">
        <f>SUM(I12:I16)</f>
        <v>5901</v>
      </c>
      <c r="M16" s="426"/>
      <c r="N16" s="426"/>
      <c r="O16" s="426"/>
      <c r="P16" s="426"/>
      <c r="Q16" s="426"/>
      <c r="R16" s="27"/>
      <c r="S16" s="426"/>
    </row>
    <row r="17" spans="1:19" ht="15.75" thickBot="1" x14ac:dyDescent="0.3">
      <c r="A17" s="7">
        <v>221</v>
      </c>
      <c r="B17" s="8" t="s">
        <v>18</v>
      </c>
      <c r="C17" s="41">
        <v>7200</v>
      </c>
      <c r="D17" s="41">
        <v>7200</v>
      </c>
      <c r="E17" s="41">
        <v>7200</v>
      </c>
      <c r="F17" s="41">
        <v>7200</v>
      </c>
      <c r="G17" s="41">
        <v>7200</v>
      </c>
      <c r="H17" s="41">
        <v>7200</v>
      </c>
      <c r="I17" s="41">
        <v>2407</v>
      </c>
      <c r="J17" s="728">
        <f t="shared" si="2"/>
        <v>0.33430555555555558</v>
      </c>
      <c r="K17" s="1"/>
    </row>
    <row r="18" spans="1:19" ht="15.75" thickBot="1" x14ac:dyDescent="0.3">
      <c r="A18" s="35">
        <v>222</v>
      </c>
      <c r="B18" s="36" t="s">
        <v>19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728">
        <v>0</v>
      </c>
      <c r="K18" s="1"/>
    </row>
    <row r="19" spans="1:19" x14ac:dyDescent="0.25">
      <c r="A19" s="12">
        <v>223</v>
      </c>
      <c r="B19" s="13" t="s">
        <v>20</v>
      </c>
      <c r="C19" s="16">
        <v>900</v>
      </c>
      <c r="D19" s="16">
        <v>900</v>
      </c>
      <c r="E19" s="16">
        <v>900</v>
      </c>
      <c r="F19" s="16">
        <v>900</v>
      </c>
      <c r="G19" s="16">
        <v>900</v>
      </c>
      <c r="H19" s="16">
        <v>900</v>
      </c>
      <c r="I19" s="16">
        <v>39</v>
      </c>
      <c r="J19" s="728">
        <f t="shared" si="2"/>
        <v>4.3333333333333335E-2</v>
      </c>
      <c r="K19" s="1"/>
    </row>
    <row r="20" spans="1:19" x14ac:dyDescent="0.25">
      <c r="A20" s="17">
        <v>223</v>
      </c>
      <c r="B20" s="18" t="s">
        <v>21</v>
      </c>
      <c r="C20" s="21">
        <v>25000</v>
      </c>
      <c r="D20" s="21">
        <v>25000</v>
      </c>
      <c r="E20" s="21">
        <v>25000</v>
      </c>
      <c r="F20" s="21">
        <v>25000</v>
      </c>
      <c r="G20" s="21">
        <v>25000</v>
      </c>
      <c r="H20" s="21">
        <v>25000</v>
      </c>
      <c r="I20" s="21">
        <v>6610</v>
      </c>
      <c r="J20" s="728">
        <f t="shared" si="2"/>
        <v>0.26440000000000002</v>
      </c>
      <c r="K20" s="1"/>
    </row>
    <row r="21" spans="1:19" x14ac:dyDescent="0.25">
      <c r="A21" s="17">
        <v>223</v>
      </c>
      <c r="B21" s="18" t="s">
        <v>22</v>
      </c>
      <c r="C21" s="21">
        <v>100</v>
      </c>
      <c r="D21" s="21">
        <v>100</v>
      </c>
      <c r="E21" s="21">
        <v>100</v>
      </c>
      <c r="F21" s="21">
        <v>100</v>
      </c>
      <c r="G21" s="21">
        <v>100</v>
      </c>
      <c r="H21" s="21">
        <v>100</v>
      </c>
      <c r="I21" s="21">
        <v>0</v>
      </c>
      <c r="J21" s="728">
        <f t="shared" si="2"/>
        <v>0</v>
      </c>
      <c r="K21" s="1"/>
    </row>
    <row r="22" spans="1:19" x14ac:dyDescent="0.25">
      <c r="A22" s="17">
        <v>223</v>
      </c>
      <c r="B22" s="18" t="s">
        <v>290</v>
      </c>
      <c r="C22" s="21">
        <v>3000</v>
      </c>
      <c r="D22" s="21">
        <v>3000</v>
      </c>
      <c r="E22" s="21">
        <v>3000</v>
      </c>
      <c r="F22" s="21">
        <v>3000</v>
      </c>
      <c r="G22" s="21">
        <v>3000</v>
      </c>
      <c r="H22" s="21">
        <v>3000</v>
      </c>
      <c r="I22" s="21">
        <v>1098</v>
      </c>
      <c r="J22" s="728">
        <f t="shared" si="2"/>
        <v>0.36599999999999999</v>
      </c>
      <c r="K22" s="1"/>
    </row>
    <row r="23" spans="1:19" x14ac:dyDescent="0.25">
      <c r="A23" s="17">
        <v>223</v>
      </c>
      <c r="B23" s="18" t="s">
        <v>23</v>
      </c>
      <c r="C23" s="21">
        <v>2000</v>
      </c>
      <c r="D23" s="21">
        <v>2000</v>
      </c>
      <c r="E23" s="21">
        <v>2000</v>
      </c>
      <c r="F23" s="21">
        <v>2000</v>
      </c>
      <c r="G23" s="21">
        <v>2000</v>
      </c>
      <c r="H23" s="21">
        <v>2000</v>
      </c>
      <c r="I23" s="21">
        <v>0</v>
      </c>
      <c r="J23" s="728">
        <f t="shared" si="2"/>
        <v>0</v>
      </c>
      <c r="K23" s="1"/>
    </row>
    <row r="24" spans="1:19" x14ac:dyDescent="0.25">
      <c r="A24" s="17">
        <v>223</v>
      </c>
      <c r="B24" s="18" t="s">
        <v>24</v>
      </c>
      <c r="C24" s="21">
        <v>1000</v>
      </c>
      <c r="D24" s="21">
        <v>1000</v>
      </c>
      <c r="E24" s="21">
        <v>1000</v>
      </c>
      <c r="F24" s="21">
        <v>1000</v>
      </c>
      <c r="G24" s="21">
        <v>1000</v>
      </c>
      <c r="H24" s="21">
        <v>1000</v>
      </c>
      <c r="I24" s="21">
        <v>160</v>
      </c>
      <c r="J24" s="728">
        <f t="shared" si="2"/>
        <v>0.16</v>
      </c>
      <c r="K24" s="1"/>
    </row>
    <row r="25" spans="1:19" x14ac:dyDescent="0.25">
      <c r="A25" s="17">
        <v>223</v>
      </c>
      <c r="B25" s="18" t="s">
        <v>25</v>
      </c>
      <c r="C25" s="21">
        <v>46000</v>
      </c>
      <c r="D25" s="21">
        <v>46000</v>
      </c>
      <c r="E25" s="21">
        <v>46000</v>
      </c>
      <c r="F25" s="21">
        <v>46000</v>
      </c>
      <c r="G25" s="21">
        <v>46000</v>
      </c>
      <c r="H25" s="21">
        <v>46000</v>
      </c>
      <c r="I25" s="21">
        <v>11013</v>
      </c>
      <c r="J25" s="728">
        <f t="shared" si="2"/>
        <v>0.23941304347826087</v>
      </c>
      <c r="K25" s="1"/>
    </row>
    <row r="26" spans="1:19" x14ac:dyDescent="0.25">
      <c r="A26" s="17">
        <v>223</v>
      </c>
      <c r="B26" s="18" t="s">
        <v>26</v>
      </c>
      <c r="C26" s="21">
        <v>61000</v>
      </c>
      <c r="D26" s="21">
        <v>61000</v>
      </c>
      <c r="E26" s="21">
        <v>61000</v>
      </c>
      <c r="F26" s="21">
        <v>61000</v>
      </c>
      <c r="G26" s="21">
        <v>61000</v>
      </c>
      <c r="H26" s="21">
        <v>61000</v>
      </c>
      <c r="I26" s="21">
        <v>14362</v>
      </c>
      <c r="J26" s="728">
        <f t="shared" si="2"/>
        <v>0.23544262295081966</v>
      </c>
      <c r="K26" s="1"/>
    </row>
    <row r="27" spans="1:19" x14ac:dyDescent="0.25">
      <c r="A27" s="17">
        <v>223</v>
      </c>
      <c r="B27" s="18" t="s">
        <v>28</v>
      </c>
      <c r="C27" s="21">
        <v>2100</v>
      </c>
      <c r="D27" s="21">
        <v>2100</v>
      </c>
      <c r="E27" s="21">
        <v>2100</v>
      </c>
      <c r="F27" s="21">
        <v>2100</v>
      </c>
      <c r="G27" s="21">
        <v>2100</v>
      </c>
      <c r="H27" s="21">
        <v>2100</v>
      </c>
      <c r="I27" s="21">
        <v>637</v>
      </c>
      <c r="J27" s="728">
        <f t="shared" si="2"/>
        <v>0.30333333333333334</v>
      </c>
      <c r="K27" s="1"/>
    </row>
    <row r="28" spans="1:19" x14ac:dyDescent="0.25">
      <c r="A28" s="17">
        <v>223</v>
      </c>
      <c r="B28" s="18" t="s">
        <v>214</v>
      </c>
      <c r="C28" s="21">
        <v>1300</v>
      </c>
      <c r="D28" s="21">
        <v>1300</v>
      </c>
      <c r="E28" s="21">
        <v>1300</v>
      </c>
      <c r="F28" s="21">
        <v>1300</v>
      </c>
      <c r="G28" s="21">
        <v>1300</v>
      </c>
      <c r="H28" s="21">
        <v>1300</v>
      </c>
      <c r="I28" s="21">
        <v>480</v>
      </c>
      <c r="J28" s="728">
        <f t="shared" si="2"/>
        <v>0.36923076923076925</v>
      </c>
      <c r="K28" s="1"/>
    </row>
    <row r="29" spans="1:19" x14ac:dyDescent="0.25">
      <c r="A29" s="43">
        <v>223</v>
      </c>
      <c r="B29" s="44" t="s">
        <v>29</v>
      </c>
      <c r="C29" s="46">
        <v>71000</v>
      </c>
      <c r="D29" s="46">
        <v>71000</v>
      </c>
      <c r="E29" s="46">
        <v>71000</v>
      </c>
      <c r="F29" s="46">
        <v>71000</v>
      </c>
      <c r="G29" s="46">
        <v>71000</v>
      </c>
      <c r="H29" s="46">
        <v>71000</v>
      </c>
      <c r="I29" s="46">
        <v>11091</v>
      </c>
      <c r="J29" s="728">
        <f t="shared" si="2"/>
        <v>0.15621126760563381</v>
      </c>
      <c r="K29" s="27"/>
    </row>
    <row r="30" spans="1:19" ht="15.75" thickBot="1" x14ac:dyDescent="0.3">
      <c r="A30" s="22">
        <v>223</v>
      </c>
      <c r="B30" s="23" t="s">
        <v>30</v>
      </c>
      <c r="C30" s="79">
        <v>100</v>
      </c>
      <c r="D30" s="79">
        <v>100</v>
      </c>
      <c r="E30" s="79">
        <v>100</v>
      </c>
      <c r="F30" s="79">
        <v>100</v>
      </c>
      <c r="G30" s="79">
        <v>100</v>
      </c>
      <c r="H30" s="79">
        <v>100</v>
      </c>
      <c r="I30" s="48">
        <v>0</v>
      </c>
      <c r="J30" s="728">
        <f t="shared" si="2"/>
        <v>0</v>
      </c>
      <c r="K30" s="27">
        <f>SUM(G19:G30)</f>
        <v>213500</v>
      </c>
      <c r="L30" s="27">
        <f>SUM(I19:I30)</f>
        <v>45490</v>
      </c>
      <c r="M30" s="27"/>
      <c r="N30" s="27"/>
      <c r="O30" s="27"/>
      <c r="P30" s="27"/>
      <c r="Q30" s="27"/>
      <c r="R30" s="426"/>
      <c r="S30" s="426"/>
    </row>
    <row r="31" spans="1:19" ht="15.75" thickBot="1" x14ac:dyDescent="0.3">
      <c r="A31" s="766" t="s">
        <v>31</v>
      </c>
      <c r="B31" s="767"/>
      <c r="C31" s="2">
        <f t="shared" ref="C31:I31" si="5">SUM(C32)</f>
        <v>50</v>
      </c>
      <c r="D31" s="2">
        <f t="shared" si="5"/>
        <v>50</v>
      </c>
      <c r="E31" s="2">
        <f t="shared" si="5"/>
        <v>50</v>
      </c>
      <c r="F31" s="2">
        <f t="shared" si="5"/>
        <v>50</v>
      </c>
      <c r="G31" s="2">
        <f t="shared" si="5"/>
        <v>50</v>
      </c>
      <c r="H31" s="2">
        <f t="shared" si="5"/>
        <v>50</v>
      </c>
      <c r="I31" s="2">
        <f t="shared" si="5"/>
        <v>5</v>
      </c>
      <c r="J31" s="728">
        <f t="shared" si="2"/>
        <v>0.1</v>
      </c>
      <c r="K31" s="27">
        <f>SUM(D17:D30)</f>
        <v>220700</v>
      </c>
      <c r="L31" s="27">
        <f>SUM(I17:I30)</f>
        <v>47897</v>
      </c>
    </row>
    <row r="32" spans="1:19" ht="15.75" thickBot="1" x14ac:dyDescent="0.3">
      <c r="A32" s="51">
        <v>240</v>
      </c>
      <c r="B32" s="47" t="s">
        <v>32</v>
      </c>
      <c r="C32" s="38">
        <v>50</v>
      </c>
      <c r="D32" s="38">
        <v>50</v>
      </c>
      <c r="E32" s="38">
        <v>50</v>
      </c>
      <c r="F32" s="38">
        <v>50</v>
      </c>
      <c r="G32" s="38">
        <v>50</v>
      </c>
      <c r="H32" s="38">
        <v>50</v>
      </c>
      <c r="I32" s="38">
        <v>5</v>
      </c>
      <c r="J32" s="728">
        <f t="shared" si="2"/>
        <v>0.1</v>
      </c>
      <c r="K32" s="1"/>
    </row>
    <row r="33" spans="1:13" ht="15.75" thickBot="1" x14ac:dyDescent="0.3">
      <c r="A33" s="766" t="s">
        <v>33</v>
      </c>
      <c r="B33" s="767"/>
      <c r="C33" s="336">
        <f t="shared" ref="C33:I33" si="6">SUM(C34:C38)</f>
        <v>60240</v>
      </c>
      <c r="D33" s="336">
        <f t="shared" si="6"/>
        <v>60255</v>
      </c>
      <c r="E33" s="336">
        <f t="shared" si="6"/>
        <v>64505</v>
      </c>
      <c r="F33" s="336">
        <f t="shared" si="6"/>
        <v>64505</v>
      </c>
      <c r="G33" s="336">
        <f t="shared" si="6"/>
        <v>64505</v>
      </c>
      <c r="H33" s="336">
        <f t="shared" ref="H33" si="7">SUM(H34:H38)</f>
        <v>64505</v>
      </c>
      <c r="I33" s="336">
        <f t="shared" si="6"/>
        <v>22692</v>
      </c>
      <c r="J33" s="728">
        <f t="shared" si="2"/>
        <v>0.3517866832028525</v>
      </c>
      <c r="K33" s="1"/>
    </row>
    <row r="34" spans="1:13" x14ac:dyDescent="0.25">
      <c r="A34" s="57">
        <v>292</v>
      </c>
      <c r="B34" s="58" t="s">
        <v>36</v>
      </c>
      <c r="C34" s="61">
        <v>10000</v>
      </c>
      <c r="D34" s="695">
        <f>10000+4250</f>
        <v>14250</v>
      </c>
      <c r="E34" s="695">
        <f>10000+4250</f>
        <v>14250</v>
      </c>
      <c r="F34" s="61">
        <f>10000+4250</f>
        <v>14250</v>
      </c>
      <c r="G34" s="61">
        <f>10000+4250</f>
        <v>14250</v>
      </c>
      <c r="H34" s="61">
        <f>10000+4250</f>
        <v>14250</v>
      </c>
      <c r="I34" s="61">
        <v>14231</v>
      </c>
      <c r="J34" s="728">
        <f t="shared" si="2"/>
        <v>0.9986666666666667</v>
      </c>
      <c r="K34" s="1"/>
    </row>
    <row r="35" spans="1:13" x14ac:dyDescent="0.25">
      <c r="A35" s="57">
        <v>292</v>
      </c>
      <c r="B35" s="58" t="s">
        <v>37</v>
      </c>
      <c r="C35" s="60">
        <v>500</v>
      </c>
      <c r="D35" s="60">
        <v>500</v>
      </c>
      <c r="E35" s="60">
        <v>500</v>
      </c>
      <c r="F35" s="60">
        <v>500</v>
      </c>
      <c r="G35" s="60">
        <v>500</v>
      </c>
      <c r="H35" s="60">
        <v>500</v>
      </c>
      <c r="I35" s="60">
        <v>197</v>
      </c>
      <c r="J35" s="728">
        <f t="shared" si="2"/>
        <v>0.39400000000000002</v>
      </c>
      <c r="K35" s="1"/>
    </row>
    <row r="36" spans="1:13" x14ac:dyDescent="0.25">
      <c r="A36" s="57">
        <v>292</v>
      </c>
      <c r="B36" s="18" t="s">
        <v>38</v>
      </c>
      <c r="C36" s="64">
        <v>380</v>
      </c>
      <c r="D36" s="689">
        <f>380+15</f>
        <v>395</v>
      </c>
      <c r="E36" s="64">
        <f>380+15</f>
        <v>395</v>
      </c>
      <c r="F36" s="64">
        <f>380+15</f>
        <v>395</v>
      </c>
      <c r="G36" s="64">
        <f>380+15</f>
        <v>395</v>
      </c>
      <c r="H36" s="64">
        <f>380+15</f>
        <v>395</v>
      </c>
      <c r="I36" s="64">
        <v>0</v>
      </c>
      <c r="J36" s="728">
        <f t="shared" si="2"/>
        <v>0</v>
      </c>
      <c r="K36" s="1"/>
    </row>
    <row r="37" spans="1:13" x14ac:dyDescent="0.25">
      <c r="A37" s="57">
        <v>292</v>
      </c>
      <c r="B37" s="58" t="s">
        <v>188</v>
      </c>
      <c r="C37" s="60">
        <f>49730-C36</f>
        <v>49350</v>
      </c>
      <c r="D37" s="694">
        <f>49730+15-4250-D36</f>
        <v>45100</v>
      </c>
      <c r="E37" s="694">
        <f>49730+15-4250-E36+4250</f>
        <v>49350</v>
      </c>
      <c r="F37" s="60">
        <f>49730+15-4250-F36+4250</f>
        <v>49350</v>
      </c>
      <c r="G37" s="60">
        <f>49730+15-4250-G36+4250</f>
        <v>49350</v>
      </c>
      <c r="H37" s="60">
        <f>49730+15-4250-H36+4250</f>
        <v>49350</v>
      </c>
      <c r="I37" s="60">
        <v>8263</v>
      </c>
      <c r="J37" s="728">
        <f t="shared" si="2"/>
        <v>0.16743667679837893</v>
      </c>
      <c r="K37" s="27">
        <f>SUM(G36:G37)</f>
        <v>49745</v>
      </c>
      <c r="L37" s="27">
        <f>SUM(I36:I37)</f>
        <v>8263</v>
      </c>
      <c r="M37" s="27"/>
    </row>
    <row r="38" spans="1:13" ht="15.75" thickBot="1" x14ac:dyDescent="0.3">
      <c r="A38" s="57">
        <v>292</v>
      </c>
      <c r="B38" s="58" t="s">
        <v>260</v>
      </c>
      <c r="C38" s="60">
        <v>10</v>
      </c>
      <c r="D38" s="60">
        <v>10</v>
      </c>
      <c r="E38" s="60">
        <v>10</v>
      </c>
      <c r="F38" s="60">
        <v>10</v>
      </c>
      <c r="G38" s="60">
        <v>10</v>
      </c>
      <c r="H38" s="60">
        <v>10</v>
      </c>
      <c r="I38" s="60">
        <v>1</v>
      </c>
      <c r="J38" s="728">
        <f t="shared" si="2"/>
        <v>0.1</v>
      </c>
      <c r="K38" s="1"/>
    </row>
    <row r="39" spans="1:13" ht="15.75" thickBot="1" x14ac:dyDescent="0.3">
      <c r="A39" s="65" t="s">
        <v>39</v>
      </c>
      <c r="B39" s="340"/>
      <c r="C39" s="336">
        <f t="shared" ref="C39:I39" si="8">SUM(C40:C63)</f>
        <v>1306665</v>
      </c>
      <c r="D39" s="336">
        <f t="shared" si="8"/>
        <v>1306322</v>
      </c>
      <c r="E39" s="336">
        <f t="shared" si="8"/>
        <v>1319182</v>
      </c>
      <c r="F39" s="336">
        <f t="shared" si="8"/>
        <v>1312406</v>
      </c>
      <c r="G39" s="336">
        <f t="shared" si="8"/>
        <v>1312406</v>
      </c>
      <c r="H39" s="336">
        <f t="shared" ref="H39" si="9">SUM(H40:H63)</f>
        <v>1312406</v>
      </c>
      <c r="I39" s="336">
        <f t="shared" si="8"/>
        <v>418698</v>
      </c>
      <c r="J39" s="728">
        <f t="shared" si="2"/>
        <v>0.31903084868554393</v>
      </c>
      <c r="K39" s="1"/>
    </row>
    <row r="40" spans="1:13" x14ac:dyDescent="0.25">
      <c r="A40" s="67">
        <v>311</v>
      </c>
      <c r="B40" s="341" t="s">
        <v>40</v>
      </c>
      <c r="C40" s="68">
        <v>0</v>
      </c>
      <c r="D40" s="68">
        <v>0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728">
        <v>0</v>
      </c>
      <c r="K40" s="1"/>
    </row>
    <row r="41" spans="1:13" x14ac:dyDescent="0.25">
      <c r="A41" s="67">
        <v>312</v>
      </c>
      <c r="B41" s="334" t="s">
        <v>279</v>
      </c>
      <c r="C41" s="70">
        <v>69225</v>
      </c>
      <c r="D41" s="70">
        <v>69225</v>
      </c>
      <c r="E41" s="70">
        <v>69225</v>
      </c>
      <c r="F41" s="70">
        <v>69225</v>
      </c>
      <c r="G41" s="70">
        <v>69225</v>
      </c>
      <c r="H41" s="70">
        <v>69225</v>
      </c>
      <c r="I41" s="70">
        <v>49246</v>
      </c>
      <c r="J41" s="728">
        <f t="shared" si="2"/>
        <v>0.71139039364391476</v>
      </c>
      <c r="K41" s="1"/>
    </row>
    <row r="42" spans="1:13" x14ac:dyDescent="0.25">
      <c r="A42" s="71">
        <v>312</v>
      </c>
      <c r="B42" s="334" t="s">
        <v>193</v>
      </c>
      <c r="C42" s="16">
        <f t="shared" ref="C42:H42" si="10">62400+500</f>
        <v>62900</v>
      </c>
      <c r="D42" s="16">
        <f t="shared" si="10"/>
        <v>62900</v>
      </c>
      <c r="E42" s="16">
        <f t="shared" si="10"/>
        <v>62900</v>
      </c>
      <c r="F42" s="16">
        <f t="shared" si="10"/>
        <v>62900</v>
      </c>
      <c r="G42" s="16">
        <f t="shared" si="10"/>
        <v>62900</v>
      </c>
      <c r="H42" s="16">
        <f t="shared" si="10"/>
        <v>62900</v>
      </c>
      <c r="I42" s="16">
        <v>44683</v>
      </c>
      <c r="J42" s="728">
        <f t="shared" si="2"/>
        <v>0.7103815580286168</v>
      </c>
      <c r="K42" s="1"/>
    </row>
    <row r="43" spans="1:13" x14ac:dyDescent="0.25">
      <c r="A43" s="71">
        <v>312</v>
      </c>
      <c r="B43" s="334" t="s">
        <v>194</v>
      </c>
      <c r="C43" s="16">
        <v>500</v>
      </c>
      <c r="D43" s="16">
        <v>500</v>
      </c>
      <c r="E43" s="16">
        <v>500</v>
      </c>
      <c r="F43" s="16">
        <v>500</v>
      </c>
      <c r="G43" s="16">
        <v>500</v>
      </c>
      <c r="H43" s="16">
        <v>500</v>
      </c>
      <c r="I43" s="16">
        <v>300</v>
      </c>
      <c r="J43" s="728">
        <f t="shared" si="2"/>
        <v>0.6</v>
      </c>
      <c r="K43" s="27"/>
    </row>
    <row r="44" spans="1:13" x14ac:dyDescent="0.25">
      <c r="A44" s="71">
        <v>312</v>
      </c>
      <c r="B44" s="114" t="s">
        <v>41</v>
      </c>
      <c r="C44" s="73">
        <v>0</v>
      </c>
      <c r="D44" s="696">
        <f>57+660</f>
        <v>717</v>
      </c>
      <c r="E44" s="73">
        <f>57+660</f>
        <v>717</v>
      </c>
      <c r="F44" s="73">
        <f>57+660</f>
        <v>717</v>
      </c>
      <c r="G44" s="73">
        <f>57+660</f>
        <v>717</v>
      </c>
      <c r="H44" s="73">
        <f>57+660</f>
        <v>717</v>
      </c>
      <c r="I44" s="73">
        <v>151</v>
      </c>
      <c r="J44" s="728">
        <f t="shared" si="2"/>
        <v>0.2105997210599721</v>
      </c>
      <c r="K44" s="27"/>
    </row>
    <row r="45" spans="1:13" x14ac:dyDescent="0.25">
      <c r="A45" s="83">
        <v>312</v>
      </c>
      <c r="B45" s="114" t="s">
        <v>344</v>
      </c>
      <c r="C45" s="501">
        <v>9680</v>
      </c>
      <c r="D45" s="501">
        <v>9680</v>
      </c>
      <c r="E45" s="501">
        <v>9680</v>
      </c>
      <c r="F45" s="501">
        <v>9680</v>
      </c>
      <c r="G45" s="501">
        <v>9680</v>
      </c>
      <c r="H45" s="501">
        <v>9680</v>
      </c>
      <c r="I45" s="501">
        <v>0</v>
      </c>
      <c r="J45" s="728">
        <f t="shared" si="2"/>
        <v>0</v>
      </c>
      <c r="K45" s="27"/>
      <c r="L45" s="426"/>
    </row>
    <row r="46" spans="1:13" x14ac:dyDescent="0.25">
      <c r="A46" s="83">
        <v>312</v>
      </c>
      <c r="B46" s="114" t="s">
        <v>345</v>
      </c>
      <c r="C46" s="501">
        <v>0</v>
      </c>
      <c r="D46" s="501">
        <v>0</v>
      </c>
      <c r="E46" s="501">
        <v>0</v>
      </c>
      <c r="F46" s="501">
        <v>0</v>
      </c>
      <c r="G46" s="501">
        <v>0</v>
      </c>
      <c r="H46" s="501">
        <v>0</v>
      </c>
      <c r="I46" s="501">
        <v>0</v>
      </c>
      <c r="J46" s="728">
        <v>0</v>
      </c>
      <c r="K46" s="27"/>
      <c r="L46" s="426"/>
    </row>
    <row r="47" spans="1:13" x14ac:dyDescent="0.25">
      <c r="A47" s="83">
        <v>312</v>
      </c>
      <c r="B47" s="114" t="s">
        <v>346</v>
      </c>
      <c r="C47" s="501">
        <v>1450</v>
      </c>
      <c r="D47" s="501">
        <v>1450</v>
      </c>
      <c r="E47" s="501">
        <v>1450</v>
      </c>
      <c r="F47" s="501">
        <v>1450</v>
      </c>
      <c r="G47" s="501">
        <v>1450</v>
      </c>
      <c r="H47" s="501">
        <v>1450</v>
      </c>
      <c r="I47" s="501">
        <v>0</v>
      </c>
      <c r="J47" s="728">
        <f t="shared" si="2"/>
        <v>0</v>
      </c>
      <c r="K47" s="27"/>
      <c r="L47" s="426"/>
    </row>
    <row r="48" spans="1:13" x14ac:dyDescent="0.25">
      <c r="A48" s="83">
        <v>312</v>
      </c>
      <c r="B48" s="114" t="s">
        <v>336</v>
      </c>
      <c r="C48" s="501">
        <v>5000</v>
      </c>
      <c r="D48" s="34">
        <v>5000</v>
      </c>
      <c r="E48" s="34">
        <v>5000</v>
      </c>
      <c r="F48" s="34">
        <v>5000</v>
      </c>
      <c r="G48" s="34">
        <v>5000</v>
      </c>
      <c r="H48" s="34">
        <v>5000</v>
      </c>
      <c r="I48" s="501">
        <v>0</v>
      </c>
      <c r="J48" s="728">
        <f t="shared" si="2"/>
        <v>0</v>
      </c>
      <c r="K48" s="27"/>
      <c r="L48" s="426"/>
    </row>
    <row r="49" spans="1:14" x14ac:dyDescent="0.25">
      <c r="A49" s="476">
        <v>312</v>
      </c>
      <c r="B49" s="155" t="s">
        <v>501</v>
      </c>
      <c r="C49" s="561">
        <v>0</v>
      </c>
      <c r="D49" s="561">
        <v>0</v>
      </c>
      <c r="E49" s="756">
        <v>12860</v>
      </c>
      <c r="F49" s="561">
        <v>12860</v>
      </c>
      <c r="G49" s="561">
        <v>12860</v>
      </c>
      <c r="H49" s="561">
        <v>12860</v>
      </c>
      <c r="I49" s="561">
        <v>0</v>
      </c>
      <c r="J49" s="728">
        <f t="shared" si="2"/>
        <v>0</v>
      </c>
      <c r="K49" s="27"/>
      <c r="L49" s="426"/>
    </row>
    <row r="50" spans="1:14" ht="15.75" thickBot="1" x14ac:dyDescent="0.3">
      <c r="A50" s="74">
        <v>312</v>
      </c>
      <c r="B50" s="81" t="s">
        <v>43</v>
      </c>
      <c r="C50" s="75">
        <v>50</v>
      </c>
      <c r="D50" s="75">
        <v>50</v>
      </c>
      <c r="E50" s="75">
        <v>50</v>
      </c>
      <c r="F50" s="75">
        <v>50</v>
      </c>
      <c r="G50" s="75">
        <v>50</v>
      </c>
      <c r="H50" s="75">
        <v>50</v>
      </c>
      <c r="I50" s="75">
        <v>0</v>
      </c>
      <c r="J50" s="728">
        <f t="shared" si="2"/>
        <v>0</v>
      </c>
      <c r="K50" s="1"/>
    </row>
    <row r="51" spans="1:14" ht="15.75" thickBot="1" x14ac:dyDescent="0.3">
      <c r="A51" s="330">
        <v>312</v>
      </c>
      <c r="B51" s="342" t="s">
        <v>273</v>
      </c>
      <c r="C51" s="331">
        <v>4000</v>
      </c>
      <c r="D51" s="331">
        <v>4000</v>
      </c>
      <c r="E51" s="331">
        <v>4000</v>
      </c>
      <c r="F51" s="331">
        <v>4000</v>
      </c>
      <c r="G51" s="331">
        <v>4000</v>
      </c>
      <c r="H51" s="331">
        <v>4000</v>
      </c>
      <c r="I51" s="331">
        <v>0</v>
      </c>
      <c r="J51" s="728">
        <f t="shared" si="2"/>
        <v>0</v>
      </c>
      <c r="K51" s="27"/>
    </row>
    <row r="52" spans="1:14" x14ac:dyDescent="0.25">
      <c r="A52" s="71">
        <v>312</v>
      </c>
      <c r="B52" s="84" t="s">
        <v>44</v>
      </c>
      <c r="C52" s="16">
        <v>1600</v>
      </c>
      <c r="D52" s="16">
        <v>1600</v>
      </c>
      <c r="E52" s="16">
        <v>1600</v>
      </c>
      <c r="F52" s="16">
        <v>1600</v>
      </c>
      <c r="G52" s="16">
        <v>1600</v>
      </c>
      <c r="H52" s="16">
        <v>1600</v>
      </c>
      <c r="I52" s="16">
        <v>100</v>
      </c>
      <c r="J52" s="728">
        <f t="shared" si="2"/>
        <v>6.25E-2</v>
      </c>
      <c r="K52" s="1"/>
    </row>
    <row r="53" spans="1:14" ht="15.75" thickBot="1" x14ac:dyDescent="0.3">
      <c r="A53" s="77">
        <v>312</v>
      </c>
      <c r="B53" s="161" t="s">
        <v>46</v>
      </c>
      <c r="C53" s="79">
        <f t="shared" ref="C53:H53" si="11">350+5600</f>
        <v>5950</v>
      </c>
      <c r="D53" s="79">
        <f t="shared" si="11"/>
        <v>5950</v>
      </c>
      <c r="E53" s="79">
        <f t="shared" si="11"/>
        <v>5950</v>
      </c>
      <c r="F53" s="79">
        <f t="shared" si="11"/>
        <v>5950</v>
      </c>
      <c r="G53" s="79">
        <f t="shared" si="11"/>
        <v>5950</v>
      </c>
      <c r="H53" s="79">
        <f t="shared" si="11"/>
        <v>5950</v>
      </c>
      <c r="I53" s="79">
        <v>0</v>
      </c>
      <c r="J53" s="728">
        <f t="shared" si="2"/>
        <v>0</v>
      </c>
      <c r="K53" s="1"/>
    </row>
    <row r="54" spans="1:14" x14ac:dyDescent="0.25">
      <c r="A54" s="71">
        <v>312</v>
      </c>
      <c r="B54" s="84" t="s">
        <v>347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728">
        <v>0</v>
      </c>
      <c r="K54" s="1"/>
    </row>
    <row r="55" spans="1:14" ht="15.75" thickBot="1" x14ac:dyDescent="0.3">
      <c r="A55" s="74">
        <v>312</v>
      </c>
      <c r="B55" s="81" t="s">
        <v>48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28">
        <v>0</v>
      </c>
      <c r="K55" s="1"/>
    </row>
    <row r="56" spans="1:14" x14ac:dyDescent="0.25">
      <c r="A56" s="71">
        <v>312</v>
      </c>
      <c r="B56" s="333" t="s">
        <v>49</v>
      </c>
      <c r="C56" s="82">
        <f>4800+810+40</f>
        <v>5650</v>
      </c>
      <c r="D56" s="697">
        <f>5650-10-10</f>
        <v>5630</v>
      </c>
      <c r="E56" s="82">
        <f>5650-10-10</f>
        <v>5630</v>
      </c>
      <c r="F56" s="82">
        <f>5650-10-10</f>
        <v>5630</v>
      </c>
      <c r="G56" s="82">
        <f>5650-10-10</f>
        <v>5630</v>
      </c>
      <c r="H56" s="82">
        <f>5650-10-10</f>
        <v>5630</v>
      </c>
      <c r="I56" s="82">
        <v>5592</v>
      </c>
      <c r="J56" s="728">
        <f t="shared" si="2"/>
        <v>0.99325044404973362</v>
      </c>
      <c r="K56" s="27"/>
      <c r="L56" s="27"/>
      <c r="M56" s="27"/>
    </row>
    <row r="57" spans="1:14" x14ac:dyDescent="0.25">
      <c r="A57" s="83">
        <v>312</v>
      </c>
      <c r="B57" s="343" t="s">
        <v>50</v>
      </c>
      <c r="C57" s="21">
        <f>7050+300+110</f>
        <v>7460</v>
      </c>
      <c r="D57" s="693">
        <f>7460+70</f>
        <v>7530</v>
      </c>
      <c r="E57" s="21">
        <f>7460+70</f>
        <v>7530</v>
      </c>
      <c r="F57" s="21">
        <f>7460+70</f>
        <v>7530</v>
      </c>
      <c r="G57" s="21">
        <f>7460+70</f>
        <v>7530</v>
      </c>
      <c r="H57" s="21">
        <f>7460+70</f>
        <v>7530</v>
      </c>
      <c r="I57" s="21">
        <v>0</v>
      </c>
      <c r="J57" s="728">
        <f t="shared" si="2"/>
        <v>0</v>
      </c>
      <c r="K57" s="27"/>
      <c r="L57" s="27"/>
      <c r="M57" s="27"/>
    </row>
    <row r="58" spans="1:14" x14ac:dyDescent="0.25">
      <c r="A58" s="83">
        <v>312</v>
      </c>
      <c r="B58" s="344" t="s">
        <v>502</v>
      </c>
      <c r="C58" s="33">
        <v>161700</v>
      </c>
      <c r="D58" s="698">
        <f>161700+3</f>
        <v>161703</v>
      </c>
      <c r="E58" s="33">
        <f>161700+3</f>
        <v>161703</v>
      </c>
      <c r="F58" s="698">
        <f>161700+3+3863</f>
        <v>165566</v>
      </c>
      <c r="G58" s="33">
        <f>161700+3+3863</f>
        <v>165566</v>
      </c>
      <c r="H58" s="33">
        <f>161700+3+3863</f>
        <v>165566</v>
      </c>
      <c r="I58" s="33">
        <v>42829</v>
      </c>
      <c r="J58" s="728">
        <f t="shared" si="2"/>
        <v>0.25868233816121666</v>
      </c>
      <c r="K58" s="27"/>
      <c r="L58" s="27"/>
      <c r="M58" s="27"/>
    </row>
    <row r="59" spans="1:14" x14ac:dyDescent="0.25">
      <c r="A59" s="71">
        <v>312</v>
      </c>
      <c r="B59" s="114" t="s">
        <v>249</v>
      </c>
      <c r="C59" s="16">
        <v>190000</v>
      </c>
      <c r="D59" s="16">
        <v>190000</v>
      </c>
      <c r="E59" s="16">
        <v>190000</v>
      </c>
      <c r="F59" s="16">
        <v>190000</v>
      </c>
      <c r="G59" s="16">
        <v>190000</v>
      </c>
      <c r="H59" s="16">
        <v>190000</v>
      </c>
      <c r="I59" s="16">
        <v>47215</v>
      </c>
      <c r="J59" s="728">
        <f t="shared" si="2"/>
        <v>0.2485</v>
      </c>
      <c r="K59" s="27"/>
    </row>
    <row r="60" spans="1:14" ht="15.75" thickBot="1" x14ac:dyDescent="0.3">
      <c r="A60" s="77">
        <v>312</v>
      </c>
      <c r="B60" s="161" t="s">
        <v>51</v>
      </c>
      <c r="C60" s="79">
        <v>58200</v>
      </c>
      <c r="D60" s="79">
        <v>58200</v>
      </c>
      <c r="E60" s="79">
        <v>58200</v>
      </c>
      <c r="F60" s="79">
        <v>58200</v>
      </c>
      <c r="G60" s="79">
        <v>58200</v>
      </c>
      <c r="H60" s="79">
        <v>58200</v>
      </c>
      <c r="I60" s="79">
        <v>14492</v>
      </c>
      <c r="J60" s="728">
        <f t="shared" si="2"/>
        <v>0.24900343642611683</v>
      </c>
      <c r="K60" s="27"/>
    </row>
    <row r="61" spans="1:14" x14ac:dyDescent="0.25">
      <c r="A61" s="71">
        <v>315</v>
      </c>
      <c r="B61" s="76" t="s">
        <v>47</v>
      </c>
      <c r="C61" s="16">
        <v>3000</v>
      </c>
      <c r="D61" s="16">
        <v>3000</v>
      </c>
      <c r="E61" s="16">
        <v>3000</v>
      </c>
      <c r="F61" s="16">
        <v>3000</v>
      </c>
      <c r="G61" s="16">
        <v>3000</v>
      </c>
      <c r="H61" s="16">
        <v>3000</v>
      </c>
      <c r="I61" s="16">
        <v>0</v>
      </c>
      <c r="J61" s="728">
        <f t="shared" si="2"/>
        <v>0</v>
      </c>
      <c r="K61" s="1"/>
    </row>
    <row r="62" spans="1:14" ht="15.75" thickBot="1" x14ac:dyDescent="0.3">
      <c r="A62" s="77">
        <v>315</v>
      </c>
      <c r="B62" s="78" t="s">
        <v>236</v>
      </c>
      <c r="C62" s="79">
        <v>300</v>
      </c>
      <c r="D62" s="79">
        <v>300</v>
      </c>
      <c r="E62" s="79">
        <v>300</v>
      </c>
      <c r="F62" s="79">
        <v>300</v>
      </c>
      <c r="G62" s="79">
        <v>300</v>
      </c>
      <c r="H62" s="79">
        <v>300</v>
      </c>
      <c r="I62" s="79">
        <v>100</v>
      </c>
      <c r="J62" s="728">
        <f t="shared" si="2"/>
        <v>0.33333333333333331</v>
      </c>
      <c r="K62" s="27">
        <f>SUM(G61:G62)</f>
        <v>3300</v>
      </c>
    </row>
    <row r="63" spans="1:14" ht="15.75" thickBot="1" x14ac:dyDescent="0.3">
      <c r="A63" s="514">
        <v>312</v>
      </c>
      <c r="B63" s="515" t="s">
        <v>307</v>
      </c>
      <c r="C63" s="519">
        <v>720000</v>
      </c>
      <c r="D63" s="724">
        <f>720000-1806+693</f>
        <v>718887</v>
      </c>
      <c r="E63" s="519">
        <f>720000-1806+693</f>
        <v>718887</v>
      </c>
      <c r="F63" s="724">
        <f>720000-1806+693-10639</f>
        <v>708248</v>
      </c>
      <c r="G63" s="519">
        <f>720000-1806+693-10639</f>
        <v>708248</v>
      </c>
      <c r="H63" s="519">
        <f>720000-1806+693-10639</f>
        <v>708248</v>
      </c>
      <c r="I63" s="519">
        <v>213990</v>
      </c>
      <c r="J63" s="728">
        <f t="shared" si="2"/>
        <v>0.30213992838666681</v>
      </c>
      <c r="K63" s="27"/>
      <c r="L63" s="27">
        <f>SUM(G41:G60)+G63</f>
        <v>1309106</v>
      </c>
      <c r="M63" s="27">
        <f>SUM(I41:I60)+I63</f>
        <v>418598</v>
      </c>
    </row>
    <row r="64" spans="1:14" ht="21" customHeight="1" thickBot="1" x14ac:dyDescent="0.3">
      <c r="A64" s="85" t="s">
        <v>52</v>
      </c>
      <c r="B64" s="345"/>
      <c r="C64" s="358">
        <f t="shared" ref="C64:I64" si="12">SUM(C3+C11+C31+C33+C39)</f>
        <v>2952875</v>
      </c>
      <c r="D64" s="358">
        <f t="shared" si="12"/>
        <v>2952547</v>
      </c>
      <c r="E64" s="358">
        <f t="shared" si="12"/>
        <v>2969657</v>
      </c>
      <c r="F64" s="358">
        <f t="shared" si="12"/>
        <v>2962881</v>
      </c>
      <c r="G64" s="358">
        <f t="shared" si="12"/>
        <v>2962881</v>
      </c>
      <c r="H64" s="358">
        <f t="shared" ref="H64" si="13">SUM(H3+H11+H31+H33+H39)</f>
        <v>2962881</v>
      </c>
      <c r="I64" s="358">
        <f t="shared" si="12"/>
        <v>870288</v>
      </c>
      <c r="J64" s="728">
        <f t="shared" si="2"/>
        <v>0.29373032531512405</v>
      </c>
      <c r="K64" s="27">
        <f>D64-C64</f>
        <v>-328</v>
      </c>
      <c r="L64" s="27">
        <f>E64-D64</f>
        <v>17110</v>
      </c>
      <c r="M64" s="27">
        <f>F64-E64</f>
        <v>-6776</v>
      </c>
      <c r="N64" s="27">
        <f>G64-F64</f>
        <v>0</v>
      </c>
    </row>
    <row r="65" spans="1:14" x14ac:dyDescent="0.25">
      <c r="A65" s="87" t="s">
        <v>53</v>
      </c>
      <c r="B65" s="88" t="s">
        <v>54</v>
      </c>
      <c r="C65" s="89">
        <f>1500</f>
        <v>1500</v>
      </c>
      <c r="D65" s="89">
        <f>1500</f>
        <v>1500</v>
      </c>
      <c r="E65" s="89">
        <f>1500</f>
        <v>1500</v>
      </c>
      <c r="F65" s="89">
        <f>1500</f>
        <v>1500</v>
      </c>
      <c r="G65" s="89">
        <f>1500</f>
        <v>1500</v>
      </c>
      <c r="H65" s="89">
        <f>1500</f>
        <v>1500</v>
      </c>
      <c r="I65" s="89">
        <v>0</v>
      </c>
      <c r="J65" s="728">
        <f t="shared" si="2"/>
        <v>0</v>
      </c>
      <c r="K65" s="1"/>
      <c r="L65" s="1"/>
      <c r="M65" s="1"/>
      <c r="N65" s="1"/>
    </row>
    <row r="66" spans="1:14" ht="15.75" thickBot="1" x14ac:dyDescent="0.3">
      <c r="A66" s="90" t="s">
        <v>53</v>
      </c>
      <c r="B66" s="88" t="s">
        <v>55</v>
      </c>
      <c r="C66" s="91">
        <v>3600</v>
      </c>
      <c r="D66" s="91">
        <v>3600</v>
      </c>
      <c r="E66" s="91">
        <v>3600</v>
      </c>
      <c r="F66" s="91">
        <v>3600</v>
      </c>
      <c r="G66" s="91">
        <v>3600</v>
      </c>
      <c r="H66" s="91">
        <v>3600</v>
      </c>
      <c r="I66" s="91">
        <v>1092</v>
      </c>
      <c r="J66" s="728">
        <f t="shared" si="2"/>
        <v>0.30333333333333334</v>
      </c>
      <c r="K66" s="1"/>
      <c r="L66" s="1"/>
      <c r="M66" s="1"/>
      <c r="N66" s="1"/>
    </row>
    <row r="67" spans="1:14" ht="19.899999999999999" customHeight="1" thickBot="1" x14ac:dyDescent="0.3">
      <c r="A67" s="894" t="s">
        <v>57</v>
      </c>
      <c r="B67" s="895"/>
      <c r="C67" s="95">
        <f t="shared" ref="C67:I67" si="14">SUM(C65:C66)</f>
        <v>5100</v>
      </c>
      <c r="D67" s="95">
        <f t="shared" si="14"/>
        <v>5100</v>
      </c>
      <c r="E67" s="95">
        <f t="shared" si="14"/>
        <v>5100</v>
      </c>
      <c r="F67" s="95">
        <f t="shared" si="14"/>
        <v>5100</v>
      </c>
      <c r="G67" s="95">
        <f t="shared" si="14"/>
        <v>5100</v>
      </c>
      <c r="H67" s="95">
        <f t="shared" ref="H67" si="15">SUM(H65:H66)</f>
        <v>5100</v>
      </c>
      <c r="I67" s="95">
        <f t="shared" si="14"/>
        <v>1092</v>
      </c>
      <c r="J67" s="728">
        <f t="shared" si="2"/>
        <v>0.21411764705882352</v>
      </c>
      <c r="K67" s="27">
        <f>D67-C67</f>
        <v>0</v>
      </c>
      <c r="L67" s="27">
        <f>E67-D67</f>
        <v>0</v>
      </c>
      <c r="M67" s="27">
        <f>F67-E67</f>
        <v>0</v>
      </c>
      <c r="N67" s="27">
        <f>G67-F67</f>
        <v>0</v>
      </c>
    </row>
    <row r="68" spans="1:14" ht="16.5" thickBot="1" x14ac:dyDescent="0.3">
      <c r="A68" s="96" t="s">
        <v>53</v>
      </c>
      <c r="B68" s="97" t="s">
        <v>58</v>
      </c>
      <c r="C68" s="418">
        <v>13600</v>
      </c>
      <c r="D68" s="418">
        <v>13600</v>
      </c>
      <c r="E68" s="418">
        <v>13600</v>
      </c>
      <c r="F68" s="418">
        <v>13600</v>
      </c>
      <c r="G68" s="418">
        <v>13600</v>
      </c>
      <c r="H68" s="418">
        <v>13600</v>
      </c>
      <c r="I68" s="418">
        <v>6775</v>
      </c>
      <c r="J68" s="728">
        <f t="shared" ref="J68:J131" si="16">I68/H68</f>
        <v>0.49816176470588236</v>
      </c>
      <c r="K68" s="103"/>
      <c r="L68" s="103"/>
      <c r="M68" s="103"/>
      <c r="N68" s="103"/>
    </row>
    <row r="69" spans="1:14" ht="21" customHeight="1" thickBot="1" x14ac:dyDescent="0.3">
      <c r="A69" s="894" t="s">
        <v>217</v>
      </c>
      <c r="B69" s="895"/>
      <c r="C69" s="414">
        <f t="shared" ref="C69:I69" si="17">SUM(C68:C68)</f>
        <v>13600</v>
      </c>
      <c r="D69" s="414">
        <f t="shared" si="17"/>
        <v>13600</v>
      </c>
      <c r="E69" s="414">
        <f t="shared" si="17"/>
        <v>13600</v>
      </c>
      <c r="F69" s="414">
        <f t="shared" si="17"/>
        <v>13600</v>
      </c>
      <c r="G69" s="414">
        <f t="shared" si="17"/>
        <v>13600</v>
      </c>
      <c r="H69" s="414">
        <f t="shared" ref="H69" si="18">SUM(H68:H68)</f>
        <v>13600</v>
      </c>
      <c r="I69" s="414">
        <f t="shared" si="17"/>
        <v>6775</v>
      </c>
      <c r="J69" s="728">
        <f t="shared" si="16"/>
        <v>0.49816176470588236</v>
      </c>
      <c r="K69" s="27">
        <f t="shared" ref="K69:N71" si="19">D69-C69</f>
        <v>0</v>
      </c>
      <c r="L69" s="27">
        <f t="shared" si="19"/>
        <v>0</v>
      </c>
      <c r="M69" s="27">
        <f t="shared" si="19"/>
        <v>0</v>
      </c>
      <c r="N69" s="27">
        <f t="shared" si="19"/>
        <v>0</v>
      </c>
    </row>
    <row r="70" spans="1:14" ht="19.5" customHeight="1" thickBot="1" x14ac:dyDescent="0.3">
      <c r="A70" s="896" t="s">
        <v>59</v>
      </c>
      <c r="B70" s="897"/>
      <c r="C70" s="99">
        <f t="shared" ref="C70:I70" si="20">C67+C69</f>
        <v>18700</v>
      </c>
      <c r="D70" s="99">
        <f t="shared" si="20"/>
        <v>18700</v>
      </c>
      <c r="E70" s="99">
        <f t="shared" si="20"/>
        <v>18700</v>
      </c>
      <c r="F70" s="99">
        <f t="shared" si="20"/>
        <v>18700</v>
      </c>
      <c r="G70" s="99">
        <f t="shared" si="20"/>
        <v>18700</v>
      </c>
      <c r="H70" s="99">
        <f t="shared" ref="H70" si="21">H67+H69</f>
        <v>18700</v>
      </c>
      <c r="I70" s="99">
        <f t="shared" si="20"/>
        <v>7867</v>
      </c>
      <c r="J70" s="728">
        <f t="shared" si="16"/>
        <v>0.42069518716577542</v>
      </c>
      <c r="K70" s="27">
        <f t="shared" si="19"/>
        <v>0</v>
      </c>
      <c r="L70" s="27">
        <f t="shared" si="19"/>
        <v>0</v>
      </c>
      <c r="M70" s="27">
        <f t="shared" si="19"/>
        <v>0</v>
      </c>
      <c r="N70" s="27">
        <f t="shared" si="19"/>
        <v>0</v>
      </c>
    </row>
    <row r="71" spans="1:14" ht="30.75" customHeight="1" thickBot="1" x14ac:dyDescent="0.3">
      <c r="A71" s="85" t="s">
        <v>60</v>
      </c>
      <c r="B71" s="66"/>
      <c r="C71" s="86">
        <f t="shared" ref="C71:I71" si="22">C64+C70</f>
        <v>2971575</v>
      </c>
      <c r="D71" s="86">
        <f t="shared" si="22"/>
        <v>2971247</v>
      </c>
      <c r="E71" s="86">
        <f t="shared" si="22"/>
        <v>2988357</v>
      </c>
      <c r="F71" s="86">
        <f t="shared" si="22"/>
        <v>2981581</v>
      </c>
      <c r="G71" s="86">
        <f t="shared" si="22"/>
        <v>2981581</v>
      </c>
      <c r="H71" s="86">
        <f t="shared" ref="H71" si="23">H64+H70</f>
        <v>2981581</v>
      </c>
      <c r="I71" s="86">
        <f t="shared" si="22"/>
        <v>878155</v>
      </c>
      <c r="J71" s="728">
        <f t="shared" si="16"/>
        <v>0.29452662865774903</v>
      </c>
      <c r="K71" s="27">
        <f t="shared" si="19"/>
        <v>-328</v>
      </c>
      <c r="L71" s="27">
        <f t="shared" si="19"/>
        <v>17110</v>
      </c>
      <c r="M71" s="27">
        <f t="shared" si="19"/>
        <v>-6776</v>
      </c>
      <c r="N71" s="27">
        <f t="shared" si="19"/>
        <v>0</v>
      </c>
    </row>
    <row r="72" spans="1:14" x14ac:dyDescent="0.25">
      <c r="A72" s="1"/>
      <c r="B72" s="1"/>
      <c r="C72" s="100"/>
      <c r="D72" s="100"/>
      <c r="E72" s="100"/>
      <c r="F72" s="100"/>
      <c r="G72" s="100"/>
      <c r="H72" s="100"/>
      <c r="I72" s="100"/>
      <c r="J72" s="728"/>
      <c r="K72" s="1"/>
    </row>
    <row r="73" spans="1:14" ht="15.75" x14ac:dyDescent="0.25">
      <c r="A73" s="101"/>
      <c r="B73" s="102"/>
      <c r="C73" s="103"/>
      <c r="D73" s="103"/>
      <c r="E73" s="103"/>
      <c r="F73" s="103"/>
      <c r="G73" s="103"/>
      <c r="H73" s="103"/>
      <c r="I73" s="103"/>
      <c r="J73" s="728"/>
      <c r="K73" s="1"/>
    </row>
    <row r="74" spans="1:14" ht="18.75" thickBot="1" x14ac:dyDescent="0.3">
      <c r="A74" s="898" t="s">
        <v>61</v>
      </c>
      <c r="B74" s="899"/>
      <c r="C74" s="899"/>
      <c r="D74" s="899"/>
      <c r="E74" s="899"/>
      <c r="F74" s="899"/>
      <c r="G74" s="899"/>
      <c r="H74" s="899"/>
      <c r="I74" s="899"/>
      <c r="J74" s="728"/>
      <c r="K74" s="1"/>
    </row>
    <row r="75" spans="1:14" ht="36" customHeight="1" thickBot="1" x14ac:dyDescent="0.3">
      <c r="A75" s="876" t="s">
        <v>1</v>
      </c>
      <c r="B75" s="900"/>
      <c r="C75" s="387" t="s">
        <v>467</v>
      </c>
      <c r="D75" s="387" t="s">
        <v>465</v>
      </c>
      <c r="E75" s="387" t="s">
        <v>483</v>
      </c>
      <c r="F75" s="387" t="s">
        <v>500</v>
      </c>
      <c r="G75" s="387" t="s">
        <v>533</v>
      </c>
      <c r="H75" s="387" t="s">
        <v>578</v>
      </c>
      <c r="I75" s="387" t="s">
        <v>577</v>
      </c>
      <c r="J75" s="728"/>
      <c r="K75" s="1"/>
    </row>
    <row r="76" spans="1:14" ht="15.75" thickBot="1" x14ac:dyDescent="0.3">
      <c r="A76" s="104" t="s">
        <v>62</v>
      </c>
      <c r="B76" s="105"/>
      <c r="C76" s="108">
        <f t="shared" ref="C76:I76" si="24">SUM(C77:C81)</f>
        <v>317110</v>
      </c>
      <c r="D76" s="108">
        <f t="shared" si="24"/>
        <v>317090</v>
      </c>
      <c r="E76" s="108">
        <f t="shared" si="24"/>
        <v>317090</v>
      </c>
      <c r="F76" s="108">
        <f t="shared" si="24"/>
        <v>317090</v>
      </c>
      <c r="G76" s="108">
        <f t="shared" ref="G76:H76" si="25">SUM(G77:G81)</f>
        <v>317090</v>
      </c>
      <c r="H76" s="108">
        <f t="shared" si="25"/>
        <v>317090</v>
      </c>
      <c r="I76" s="108">
        <f t="shared" si="24"/>
        <v>62438</v>
      </c>
      <c r="J76" s="728">
        <f t="shared" si="16"/>
        <v>0.19690939480904476</v>
      </c>
      <c r="K76" s="1"/>
    </row>
    <row r="77" spans="1:14" x14ac:dyDescent="0.25">
      <c r="A77" s="109" t="s">
        <v>63</v>
      </c>
      <c r="B77" s="84" t="s">
        <v>64</v>
      </c>
      <c r="C77" s="56">
        <v>155310</v>
      </c>
      <c r="D77" s="56">
        <v>155310</v>
      </c>
      <c r="E77" s="56">
        <v>155310</v>
      </c>
      <c r="F77" s="56">
        <v>155310</v>
      </c>
      <c r="G77" s="56">
        <v>155310</v>
      </c>
      <c r="H77" s="56">
        <v>155310</v>
      </c>
      <c r="I77" s="56">
        <v>22850</v>
      </c>
      <c r="J77" s="728">
        <f t="shared" si="16"/>
        <v>0.14712510462945078</v>
      </c>
      <c r="K77" s="1"/>
    </row>
    <row r="78" spans="1:14" x14ac:dyDescent="0.25">
      <c r="A78" s="113" t="s">
        <v>65</v>
      </c>
      <c r="B78" s="114" t="s">
        <v>66</v>
      </c>
      <c r="C78" s="61">
        <v>91700</v>
      </c>
      <c r="D78" s="61">
        <v>91700</v>
      </c>
      <c r="E78" s="61">
        <v>91700</v>
      </c>
      <c r="F78" s="61">
        <v>91700</v>
      </c>
      <c r="G78" s="61">
        <v>91700</v>
      </c>
      <c r="H78" s="61">
        <v>91700</v>
      </c>
      <c r="I78" s="61">
        <v>27141</v>
      </c>
      <c r="J78" s="728">
        <f t="shared" si="16"/>
        <v>0.29597600872410035</v>
      </c>
      <c r="K78" s="1"/>
    </row>
    <row r="79" spans="1:14" x14ac:dyDescent="0.25">
      <c r="A79" s="113" t="s">
        <v>67</v>
      </c>
      <c r="B79" s="114" t="s">
        <v>68</v>
      </c>
      <c r="C79" s="61">
        <v>5200</v>
      </c>
      <c r="D79" s="61">
        <v>5200</v>
      </c>
      <c r="E79" s="61">
        <v>5200</v>
      </c>
      <c r="F79" s="61">
        <v>5200</v>
      </c>
      <c r="G79" s="61">
        <v>5200</v>
      </c>
      <c r="H79" s="61">
        <v>5200</v>
      </c>
      <c r="I79" s="61">
        <v>571</v>
      </c>
      <c r="J79" s="728">
        <f t="shared" si="16"/>
        <v>0.10980769230769231</v>
      </c>
      <c r="K79" s="1"/>
    </row>
    <row r="80" spans="1:14" x14ac:dyDescent="0.25">
      <c r="A80" s="117" t="s">
        <v>69</v>
      </c>
      <c r="B80" s="114" t="s">
        <v>70</v>
      </c>
      <c r="C80" s="61">
        <v>64900</v>
      </c>
      <c r="D80" s="695">
        <f>64900-10-10</f>
        <v>64880</v>
      </c>
      <c r="E80" s="61">
        <f>64900-10-10</f>
        <v>64880</v>
      </c>
      <c r="F80" s="61">
        <f>64900-10-10</f>
        <v>64880</v>
      </c>
      <c r="G80" s="61">
        <f>64900-10-10</f>
        <v>64880</v>
      </c>
      <c r="H80" s="61">
        <f>64900-10-10</f>
        <v>64880</v>
      </c>
      <c r="I80" s="61">
        <v>11876</v>
      </c>
      <c r="J80" s="728">
        <f t="shared" si="16"/>
        <v>0.18304562268803945</v>
      </c>
      <c r="K80" s="1"/>
    </row>
    <row r="81" spans="1:11" ht="15.75" thickBot="1" x14ac:dyDescent="0.3">
      <c r="A81" s="119" t="s">
        <v>71</v>
      </c>
      <c r="B81" s="120" t="s">
        <v>196</v>
      </c>
      <c r="C81" s="124">
        <v>0</v>
      </c>
      <c r="D81" s="124">
        <v>0</v>
      </c>
      <c r="E81" s="124">
        <v>0</v>
      </c>
      <c r="F81" s="124">
        <v>0</v>
      </c>
      <c r="G81" s="124">
        <v>0</v>
      </c>
      <c r="H81" s="124">
        <v>0</v>
      </c>
      <c r="I81" s="124">
        <v>0</v>
      </c>
      <c r="J81" s="728">
        <v>0</v>
      </c>
      <c r="K81" s="1"/>
    </row>
    <row r="82" spans="1:11" ht="15.75" thickBot="1" x14ac:dyDescent="0.3">
      <c r="A82" s="125" t="s">
        <v>72</v>
      </c>
      <c r="B82" s="126"/>
      <c r="C82" s="108">
        <f t="shared" ref="C82:I82" si="26">SUM(C83)</f>
        <v>2670</v>
      </c>
      <c r="D82" s="108">
        <f t="shared" si="26"/>
        <v>2685</v>
      </c>
      <c r="E82" s="108">
        <f t="shared" si="26"/>
        <v>2685</v>
      </c>
      <c r="F82" s="108">
        <f t="shared" si="26"/>
        <v>2685</v>
      </c>
      <c r="G82" s="108">
        <f t="shared" si="26"/>
        <v>2685</v>
      </c>
      <c r="H82" s="108">
        <f t="shared" si="26"/>
        <v>2685</v>
      </c>
      <c r="I82" s="108">
        <f t="shared" si="26"/>
        <v>338</v>
      </c>
      <c r="J82" s="728">
        <f t="shared" si="16"/>
        <v>0.12588454376163874</v>
      </c>
      <c r="K82" s="1"/>
    </row>
    <row r="83" spans="1:11" ht="15.75" thickBot="1" x14ac:dyDescent="0.3">
      <c r="A83" s="127" t="s">
        <v>73</v>
      </c>
      <c r="B83" s="102" t="s">
        <v>219</v>
      </c>
      <c r="C83" s="130">
        <v>2670</v>
      </c>
      <c r="D83" s="713">
        <f>2670+15</f>
        <v>2685</v>
      </c>
      <c r="E83" s="130">
        <f>2670+15</f>
        <v>2685</v>
      </c>
      <c r="F83" s="130">
        <f>2670+15</f>
        <v>2685</v>
      </c>
      <c r="G83" s="130">
        <f>2670+15</f>
        <v>2685</v>
      </c>
      <c r="H83" s="130">
        <f>2670+15</f>
        <v>2685</v>
      </c>
      <c r="I83" s="130">
        <v>338</v>
      </c>
      <c r="J83" s="728">
        <f t="shared" si="16"/>
        <v>0.12588454376163874</v>
      </c>
      <c r="K83" s="1"/>
    </row>
    <row r="84" spans="1:11" ht="15.75" thickBot="1" x14ac:dyDescent="0.3">
      <c r="A84" s="125" t="s">
        <v>74</v>
      </c>
      <c r="B84" s="126"/>
      <c r="C84" s="108">
        <f t="shared" ref="C84:I84" si="27">SUM(C85:C86)</f>
        <v>96625</v>
      </c>
      <c r="D84" s="108">
        <f t="shared" si="27"/>
        <v>97008</v>
      </c>
      <c r="E84" s="108">
        <f t="shared" si="27"/>
        <v>94508</v>
      </c>
      <c r="F84" s="108">
        <f t="shared" si="27"/>
        <v>94508</v>
      </c>
      <c r="G84" s="108">
        <f t="shared" ref="G84:H84" si="28">SUM(G85:G86)</f>
        <v>94508</v>
      </c>
      <c r="H84" s="108">
        <f t="shared" si="28"/>
        <v>94508</v>
      </c>
      <c r="I84" s="108">
        <f t="shared" si="27"/>
        <v>14114</v>
      </c>
      <c r="J84" s="728">
        <f t="shared" si="16"/>
        <v>0.14934185465780675</v>
      </c>
      <c r="K84" s="1"/>
    </row>
    <row r="85" spans="1:11" x14ac:dyDescent="0.25">
      <c r="A85" s="131" t="s">
        <v>75</v>
      </c>
      <c r="B85" s="132" t="s">
        <v>76</v>
      </c>
      <c r="C85" s="135">
        <v>17600</v>
      </c>
      <c r="D85" s="135">
        <v>17600</v>
      </c>
      <c r="E85" s="759">
        <f>17600-2500</f>
        <v>15100</v>
      </c>
      <c r="F85" s="135">
        <f>17600-2500</f>
        <v>15100</v>
      </c>
      <c r="G85" s="135">
        <f>17600-2500</f>
        <v>15100</v>
      </c>
      <c r="H85" s="135">
        <f>17600-2500</f>
        <v>15100</v>
      </c>
      <c r="I85" s="135">
        <v>812</v>
      </c>
      <c r="J85" s="728">
        <f t="shared" si="16"/>
        <v>5.377483443708609E-2</v>
      </c>
      <c r="K85" s="1"/>
    </row>
    <row r="86" spans="1:11" ht="15.75" thickBot="1" x14ac:dyDescent="0.3">
      <c r="A86" s="136" t="s">
        <v>77</v>
      </c>
      <c r="B86" s="137" t="s">
        <v>78</v>
      </c>
      <c r="C86" s="124">
        <v>79025</v>
      </c>
      <c r="D86" s="714">
        <f>79025+383</f>
        <v>79408</v>
      </c>
      <c r="E86" s="124">
        <f>79025+383</f>
        <v>79408</v>
      </c>
      <c r="F86" s="124">
        <f>79025+383</f>
        <v>79408</v>
      </c>
      <c r="G86" s="124">
        <f>79025+383</f>
        <v>79408</v>
      </c>
      <c r="H86" s="124">
        <f>79025+383</f>
        <v>79408</v>
      </c>
      <c r="I86" s="124">
        <v>13302</v>
      </c>
      <c r="J86" s="728">
        <f t="shared" si="16"/>
        <v>0.16751460809993957</v>
      </c>
      <c r="K86" s="1"/>
    </row>
    <row r="87" spans="1:11" ht="15.75" thickBot="1" x14ac:dyDescent="0.3">
      <c r="A87" s="104" t="s">
        <v>79</v>
      </c>
      <c r="B87" s="140"/>
      <c r="C87" s="108">
        <f t="shared" ref="C87:I87" si="29">SUM(C88:C90)</f>
        <v>122230</v>
      </c>
      <c r="D87" s="108">
        <f t="shared" si="29"/>
        <v>122300</v>
      </c>
      <c r="E87" s="108">
        <f t="shared" si="29"/>
        <v>122300</v>
      </c>
      <c r="F87" s="108">
        <f t="shared" si="29"/>
        <v>122300</v>
      </c>
      <c r="G87" s="108">
        <f t="shared" ref="G87:H87" si="30">SUM(G88:G90)</f>
        <v>117000</v>
      </c>
      <c r="H87" s="108">
        <f t="shared" si="30"/>
        <v>117000</v>
      </c>
      <c r="I87" s="108">
        <f t="shared" si="29"/>
        <v>22622</v>
      </c>
      <c r="J87" s="728">
        <f t="shared" si="16"/>
        <v>0.19335042735042735</v>
      </c>
      <c r="K87" s="1"/>
    </row>
    <row r="88" spans="1:11" x14ac:dyDescent="0.25">
      <c r="A88" s="141" t="s">
        <v>80</v>
      </c>
      <c r="B88" s="142" t="s">
        <v>81</v>
      </c>
      <c r="C88" s="55">
        <v>44750</v>
      </c>
      <c r="D88" s="55">
        <v>44750</v>
      </c>
      <c r="E88" s="55">
        <v>44750</v>
      </c>
      <c r="F88" s="55">
        <v>44750</v>
      </c>
      <c r="G88" s="55">
        <v>44750</v>
      </c>
      <c r="H88" s="55">
        <v>44750</v>
      </c>
      <c r="I88" s="55">
        <v>4277</v>
      </c>
      <c r="J88" s="728">
        <f t="shared" si="16"/>
        <v>9.5575418994413408E-2</v>
      </c>
      <c r="K88" s="1"/>
    </row>
    <row r="89" spans="1:11" x14ac:dyDescent="0.25">
      <c r="A89" s="117" t="s">
        <v>82</v>
      </c>
      <c r="B89" s="114" t="s">
        <v>83</v>
      </c>
      <c r="C89" s="60">
        <v>39680</v>
      </c>
      <c r="D89" s="694">
        <f>39680+70</f>
        <v>39750</v>
      </c>
      <c r="E89" s="60">
        <f>39680+70</f>
        <v>39750</v>
      </c>
      <c r="F89" s="60">
        <f>39680+70</f>
        <v>39750</v>
      </c>
      <c r="G89" s="694">
        <f>39680+70-5300</f>
        <v>34450</v>
      </c>
      <c r="H89" s="60">
        <f>39680+70-5300</f>
        <v>34450</v>
      </c>
      <c r="I89" s="60">
        <v>6577</v>
      </c>
      <c r="J89" s="728">
        <f t="shared" si="16"/>
        <v>0.19091436865021771</v>
      </c>
      <c r="K89" s="1"/>
    </row>
    <row r="90" spans="1:11" ht="15.75" thickBot="1" x14ac:dyDescent="0.3">
      <c r="A90" s="117" t="s">
        <v>84</v>
      </c>
      <c r="B90" s="114" t="s">
        <v>85</v>
      </c>
      <c r="C90" s="60">
        <v>37800</v>
      </c>
      <c r="D90" s="60">
        <v>37800</v>
      </c>
      <c r="E90" s="60">
        <v>37800</v>
      </c>
      <c r="F90" s="60">
        <v>37800</v>
      </c>
      <c r="G90" s="60">
        <v>37800</v>
      </c>
      <c r="H90" s="60">
        <v>37800</v>
      </c>
      <c r="I90" s="60">
        <v>11768</v>
      </c>
      <c r="J90" s="728">
        <f t="shared" si="16"/>
        <v>0.31132275132275133</v>
      </c>
      <c r="K90" s="1"/>
    </row>
    <row r="91" spans="1:11" ht="15.75" thickBot="1" x14ac:dyDescent="0.3">
      <c r="A91" s="901" t="s">
        <v>86</v>
      </c>
      <c r="B91" s="902"/>
      <c r="C91" s="108">
        <f t="shared" ref="C91:I91" si="31">SUM(C92:C95)</f>
        <v>148830</v>
      </c>
      <c r="D91" s="108">
        <f t="shared" si="31"/>
        <v>148830</v>
      </c>
      <c r="E91" s="108">
        <f t="shared" si="31"/>
        <v>173440</v>
      </c>
      <c r="F91" s="108">
        <f t="shared" si="31"/>
        <v>173440</v>
      </c>
      <c r="G91" s="108">
        <f t="shared" ref="G91:H91" si="32">SUM(G92:G95)</f>
        <v>173440</v>
      </c>
      <c r="H91" s="108">
        <f t="shared" si="32"/>
        <v>173440</v>
      </c>
      <c r="I91" s="108">
        <f t="shared" si="31"/>
        <v>28319</v>
      </c>
      <c r="J91" s="728">
        <f t="shared" si="16"/>
        <v>0.16327836715867158</v>
      </c>
      <c r="K91" s="1"/>
    </row>
    <row r="92" spans="1:11" x14ac:dyDescent="0.25">
      <c r="A92" s="149" t="s">
        <v>87</v>
      </c>
      <c r="B92" s="150" t="s">
        <v>88</v>
      </c>
      <c r="C92" s="135">
        <v>95830</v>
      </c>
      <c r="D92" s="135">
        <v>95830</v>
      </c>
      <c r="E92" s="135">
        <v>95830</v>
      </c>
      <c r="F92" s="135">
        <v>95830</v>
      </c>
      <c r="G92" s="135">
        <v>95830</v>
      </c>
      <c r="H92" s="135">
        <v>95830</v>
      </c>
      <c r="I92" s="135">
        <v>16470</v>
      </c>
      <c r="J92" s="728">
        <f t="shared" si="16"/>
        <v>0.17186684754252321</v>
      </c>
      <c r="K92" s="1"/>
    </row>
    <row r="93" spans="1:11" x14ac:dyDescent="0.25">
      <c r="A93" s="117" t="s">
        <v>89</v>
      </c>
      <c r="B93" s="114" t="s">
        <v>90</v>
      </c>
      <c r="C93" s="148">
        <v>39000</v>
      </c>
      <c r="D93" s="148">
        <v>39000</v>
      </c>
      <c r="E93" s="757">
        <f>39000-1575</f>
        <v>37425</v>
      </c>
      <c r="F93" s="148">
        <f>39000-1575</f>
        <v>37425</v>
      </c>
      <c r="G93" s="148">
        <f>39000-1575</f>
        <v>37425</v>
      </c>
      <c r="H93" s="148">
        <f>39000-1575</f>
        <v>37425</v>
      </c>
      <c r="I93" s="148">
        <v>8280</v>
      </c>
      <c r="J93" s="728">
        <f t="shared" si="16"/>
        <v>0.22124248496993987</v>
      </c>
      <c r="K93" s="1"/>
    </row>
    <row r="94" spans="1:11" x14ac:dyDescent="0.25">
      <c r="A94" s="127" t="s">
        <v>91</v>
      </c>
      <c r="B94" s="155" t="s">
        <v>92</v>
      </c>
      <c r="C94" s="159">
        <v>2000</v>
      </c>
      <c r="D94" s="159">
        <v>2000</v>
      </c>
      <c r="E94" s="159">
        <v>2000</v>
      </c>
      <c r="F94" s="159">
        <v>2000</v>
      </c>
      <c r="G94" s="159">
        <v>2000</v>
      </c>
      <c r="H94" s="159">
        <v>2000</v>
      </c>
      <c r="I94" s="159">
        <v>0</v>
      </c>
      <c r="J94" s="728">
        <f t="shared" si="16"/>
        <v>0</v>
      </c>
      <c r="K94" s="1"/>
    </row>
    <row r="95" spans="1:11" ht="15.75" thickBot="1" x14ac:dyDescent="0.3">
      <c r="A95" s="160" t="s">
        <v>93</v>
      </c>
      <c r="B95" s="161" t="s">
        <v>94</v>
      </c>
      <c r="C95" s="170">
        <v>12000</v>
      </c>
      <c r="D95" s="170">
        <v>12000</v>
      </c>
      <c r="E95" s="758">
        <f>12000+26185</f>
        <v>38185</v>
      </c>
      <c r="F95" s="170">
        <f>12000+26185</f>
        <v>38185</v>
      </c>
      <c r="G95" s="170">
        <f>12000+26185</f>
        <v>38185</v>
      </c>
      <c r="H95" s="170">
        <f>12000+26185</f>
        <v>38185</v>
      </c>
      <c r="I95" s="164">
        <v>3569</v>
      </c>
      <c r="J95" s="728">
        <f t="shared" si="16"/>
        <v>9.3466020688752122E-2</v>
      </c>
      <c r="K95" s="1"/>
    </row>
    <row r="96" spans="1:11" ht="15.75" thickBot="1" x14ac:dyDescent="0.3">
      <c r="A96" s="104" t="s">
        <v>95</v>
      </c>
      <c r="B96" s="140"/>
      <c r="C96" s="106">
        <f t="shared" ref="C96:I96" si="33">SUM(C97:C100)</f>
        <v>222450</v>
      </c>
      <c r="D96" s="106">
        <f t="shared" si="33"/>
        <v>222450</v>
      </c>
      <c r="E96" s="106">
        <f t="shared" si="33"/>
        <v>208450</v>
      </c>
      <c r="F96" s="106">
        <f t="shared" si="33"/>
        <v>208450</v>
      </c>
      <c r="G96" s="106">
        <f t="shared" ref="G96:H96" si="34">SUM(G97:G100)</f>
        <v>208450</v>
      </c>
      <c r="H96" s="106">
        <f t="shared" si="34"/>
        <v>208450</v>
      </c>
      <c r="I96" s="106">
        <f t="shared" si="33"/>
        <v>37592</v>
      </c>
      <c r="J96" s="728">
        <f t="shared" si="16"/>
        <v>0.18034060925881507</v>
      </c>
      <c r="K96" s="1"/>
    </row>
    <row r="97" spans="1:13" x14ac:dyDescent="0.25">
      <c r="A97" s="141" t="s">
        <v>96</v>
      </c>
      <c r="B97" s="84" t="s">
        <v>97</v>
      </c>
      <c r="C97" s="112">
        <v>168170</v>
      </c>
      <c r="D97" s="112">
        <v>168170</v>
      </c>
      <c r="E97" s="112">
        <v>168170</v>
      </c>
      <c r="F97" s="112">
        <v>168170</v>
      </c>
      <c r="G97" s="112">
        <v>168170</v>
      </c>
      <c r="H97" s="112">
        <v>168170</v>
      </c>
      <c r="I97" s="112">
        <v>29458</v>
      </c>
      <c r="J97" s="728">
        <f t="shared" si="16"/>
        <v>0.17516798477730869</v>
      </c>
      <c r="K97" s="1"/>
    </row>
    <row r="98" spans="1:13" x14ac:dyDescent="0.25">
      <c r="A98" s="141" t="s">
        <v>301</v>
      </c>
      <c r="B98" s="84" t="s">
        <v>321</v>
      </c>
      <c r="C98" s="112">
        <v>1580</v>
      </c>
      <c r="D98" s="112">
        <v>1580</v>
      </c>
      <c r="E98" s="112">
        <v>1580</v>
      </c>
      <c r="F98" s="112">
        <v>1580</v>
      </c>
      <c r="G98" s="112">
        <v>1580</v>
      </c>
      <c r="H98" s="112">
        <v>1580</v>
      </c>
      <c r="I98" s="112">
        <v>0</v>
      </c>
      <c r="J98" s="728">
        <f t="shared" si="16"/>
        <v>0</v>
      </c>
      <c r="K98" s="1"/>
    </row>
    <row r="99" spans="1:13" x14ac:dyDescent="0.25">
      <c r="A99" s="166" t="s">
        <v>98</v>
      </c>
      <c r="B99" s="114" t="s">
        <v>99</v>
      </c>
      <c r="C99" s="148">
        <v>35700</v>
      </c>
      <c r="D99" s="148">
        <v>35700</v>
      </c>
      <c r="E99" s="757">
        <f>35700-14000</f>
        <v>21700</v>
      </c>
      <c r="F99" s="148">
        <f>35700-14000</f>
        <v>21700</v>
      </c>
      <c r="G99" s="148">
        <f>35700-14000</f>
        <v>21700</v>
      </c>
      <c r="H99" s="148">
        <f>35700-14000</f>
        <v>21700</v>
      </c>
      <c r="I99" s="148">
        <v>3774</v>
      </c>
      <c r="J99" s="728">
        <f t="shared" si="16"/>
        <v>0.17391705069124425</v>
      </c>
      <c r="K99" s="1"/>
    </row>
    <row r="100" spans="1:13" ht="15.75" thickBot="1" x14ac:dyDescent="0.3">
      <c r="A100" s="167" t="s">
        <v>100</v>
      </c>
      <c r="B100" s="161" t="s">
        <v>101</v>
      </c>
      <c r="C100" s="170">
        <v>17000</v>
      </c>
      <c r="D100" s="170">
        <v>17000</v>
      </c>
      <c r="E100" s="170">
        <v>17000</v>
      </c>
      <c r="F100" s="170">
        <v>17000</v>
      </c>
      <c r="G100" s="170">
        <v>17000</v>
      </c>
      <c r="H100" s="170">
        <v>17000</v>
      </c>
      <c r="I100" s="170">
        <v>4360</v>
      </c>
      <c r="J100" s="728">
        <f t="shared" si="16"/>
        <v>0.25647058823529412</v>
      </c>
      <c r="K100" s="1"/>
    </row>
    <row r="101" spans="1:13" ht="15.75" thickBot="1" x14ac:dyDescent="0.3">
      <c r="A101" s="171" t="s">
        <v>102</v>
      </c>
      <c r="B101" s="172"/>
      <c r="C101" s="173">
        <f t="shared" ref="C101:I101" si="35">SUM(C102:C104)</f>
        <v>850</v>
      </c>
      <c r="D101" s="173">
        <f t="shared" si="35"/>
        <v>850</v>
      </c>
      <c r="E101" s="173">
        <f t="shared" si="35"/>
        <v>850</v>
      </c>
      <c r="F101" s="173">
        <f t="shared" si="35"/>
        <v>850</v>
      </c>
      <c r="G101" s="173">
        <f t="shared" si="35"/>
        <v>850</v>
      </c>
      <c r="H101" s="173">
        <f t="shared" ref="H101" si="36">SUM(H102:H104)</f>
        <v>850</v>
      </c>
      <c r="I101" s="173">
        <f t="shared" si="35"/>
        <v>41</v>
      </c>
      <c r="J101" s="728">
        <f t="shared" si="16"/>
        <v>4.8235294117647057E-2</v>
      </c>
      <c r="K101" s="1"/>
    </row>
    <row r="102" spans="1:13" x14ac:dyDescent="0.25">
      <c r="A102" s="131" t="s">
        <v>103</v>
      </c>
      <c r="B102" s="150" t="s">
        <v>104</v>
      </c>
      <c r="C102" s="177">
        <v>100</v>
      </c>
      <c r="D102" s="177">
        <v>100</v>
      </c>
      <c r="E102" s="177">
        <v>100</v>
      </c>
      <c r="F102" s="177">
        <v>100</v>
      </c>
      <c r="G102" s="177">
        <v>100</v>
      </c>
      <c r="H102" s="177">
        <v>100</v>
      </c>
      <c r="I102" s="177">
        <v>0</v>
      </c>
      <c r="J102" s="728">
        <f t="shared" si="16"/>
        <v>0</v>
      </c>
      <c r="K102" s="1"/>
    </row>
    <row r="103" spans="1:13" x14ac:dyDescent="0.25">
      <c r="A103" s="166" t="s">
        <v>105</v>
      </c>
      <c r="B103" s="114" t="s">
        <v>106</v>
      </c>
      <c r="C103" s="180">
        <v>100</v>
      </c>
      <c r="D103" s="180">
        <v>100</v>
      </c>
      <c r="E103" s="180">
        <v>100</v>
      </c>
      <c r="F103" s="180">
        <v>100</v>
      </c>
      <c r="G103" s="180">
        <v>100</v>
      </c>
      <c r="H103" s="180">
        <v>100</v>
      </c>
      <c r="I103" s="180">
        <v>11</v>
      </c>
      <c r="J103" s="728">
        <f t="shared" si="16"/>
        <v>0.11</v>
      </c>
      <c r="K103" s="1"/>
    </row>
    <row r="104" spans="1:13" ht="15.75" thickBot="1" x14ac:dyDescent="0.3">
      <c r="A104" s="720" t="s">
        <v>107</v>
      </c>
      <c r="B104" s="721" t="s">
        <v>108</v>
      </c>
      <c r="C104" s="208">
        <v>650</v>
      </c>
      <c r="D104" s="208">
        <v>650</v>
      </c>
      <c r="E104" s="208">
        <v>650</v>
      </c>
      <c r="F104" s="208">
        <v>650</v>
      </c>
      <c r="G104" s="208">
        <v>650</v>
      </c>
      <c r="H104" s="208">
        <v>650</v>
      </c>
      <c r="I104" s="208">
        <v>30</v>
      </c>
      <c r="J104" s="728">
        <f t="shared" si="16"/>
        <v>4.6153846153846156E-2</v>
      </c>
      <c r="K104" s="1"/>
    </row>
    <row r="105" spans="1:13" ht="15.75" thickBot="1" x14ac:dyDescent="0.3">
      <c r="A105" s="722" t="s">
        <v>110</v>
      </c>
      <c r="B105" s="105"/>
      <c r="C105" s="106">
        <f t="shared" ref="C105:I105" si="37">SUM(C106:C110)</f>
        <v>131700</v>
      </c>
      <c r="D105" s="106">
        <f t="shared" si="37"/>
        <v>131700</v>
      </c>
      <c r="E105" s="106">
        <f t="shared" si="37"/>
        <v>132000</v>
      </c>
      <c r="F105" s="106">
        <f t="shared" si="37"/>
        <v>132000</v>
      </c>
      <c r="G105" s="106">
        <f t="shared" ref="G105:H105" si="38">SUM(G106:G110)</f>
        <v>132000</v>
      </c>
      <c r="H105" s="106">
        <f t="shared" si="38"/>
        <v>132000</v>
      </c>
      <c r="I105" s="106">
        <f t="shared" si="37"/>
        <v>17316</v>
      </c>
      <c r="J105" s="728">
        <f t="shared" si="16"/>
        <v>0.13118181818181818</v>
      </c>
      <c r="K105" s="1"/>
    </row>
    <row r="106" spans="1:13" x14ac:dyDescent="0.25">
      <c r="A106" s="149" t="s">
        <v>111</v>
      </c>
      <c r="B106" s="150" t="s">
        <v>112</v>
      </c>
      <c r="C106" s="135">
        <v>40000</v>
      </c>
      <c r="D106" s="135">
        <v>40000</v>
      </c>
      <c r="E106" s="759">
        <f>40000-2000</f>
        <v>38000</v>
      </c>
      <c r="F106" s="135">
        <f>40000-2000</f>
        <v>38000</v>
      </c>
      <c r="G106" s="135">
        <f>40000-2000</f>
        <v>38000</v>
      </c>
      <c r="H106" s="135">
        <f>40000-2000</f>
        <v>38000</v>
      </c>
      <c r="I106" s="135">
        <v>7394</v>
      </c>
      <c r="J106" s="728">
        <f t="shared" si="16"/>
        <v>0.19457894736842105</v>
      </c>
      <c r="K106" s="1"/>
    </row>
    <row r="107" spans="1:13" x14ac:dyDescent="0.25">
      <c r="A107" s="192" t="s">
        <v>113</v>
      </c>
      <c r="B107" s="193" t="s">
        <v>114</v>
      </c>
      <c r="C107" s="55">
        <v>61600</v>
      </c>
      <c r="D107" s="55">
        <v>61600</v>
      </c>
      <c r="E107" s="716">
        <f>61600+1700</f>
        <v>63300</v>
      </c>
      <c r="F107" s="55">
        <f>61600+1700</f>
        <v>63300</v>
      </c>
      <c r="G107" s="55">
        <f>61600+1700</f>
        <v>63300</v>
      </c>
      <c r="H107" s="55">
        <f>61600+1700</f>
        <v>63300</v>
      </c>
      <c r="I107" s="55">
        <v>8969</v>
      </c>
      <c r="J107" s="728">
        <f t="shared" si="16"/>
        <v>0.14169036334913113</v>
      </c>
      <c r="K107" s="1"/>
    </row>
    <row r="108" spans="1:13" x14ac:dyDescent="0.25">
      <c r="A108" s="192" t="s">
        <v>115</v>
      </c>
      <c r="B108" s="84" t="s">
        <v>116</v>
      </c>
      <c r="C108" s="55">
        <v>5900</v>
      </c>
      <c r="D108" s="55">
        <v>5900</v>
      </c>
      <c r="E108" s="55">
        <v>5900</v>
      </c>
      <c r="F108" s="55">
        <v>5900</v>
      </c>
      <c r="G108" s="55">
        <v>5900</v>
      </c>
      <c r="H108" s="55">
        <v>5900</v>
      </c>
      <c r="I108" s="55">
        <v>429</v>
      </c>
      <c r="J108" s="728">
        <f t="shared" si="16"/>
        <v>7.2711864406779667E-2</v>
      </c>
      <c r="K108" s="1"/>
    </row>
    <row r="109" spans="1:13" x14ac:dyDescent="0.25">
      <c r="A109" s="192" t="s">
        <v>117</v>
      </c>
      <c r="B109" s="84" t="s">
        <v>118</v>
      </c>
      <c r="C109" s="55">
        <v>22400</v>
      </c>
      <c r="D109" s="55">
        <v>22400</v>
      </c>
      <c r="E109" s="55">
        <v>22400</v>
      </c>
      <c r="F109" s="55">
        <v>22400</v>
      </c>
      <c r="G109" s="55">
        <v>22400</v>
      </c>
      <c r="H109" s="55">
        <v>22400</v>
      </c>
      <c r="I109" s="55">
        <v>424</v>
      </c>
      <c r="J109" s="728">
        <f t="shared" si="16"/>
        <v>1.892857142857143E-2</v>
      </c>
      <c r="K109" s="1"/>
    </row>
    <row r="110" spans="1:13" ht="15.75" thickBot="1" x14ac:dyDescent="0.3">
      <c r="A110" s="160" t="s">
        <v>119</v>
      </c>
      <c r="B110" s="161" t="s">
        <v>120</v>
      </c>
      <c r="C110" s="182">
        <v>1800</v>
      </c>
      <c r="D110" s="182">
        <v>1800</v>
      </c>
      <c r="E110" s="764">
        <f>1800+100+500</f>
        <v>2400</v>
      </c>
      <c r="F110" s="182">
        <f>1800+100+500</f>
        <v>2400</v>
      </c>
      <c r="G110" s="182">
        <f>1800+100+500</f>
        <v>2400</v>
      </c>
      <c r="H110" s="182">
        <f>1800+100+500</f>
        <v>2400</v>
      </c>
      <c r="I110" s="182">
        <v>100</v>
      </c>
      <c r="J110" s="728">
        <f t="shared" si="16"/>
        <v>4.1666666666666664E-2</v>
      </c>
      <c r="K110" s="1"/>
    </row>
    <row r="111" spans="1:13" ht="15.75" thickBot="1" x14ac:dyDescent="0.3">
      <c r="A111" s="125" t="s">
        <v>121</v>
      </c>
      <c r="B111" s="126"/>
      <c r="C111" s="106">
        <f t="shared" ref="C111:F111" si="39">SUM(C112:C119)</f>
        <v>394150</v>
      </c>
      <c r="D111" s="106">
        <f t="shared" si="39"/>
        <v>393973</v>
      </c>
      <c r="E111" s="106">
        <f t="shared" si="39"/>
        <v>402673</v>
      </c>
      <c r="F111" s="106">
        <f t="shared" si="39"/>
        <v>406536</v>
      </c>
      <c r="G111" s="106">
        <f t="shared" ref="G111:H111" si="40">SUM(G112:G119)</f>
        <v>411836</v>
      </c>
      <c r="H111" s="106">
        <f t="shared" si="40"/>
        <v>411836</v>
      </c>
      <c r="I111" s="106">
        <f>SUM(I112:I119)</f>
        <v>75444</v>
      </c>
      <c r="J111" s="728">
        <f t="shared" si="16"/>
        <v>0.18318942491671442</v>
      </c>
      <c r="K111" s="1"/>
      <c r="L111" s="27"/>
      <c r="M111" s="27"/>
    </row>
    <row r="112" spans="1:13" x14ac:dyDescent="0.25">
      <c r="A112" s="196" t="s">
        <v>122</v>
      </c>
      <c r="B112" s="197" t="s">
        <v>123</v>
      </c>
      <c r="C112" s="201">
        <v>200400</v>
      </c>
      <c r="D112" s="715">
        <f>200400+3</f>
        <v>200403</v>
      </c>
      <c r="E112" s="715">
        <f>200400+3+5000</f>
        <v>205403</v>
      </c>
      <c r="F112" s="715">
        <f>200400+3+5000+3863</f>
        <v>209266</v>
      </c>
      <c r="G112" s="201">
        <f>200400+3+5000+3863</f>
        <v>209266</v>
      </c>
      <c r="H112" s="201">
        <f>200400+3+5000+3863</f>
        <v>209266</v>
      </c>
      <c r="I112" s="201">
        <v>41242</v>
      </c>
      <c r="J112" s="728">
        <f t="shared" si="16"/>
        <v>0.19707931532117018</v>
      </c>
      <c r="K112" s="1"/>
    </row>
    <row r="113" spans="1:16" x14ac:dyDescent="0.25">
      <c r="A113" s="578" t="s">
        <v>124</v>
      </c>
      <c r="B113" s="142" t="s">
        <v>340</v>
      </c>
      <c r="C113" s="56">
        <v>0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728">
        <v>0</v>
      </c>
      <c r="K113" s="1"/>
    </row>
    <row r="114" spans="1:16" x14ac:dyDescent="0.25">
      <c r="A114" s="202" t="s">
        <v>125</v>
      </c>
      <c r="B114" s="203" t="s">
        <v>512</v>
      </c>
      <c r="C114" s="61">
        <v>6500</v>
      </c>
      <c r="D114" s="61">
        <v>6500</v>
      </c>
      <c r="E114" s="695">
        <f>6500+3700</f>
        <v>10200</v>
      </c>
      <c r="F114" s="61">
        <f>6500+3700</f>
        <v>10200</v>
      </c>
      <c r="G114" s="695">
        <f>6500+3700+5300</f>
        <v>15500</v>
      </c>
      <c r="H114" s="61">
        <f>6500+3700+5300</f>
        <v>15500</v>
      </c>
      <c r="I114" s="61">
        <v>1370</v>
      </c>
      <c r="J114" s="728">
        <f t="shared" si="16"/>
        <v>8.8387096774193555E-2</v>
      </c>
      <c r="K114" s="1"/>
    </row>
    <row r="115" spans="1:16" x14ac:dyDescent="0.25">
      <c r="A115" s="202" t="s">
        <v>127</v>
      </c>
      <c r="B115" s="203" t="s">
        <v>128</v>
      </c>
      <c r="C115" s="61">
        <v>36200</v>
      </c>
      <c r="D115" s="61">
        <v>36200</v>
      </c>
      <c r="E115" s="61">
        <v>36200</v>
      </c>
      <c r="F115" s="61">
        <v>36200</v>
      </c>
      <c r="G115" s="61">
        <v>36200</v>
      </c>
      <c r="H115" s="61">
        <v>36200</v>
      </c>
      <c r="I115" s="61">
        <v>6883</v>
      </c>
      <c r="J115" s="728">
        <f t="shared" si="16"/>
        <v>0.19013812154696133</v>
      </c>
      <c r="K115" s="1"/>
    </row>
    <row r="116" spans="1:16" x14ac:dyDescent="0.25">
      <c r="A116" s="202" t="s">
        <v>129</v>
      </c>
      <c r="B116" s="203" t="s">
        <v>130</v>
      </c>
      <c r="C116" s="60">
        <v>53850</v>
      </c>
      <c r="D116" s="60">
        <v>53850</v>
      </c>
      <c r="E116" s="60">
        <v>53850</v>
      </c>
      <c r="F116" s="60">
        <v>53850</v>
      </c>
      <c r="G116" s="60">
        <v>53850</v>
      </c>
      <c r="H116" s="60">
        <v>53850</v>
      </c>
      <c r="I116" s="60">
        <v>7911</v>
      </c>
      <c r="J116" s="728">
        <f t="shared" si="16"/>
        <v>0.14690807799442898</v>
      </c>
      <c r="K116" s="1"/>
      <c r="L116" s="381"/>
      <c r="M116" s="381"/>
      <c r="P116" s="475"/>
    </row>
    <row r="117" spans="1:16" x14ac:dyDescent="0.25">
      <c r="A117" s="202" t="s">
        <v>131</v>
      </c>
      <c r="B117" s="203" t="s">
        <v>195</v>
      </c>
      <c r="C117" s="60">
        <v>94600</v>
      </c>
      <c r="D117" s="694">
        <f>94600-160</f>
        <v>94440</v>
      </c>
      <c r="E117" s="60">
        <f>94600-160</f>
        <v>94440</v>
      </c>
      <c r="F117" s="60">
        <f>94600-160</f>
        <v>94440</v>
      </c>
      <c r="G117" s="60">
        <f>94600-160</f>
        <v>94440</v>
      </c>
      <c r="H117" s="60">
        <f>94600-160</f>
        <v>94440</v>
      </c>
      <c r="I117" s="60">
        <v>17796</v>
      </c>
      <c r="J117" s="728">
        <f t="shared" si="16"/>
        <v>0.18843710292249047</v>
      </c>
      <c r="K117" s="27">
        <f>SUM(C115:C117)</f>
        <v>184650</v>
      </c>
      <c r="L117" s="27">
        <f>SUM(D115:D117)</f>
        <v>184490</v>
      </c>
      <c r="M117" s="27">
        <f t="shared" ref="M117" si="41">SUM(I115:I117)</f>
        <v>32590</v>
      </c>
    </row>
    <row r="118" spans="1:16" x14ac:dyDescent="0.25">
      <c r="A118" s="204" t="s">
        <v>132</v>
      </c>
      <c r="B118" s="203" t="s">
        <v>309</v>
      </c>
      <c r="C118" s="208">
        <v>1300</v>
      </c>
      <c r="D118" s="208">
        <v>1300</v>
      </c>
      <c r="E118" s="208">
        <v>1300</v>
      </c>
      <c r="F118" s="208">
        <v>1300</v>
      </c>
      <c r="G118" s="208">
        <v>1300</v>
      </c>
      <c r="H118" s="208">
        <v>1300</v>
      </c>
      <c r="I118" s="208">
        <v>242</v>
      </c>
      <c r="J118" s="728">
        <f t="shared" si="16"/>
        <v>0.18615384615384614</v>
      </c>
      <c r="K118" s="1"/>
    </row>
    <row r="119" spans="1:16" ht="15.75" thickBot="1" x14ac:dyDescent="0.3">
      <c r="A119" s="202" t="s">
        <v>133</v>
      </c>
      <c r="B119" s="203" t="s">
        <v>207</v>
      </c>
      <c r="C119" s="208">
        <v>1300</v>
      </c>
      <c r="D119" s="723">
        <f>1300-20</f>
        <v>1280</v>
      </c>
      <c r="E119" s="208">
        <f>1300-20</f>
        <v>1280</v>
      </c>
      <c r="F119" s="208">
        <f>1300-20</f>
        <v>1280</v>
      </c>
      <c r="G119" s="208">
        <f>1300-20</f>
        <v>1280</v>
      </c>
      <c r="H119" s="208">
        <f>1300-20</f>
        <v>1280</v>
      </c>
      <c r="I119" s="208">
        <v>0</v>
      </c>
      <c r="J119" s="728">
        <f t="shared" si="16"/>
        <v>0</v>
      </c>
      <c r="K119" s="1"/>
    </row>
    <row r="120" spans="1:16" ht="15.75" thickBot="1" x14ac:dyDescent="0.3">
      <c r="A120" s="104" t="s">
        <v>134</v>
      </c>
      <c r="B120" s="105"/>
      <c r="C120" s="108">
        <f t="shared" ref="C120:I120" si="42">SUM(C121:C125)</f>
        <v>482770</v>
      </c>
      <c r="D120" s="108">
        <f t="shared" si="42"/>
        <v>485270</v>
      </c>
      <c r="E120" s="108">
        <f t="shared" si="42"/>
        <v>485270</v>
      </c>
      <c r="F120" s="108">
        <f t="shared" si="42"/>
        <v>485270</v>
      </c>
      <c r="G120" s="108">
        <f t="shared" ref="G120:H120" si="43">SUM(G121:G125)</f>
        <v>485270</v>
      </c>
      <c r="H120" s="108">
        <f t="shared" si="43"/>
        <v>485270</v>
      </c>
      <c r="I120" s="108">
        <f t="shared" si="42"/>
        <v>104220</v>
      </c>
      <c r="J120" s="728">
        <f t="shared" si="16"/>
        <v>0.21476703690728874</v>
      </c>
      <c r="K120" s="1"/>
    </row>
    <row r="121" spans="1:16" x14ac:dyDescent="0.25">
      <c r="A121" s="192" t="s">
        <v>135</v>
      </c>
      <c r="B121" s="84" t="s">
        <v>220</v>
      </c>
      <c r="C121" s="55">
        <v>392070</v>
      </c>
      <c r="D121" s="716">
        <f>392070-1998</f>
        <v>390072</v>
      </c>
      <c r="E121" s="55">
        <f>392070-1998</f>
        <v>390072</v>
      </c>
      <c r="F121" s="55">
        <f>392070-1998</f>
        <v>390072</v>
      </c>
      <c r="G121" s="55">
        <f>392070-1998</f>
        <v>390072</v>
      </c>
      <c r="H121" s="55">
        <f>392070-1998</f>
        <v>390072</v>
      </c>
      <c r="I121" s="55">
        <v>74289</v>
      </c>
      <c r="J121" s="728">
        <f t="shared" si="16"/>
        <v>0.19044945548514119</v>
      </c>
      <c r="K121" s="1"/>
    </row>
    <row r="122" spans="1:16" x14ac:dyDescent="0.25">
      <c r="A122" s="192" t="s">
        <v>136</v>
      </c>
      <c r="B122" s="84" t="s">
        <v>137</v>
      </c>
      <c r="C122" s="55">
        <v>73400</v>
      </c>
      <c r="D122" s="716">
        <f>73400+3781</f>
        <v>77181</v>
      </c>
      <c r="E122" s="55">
        <f>73400+3781</f>
        <v>77181</v>
      </c>
      <c r="F122" s="55">
        <f>73400+3781</f>
        <v>77181</v>
      </c>
      <c r="G122" s="55">
        <f>73400+3781</f>
        <v>77181</v>
      </c>
      <c r="H122" s="55">
        <f>73400+3781</f>
        <v>77181</v>
      </c>
      <c r="I122" s="55">
        <v>26148</v>
      </c>
      <c r="J122" s="728">
        <f t="shared" si="16"/>
        <v>0.3387880436895091</v>
      </c>
      <c r="K122" s="1"/>
    </row>
    <row r="123" spans="1:16" x14ac:dyDescent="0.25">
      <c r="A123" s="117" t="s">
        <v>138</v>
      </c>
      <c r="B123" s="114" t="s">
        <v>139</v>
      </c>
      <c r="C123" s="60">
        <v>16300</v>
      </c>
      <c r="D123" s="694">
        <f>16300+717</f>
        <v>17017</v>
      </c>
      <c r="E123" s="60">
        <f>16300+717</f>
        <v>17017</v>
      </c>
      <c r="F123" s="60">
        <f>16300+717</f>
        <v>17017</v>
      </c>
      <c r="G123" s="60">
        <f>16300+717</f>
        <v>17017</v>
      </c>
      <c r="H123" s="60">
        <f>16300+717</f>
        <v>17017</v>
      </c>
      <c r="I123" s="60">
        <v>3783</v>
      </c>
      <c r="J123" s="728">
        <f t="shared" si="16"/>
        <v>0.22230710466004583</v>
      </c>
      <c r="K123" s="1"/>
    </row>
    <row r="124" spans="1:16" x14ac:dyDescent="0.25">
      <c r="A124" s="117" t="s">
        <v>140</v>
      </c>
      <c r="B124" s="114" t="s">
        <v>141</v>
      </c>
      <c r="C124" s="60">
        <v>500</v>
      </c>
      <c r="D124" s="60">
        <v>500</v>
      </c>
      <c r="E124" s="60">
        <v>500</v>
      </c>
      <c r="F124" s="60">
        <v>500</v>
      </c>
      <c r="G124" s="60">
        <v>500</v>
      </c>
      <c r="H124" s="60">
        <v>500</v>
      </c>
      <c r="I124" s="60">
        <v>0</v>
      </c>
      <c r="J124" s="728">
        <f t="shared" si="16"/>
        <v>0</v>
      </c>
      <c r="K124" s="1"/>
    </row>
    <row r="125" spans="1:16" ht="15.75" thickBot="1" x14ac:dyDescent="0.3">
      <c r="A125" s="160" t="s">
        <v>142</v>
      </c>
      <c r="B125" s="161" t="s">
        <v>143</v>
      </c>
      <c r="C125" s="182">
        <v>500</v>
      </c>
      <c r="D125" s="182">
        <v>500</v>
      </c>
      <c r="E125" s="182">
        <v>500</v>
      </c>
      <c r="F125" s="182">
        <v>500</v>
      </c>
      <c r="G125" s="182">
        <v>500</v>
      </c>
      <c r="H125" s="182">
        <v>500</v>
      </c>
      <c r="I125" s="182">
        <v>0</v>
      </c>
      <c r="J125" s="728">
        <f t="shared" si="16"/>
        <v>0</v>
      </c>
      <c r="K125" s="1"/>
      <c r="L125" s="27"/>
      <c r="M125" s="27"/>
    </row>
    <row r="126" spans="1:16" ht="24.75" customHeight="1" thickBot="1" x14ac:dyDescent="0.3">
      <c r="A126" s="209" t="s">
        <v>144</v>
      </c>
      <c r="B126" s="172"/>
      <c r="C126" s="212">
        <f t="shared" ref="C126:I126" si="44">SUM(C76+C82+C84+C87+C91+C96+C101+C105+C111+C120)</f>
        <v>1919385</v>
      </c>
      <c r="D126" s="212">
        <f t="shared" si="44"/>
        <v>1922156</v>
      </c>
      <c r="E126" s="212">
        <f t="shared" si="44"/>
        <v>1939266</v>
      </c>
      <c r="F126" s="212">
        <f t="shared" si="44"/>
        <v>1943129</v>
      </c>
      <c r="G126" s="212">
        <f t="shared" si="44"/>
        <v>1943129</v>
      </c>
      <c r="H126" s="212">
        <f t="shared" ref="H126" si="45">SUM(H76+H82+H84+H87+H91+H96+H101+H105+H111+H120)</f>
        <v>1943129</v>
      </c>
      <c r="I126" s="212">
        <f t="shared" si="44"/>
        <v>362444</v>
      </c>
      <c r="J126" s="728">
        <f t="shared" si="16"/>
        <v>0.18652595890442683</v>
      </c>
      <c r="K126" s="27">
        <f>D126-C126</f>
        <v>2771</v>
      </c>
      <c r="L126" s="27">
        <f>E126-D126</f>
        <v>17110</v>
      </c>
      <c r="M126" s="27">
        <f>F126-E126</f>
        <v>3863</v>
      </c>
      <c r="N126" s="27">
        <f>G126-F126</f>
        <v>0</v>
      </c>
    </row>
    <row r="127" spans="1:16" x14ac:dyDescent="0.25">
      <c r="A127" s="502" t="s">
        <v>124</v>
      </c>
      <c r="B127" s="213" t="s">
        <v>341</v>
      </c>
      <c r="C127" s="216">
        <f>C63</f>
        <v>720000</v>
      </c>
      <c r="D127" s="715">
        <f>D63+D180</f>
        <v>722098</v>
      </c>
      <c r="E127" s="216">
        <f>E63+E180</f>
        <v>722098</v>
      </c>
      <c r="F127" s="715">
        <f>F63+F180</f>
        <v>711459</v>
      </c>
      <c r="G127" s="216">
        <f>G63+G180</f>
        <v>711459</v>
      </c>
      <c r="H127" s="216">
        <f>H63+H180</f>
        <v>711459</v>
      </c>
      <c r="I127" s="216">
        <f>I63</f>
        <v>213990</v>
      </c>
      <c r="J127" s="728">
        <f t="shared" si="16"/>
        <v>0.30077629209835</v>
      </c>
      <c r="K127" s="1"/>
      <c r="L127" s="27"/>
      <c r="M127" s="27"/>
      <c r="N127" s="27"/>
    </row>
    <row r="128" spans="1:16" ht="15.75" thickBot="1" x14ac:dyDescent="0.3">
      <c r="A128" s="717" t="s">
        <v>124</v>
      </c>
      <c r="B128" s="718" t="s">
        <v>145</v>
      </c>
      <c r="C128" s="719">
        <f t="shared" ref="C128:I128" si="46">C65</f>
        <v>1500</v>
      </c>
      <c r="D128" s="719">
        <f t="shared" si="46"/>
        <v>1500</v>
      </c>
      <c r="E128" s="719">
        <f t="shared" si="46"/>
        <v>1500</v>
      </c>
      <c r="F128" s="719">
        <f t="shared" si="46"/>
        <v>1500</v>
      </c>
      <c r="G128" s="719">
        <f t="shared" si="46"/>
        <v>1500</v>
      </c>
      <c r="H128" s="719">
        <f t="shared" ref="H128" si="47">H65</f>
        <v>1500</v>
      </c>
      <c r="I128" s="719">
        <f t="shared" si="46"/>
        <v>0</v>
      </c>
      <c r="J128" s="728">
        <f t="shared" si="16"/>
        <v>0</v>
      </c>
      <c r="K128" s="27">
        <f>SUM(G127:G128)</f>
        <v>712959</v>
      </c>
      <c r="L128" s="27">
        <f>SUM(I127:I128)</f>
        <v>213990</v>
      </c>
      <c r="M128" s="27"/>
      <c r="N128" s="27"/>
    </row>
    <row r="129" spans="1:14" x14ac:dyDescent="0.25">
      <c r="A129" s="226" t="s">
        <v>125</v>
      </c>
      <c r="B129" s="227" t="s">
        <v>148</v>
      </c>
      <c r="C129" s="230">
        <v>34400</v>
      </c>
      <c r="D129" s="230">
        <v>34400</v>
      </c>
      <c r="E129" s="230">
        <v>34400</v>
      </c>
      <c r="F129" s="230">
        <v>34400</v>
      </c>
      <c r="G129" s="230">
        <v>34400</v>
      </c>
      <c r="H129" s="230">
        <v>34400</v>
      </c>
      <c r="I129" s="230">
        <v>8601</v>
      </c>
      <c r="J129" s="728">
        <f t="shared" si="16"/>
        <v>0.25002906976744188</v>
      </c>
      <c r="K129" s="27"/>
    </row>
    <row r="130" spans="1:14" ht="15.75" thickBot="1" x14ac:dyDescent="0.3">
      <c r="A130" s="217" t="s">
        <v>125</v>
      </c>
      <c r="B130" s="218" t="s">
        <v>149</v>
      </c>
      <c r="C130" s="221">
        <f t="shared" ref="C130:G130" si="48">C66</f>
        <v>3600</v>
      </c>
      <c r="D130" s="221">
        <f t="shared" si="48"/>
        <v>3600</v>
      </c>
      <c r="E130" s="221">
        <f t="shared" si="48"/>
        <v>3600</v>
      </c>
      <c r="F130" s="221">
        <f t="shared" si="48"/>
        <v>3600</v>
      </c>
      <c r="G130" s="221">
        <f t="shared" si="48"/>
        <v>3600</v>
      </c>
      <c r="H130" s="221">
        <f t="shared" ref="H130" si="49">H66</f>
        <v>3600</v>
      </c>
      <c r="I130" s="221">
        <v>1092</v>
      </c>
      <c r="J130" s="728">
        <f t="shared" si="16"/>
        <v>0.30333333333333334</v>
      </c>
      <c r="K130" s="27">
        <f>SUM(G129:G130)</f>
        <v>38000</v>
      </c>
      <c r="L130" s="27">
        <f>SUM(I129:I130)</f>
        <v>9693</v>
      </c>
      <c r="M130" s="27"/>
      <c r="N130" s="27"/>
    </row>
    <row r="131" spans="1:14" ht="15.75" thickBot="1" x14ac:dyDescent="0.3">
      <c r="A131" s="903" t="s">
        <v>150</v>
      </c>
      <c r="B131" s="904"/>
      <c r="C131" s="233">
        <f t="shared" ref="C131:I131" si="50">SUM(C127:C130)</f>
        <v>759500</v>
      </c>
      <c r="D131" s="233">
        <f t="shared" si="50"/>
        <v>761598</v>
      </c>
      <c r="E131" s="233">
        <f t="shared" si="50"/>
        <v>761598</v>
      </c>
      <c r="F131" s="233">
        <f t="shared" si="50"/>
        <v>750959</v>
      </c>
      <c r="G131" s="233">
        <f t="shared" si="50"/>
        <v>750959</v>
      </c>
      <c r="H131" s="233">
        <f t="shared" ref="H131" si="51">SUM(H127:H130)</f>
        <v>750959</v>
      </c>
      <c r="I131" s="233">
        <f t="shared" si="50"/>
        <v>223683</v>
      </c>
      <c r="J131" s="728">
        <f t="shared" si="16"/>
        <v>0.29786313234144607</v>
      </c>
      <c r="K131" s="27">
        <f>D131-C131</f>
        <v>2098</v>
      </c>
      <c r="L131" s="27">
        <f>E131-D131</f>
        <v>0</v>
      </c>
      <c r="M131" s="27">
        <f>F131-E131</f>
        <v>-10639</v>
      </c>
      <c r="N131" s="27">
        <f>G131-F131</f>
        <v>0</v>
      </c>
    </row>
    <row r="132" spans="1:14" x14ac:dyDescent="0.25">
      <c r="A132" s="234" t="s">
        <v>125</v>
      </c>
      <c r="B132" s="235" t="s">
        <v>151</v>
      </c>
      <c r="C132" s="238">
        <v>298000</v>
      </c>
      <c r="D132" s="238">
        <v>298000</v>
      </c>
      <c r="E132" s="238">
        <v>298000</v>
      </c>
      <c r="F132" s="238">
        <v>298000</v>
      </c>
      <c r="G132" s="238">
        <v>298000</v>
      </c>
      <c r="H132" s="238">
        <v>298000</v>
      </c>
      <c r="I132" s="238">
        <v>74499</v>
      </c>
      <c r="J132" s="728">
        <f t="shared" ref="J132:J193" si="52">I132/H132</f>
        <v>0.24999664429530202</v>
      </c>
      <c r="K132" s="1"/>
    </row>
    <row r="133" spans="1:14" ht="15.75" thickBot="1" x14ac:dyDescent="0.3">
      <c r="A133" s="239" t="s">
        <v>125</v>
      </c>
      <c r="B133" s="240" t="s">
        <v>152</v>
      </c>
      <c r="C133" s="89">
        <f t="shared" ref="C133:G133" si="53">C68</f>
        <v>13600</v>
      </c>
      <c r="D133" s="89">
        <f t="shared" si="53"/>
        <v>13600</v>
      </c>
      <c r="E133" s="89">
        <f t="shared" si="53"/>
        <v>13600</v>
      </c>
      <c r="F133" s="89">
        <f t="shared" si="53"/>
        <v>13600</v>
      </c>
      <c r="G133" s="89">
        <f t="shared" si="53"/>
        <v>13600</v>
      </c>
      <c r="H133" s="89">
        <f t="shared" ref="H133" si="54">H68</f>
        <v>13600</v>
      </c>
      <c r="I133" s="89">
        <v>6775</v>
      </c>
      <c r="J133" s="728">
        <f t="shared" si="52"/>
        <v>0.49816176470588236</v>
      </c>
      <c r="K133" s="1"/>
    </row>
    <row r="134" spans="1:14" ht="15.75" thickBot="1" x14ac:dyDescent="0.3">
      <c r="A134" s="886" t="s">
        <v>153</v>
      </c>
      <c r="B134" s="887"/>
      <c r="C134" s="245">
        <f t="shared" ref="C134:I134" si="55">SUM(C132:C133)</f>
        <v>311600</v>
      </c>
      <c r="D134" s="245">
        <f t="shared" si="55"/>
        <v>311600</v>
      </c>
      <c r="E134" s="245">
        <f t="shared" si="55"/>
        <v>311600</v>
      </c>
      <c r="F134" s="245">
        <f t="shared" si="55"/>
        <v>311600</v>
      </c>
      <c r="G134" s="245">
        <f t="shared" si="55"/>
        <v>311600</v>
      </c>
      <c r="H134" s="245">
        <f t="shared" ref="H134" si="56">SUM(H132:H133)</f>
        <v>311600</v>
      </c>
      <c r="I134" s="245">
        <f t="shared" si="55"/>
        <v>81274</v>
      </c>
      <c r="J134" s="728">
        <f t="shared" si="52"/>
        <v>0.26082798459563544</v>
      </c>
      <c r="K134" s="27">
        <f t="shared" ref="K134:N136" si="57">D134-C134</f>
        <v>0</v>
      </c>
      <c r="L134" s="27">
        <f t="shared" si="57"/>
        <v>0</v>
      </c>
      <c r="M134" s="27">
        <f t="shared" si="57"/>
        <v>0</v>
      </c>
      <c r="N134" s="27">
        <f t="shared" si="57"/>
        <v>0</v>
      </c>
    </row>
    <row r="135" spans="1:14" ht="22.5" customHeight="1" thickBot="1" x14ac:dyDescent="0.3">
      <c r="A135" s="872" t="s">
        <v>154</v>
      </c>
      <c r="B135" s="873"/>
      <c r="C135" s="248">
        <f t="shared" ref="C135:I135" si="58">C131+C134</f>
        <v>1071100</v>
      </c>
      <c r="D135" s="248">
        <f t="shared" si="58"/>
        <v>1073198</v>
      </c>
      <c r="E135" s="248">
        <f t="shared" si="58"/>
        <v>1073198</v>
      </c>
      <c r="F135" s="248">
        <f t="shared" si="58"/>
        <v>1062559</v>
      </c>
      <c r="G135" s="248">
        <f t="shared" si="58"/>
        <v>1062559</v>
      </c>
      <c r="H135" s="248">
        <f t="shared" ref="H135" si="59">H131+H134</f>
        <v>1062559</v>
      </c>
      <c r="I135" s="248">
        <f t="shared" si="58"/>
        <v>304957</v>
      </c>
      <c r="J135" s="728">
        <f t="shared" si="52"/>
        <v>0.2870024158658484</v>
      </c>
      <c r="K135" s="27">
        <f t="shared" si="57"/>
        <v>2098</v>
      </c>
      <c r="L135" s="27">
        <f t="shared" si="57"/>
        <v>0</v>
      </c>
      <c r="M135" s="27">
        <f t="shared" si="57"/>
        <v>-10639</v>
      </c>
      <c r="N135" s="27">
        <f t="shared" si="57"/>
        <v>0</v>
      </c>
    </row>
    <row r="136" spans="1:14" ht="27.75" customHeight="1" thickBot="1" x14ac:dyDescent="0.3">
      <c r="A136" s="249" t="s">
        <v>155</v>
      </c>
      <c r="B136" s="140"/>
      <c r="C136" s="252">
        <f t="shared" ref="C136:I136" si="60">C126+C135</f>
        <v>2990485</v>
      </c>
      <c r="D136" s="252">
        <f t="shared" si="60"/>
        <v>2995354</v>
      </c>
      <c r="E136" s="252">
        <f t="shared" si="60"/>
        <v>3012464</v>
      </c>
      <c r="F136" s="252">
        <f t="shared" si="60"/>
        <v>3005688</v>
      </c>
      <c r="G136" s="252">
        <f t="shared" si="60"/>
        <v>3005688</v>
      </c>
      <c r="H136" s="252">
        <f t="shared" ref="H136" si="61">H126+H135</f>
        <v>3005688</v>
      </c>
      <c r="I136" s="252">
        <f t="shared" si="60"/>
        <v>667401</v>
      </c>
      <c r="J136" s="728">
        <f t="shared" si="52"/>
        <v>0.22204600078251635</v>
      </c>
      <c r="K136" s="27">
        <f t="shared" si="57"/>
        <v>4869</v>
      </c>
      <c r="L136" s="27">
        <f t="shared" si="57"/>
        <v>17110</v>
      </c>
      <c r="M136" s="27">
        <f t="shared" si="57"/>
        <v>-6776</v>
      </c>
      <c r="N136" s="27">
        <f t="shared" si="57"/>
        <v>0</v>
      </c>
    </row>
    <row r="137" spans="1:1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728"/>
      <c r="K137" s="1"/>
    </row>
    <row r="138" spans="1:1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728"/>
      <c r="K138" s="1"/>
    </row>
    <row r="139" spans="1:14" ht="18.75" thickBot="1" x14ac:dyDescent="0.3">
      <c r="A139" s="874" t="s">
        <v>156</v>
      </c>
      <c r="B139" s="875"/>
      <c r="C139" s="875"/>
      <c r="D139" s="875"/>
      <c r="E139" s="875"/>
      <c r="F139" s="875"/>
      <c r="G139" s="875"/>
      <c r="H139" s="875"/>
      <c r="I139" s="875"/>
      <c r="J139" s="728"/>
      <c r="K139" s="1"/>
    </row>
    <row r="140" spans="1:14" ht="38.25" customHeight="1" thickBot="1" x14ac:dyDescent="0.3">
      <c r="A140" s="876" t="s">
        <v>1</v>
      </c>
      <c r="B140" s="877"/>
      <c r="C140" s="387" t="s">
        <v>467</v>
      </c>
      <c r="D140" s="387" t="s">
        <v>465</v>
      </c>
      <c r="E140" s="387" t="s">
        <v>483</v>
      </c>
      <c r="F140" s="387" t="s">
        <v>500</v>
      </c>
      <c r="G140" s="387" t="s">
        <v>533</v>
      </c>
      <c r="H140" s="387" t="s">
        <v>578</v>
      </c>
      <c r="I140" s="387" t="s">
        <v>577</v>
      </c>
      <c r="J140" s="728"/>
      <c r="K140" s="1"/>
    </row>
    <row r="141" spans="1:14" ht="16.5" thickBot="1" x14ac:dyDescent="0.3">
      <c r="A141" s="878" t="s">
        <v>157</v>
      </c>
      <c r="B141" s="879"/>
      <c r="C141" s="253">
        <f t="shared" ref="C141:I141" si="62">SUM(C142:C152)</f>
        <v>2593450</v>
      </c>
      <c r="D141" s="253">
        <f t="shared" si="62"/>
        <v>2523450</v>
      </c>
      <c r="E141" s="253">
        <f t="shared" si="62"/>
        <v>2511270</v>
      </c>
      <c r="F141" s="253">
        <f t="shared" si="62"/>
        <v>2511270</v>
      </c>
      <c r="G141" s="253">
        <f t="shared" si="62"/>
        <v>2541070</v>
      </c>
      <c r="H141" s="253">
        <f t="shared" ref="H141" si="63">SUM(H142:H152)</f>
        <v>2541070</v>
      </c>
      <c r="I141" s="253">
        <f t="shared" si="62"/>
        <v>0</v>
      </c>
      <c r="J141" s="728">
        <f t="shared" si="52"/>
        <v>0</v>
      </c>
      <c r="K141" s="27">
        <f>D141-C141</f>
        <v>-70000</v>
      </c>
      <c r="L141" s="27">
        <f>E141-D141</f>
        <v>-12180</v>
      </c>
      <c r="M141" s="27">
        <f>F141-E141</f>
        <v>0</v>
      </c>
      <c r="N141" s="27">
        <f>G141-F141</f>
        <v>29800</v>
      </c>
    </row>
    <row r="142" spans="1:14" ht="15.75" thickBot="1" x14ac:dyDescent="0.3">
      <c r="A142" s="77">
        <v>233</v>
      </c>
      <c r="B142" s="311" t="s">
        <v>158</v>
      </c>
      <c r="C142" s="255">
        <v>3000</v>
      </c>
      <c r="D142" s="255">
        <v>3000</v>
      </c>
      <c r="E142" s="255">
        <v>3000</v>
      </c>
      <c r="F142" s="255">
        <v>3000</v>
      </c>
      <c r="G142" s="255">
        <v>3000</v>
      </c>
      <c r="H142" s="255">
        <v>3000</v>
      </c>
      <c r="I142" s="255">
        <v>0</v>
      </c>
      <c r="J142" s="728">
        <f t="shared" si="52"/>
        <v>0</v>
      </c>
      <c r="K142" s="1"/>
    </row>
    <row r="143" spans="1:14" x14ac:dyDescent="0.25">
      <c r="A143" s="261">
        <v>322</v>
      </c>
      <c r="B143" s="264" t="s">
        <v>356</v>
      </c>
      <c r="C143" s="260">
        <v>145000</v>
      </c>
      <c r="D143" s="260">
        <v>145000</v>
      </c>
      <c r="E143" s="260">
        <v>145000</v>
      </c>
      <c r="F143" s="260">
        <v>145000</v>
      </c>
      <c r="G143" s="260">
        <v>145000</v>
      </c>
      <c r="H143" s="260">
        <v>145000</v>
      </c>
      <c r="I143" s="699">
        <v>0</v>
      </c>
      <c r="J143" s="728">
        <f t="shared" si="52"/>
        <v>0</v>
      </c>
      <c r="K143" s="1"/>
    </row>
    <row r="144" spans="1:14" x14ac:dyDescent="0.25">
      <c r="A144" s="261">
        <v>322</v>
      </c>
      <c r="B144" s="76" t="s">
        <v>355</v>
      </c>
      <c r="C144" s="263">
        <v>430000</v>
      </c>
      <c r="D144" s="263">
        <v>430000</v>
      </c>
      <c r="E144" s="263">
        <v>430000</v>
      </c>
      <c r="F144" s="263">
        <v>430000</v>
      </c>
      <c r="G144" s="263">
        <v>430000</v>
      </c>
      <c r="H144" s="263">
        <v>430000</v>
      </c>
      <c r="I144" s="263">
        <v>0</v>
      </c>
      <c r="J144" s="728">
        <f t="shared" si="52"/>
        <v>0</v>
      </c>
      <c r="K144" s="1"/>
    </row>
    <row r="145" spans="1:14" x14ac:dyDescent="0.25">
      <c r="A145" s="261">
        <v>322</v>
      </c>
      <c r="B145" s="84" t="s">
        <v>348</v>
      </c>
      <c r="C145" s="263">
        <v>138200</v>
      </c>
      <c r="D145" s="263">
        <v>138200</v>
      </c>
      <c r="E145" s="263">
        <v>138200</v>
      </c>
      <c r="F145" s="263">
        <v>138200</v>
      </c>
      <c r="G145" s="263">
        <v>138200</v>
      </c>
      <c r="H145" s="263">
        <v>138200</v>
      </c>
      <c r="I145" s="260">
        <v>0</v>
      </c>
      <c r="J145" s="728">
        <f t="shared" si="52"/>
        <v>0</v>
      </c>
      <c r="K145" s="1"/>
    </row>
    <row r="146" spans="1:14" x14ac:dyDescent="0.25">
      <c r="A146" s="261">
        <v>322</v>
      </c>
      <c r="B146" s="76" t="s">
        <v>353</v>
      </c>
      <c r="C146" s="263">
        <v>1146000</v>
      </c>
      <c r="D146" s="263">
        <v>1146000</v>
      </c>
      <c r="E146" s="263">
        <v>1146000</v>
      </c>
      <c r="F146" s="263">
        <v>1146000</v>
      </c>
      <c r="G146" s="263">
        <v>1146000</v>
      </c>
      <c r="H146" s="263">
        <v>1146000</v>
      </c>
      <c r="I146" s="260">
        <v>0</v>
      </c>
      <c r="J146" s="728">
        <f t="shared" si="52"/>
        <v>0</v>
      </c>
      <c r="K146" s="1"/>
    </row>
    <row r="147" spans="1:14" x14ac:dyDescent="0.25">
      <c r="A147" s="258">
        <v>322</v>
      </c>
      <c r="B147" s="72" t="s">
        <v>352</v>
      </c>
      <c r="C147" s="260">
        <v>379400</v>
      </c>
      <c r="D147" s="260">
        <v>379400</v>
      </c>
      <c r="E147" s="763">
        <f>379400+680</f>
        <v>380080</v>
      </c>
      <c r="F147" s="260">
        <f>379400+680</f>
        <v>380080</v>
      </c>
      <c r="G147" s="260">
        <f>379400+680</f>
        <v>380080</v>
      </c>
      <c r="H147" s="260">
        <f>379400+680</f>
        <v>380080</v>
      </c>
      <c r="I147" s="260">
        <v>0</v>
      </c>
      <c r="J147" s="728">
        <f t="shared" si="52"/>
        <v>0</v>
      </c>
      <c r="K147" s="1"/>
    </row>
    <row r="148" spans="1:14" x14ac:dyDescent="0.25">
      <c r="A148" s="258">
        <v>322</v>
      </c>
      <c r="B148" s="72" t="s">
        <v>351</v>
      </c>
      <c r="C148" s="257">
        <v>50000</v>
      </c>
      <c r="D148" s="257">
        <v>50000</v>
      </c>
      <c r="E148" s="257">
        <v>50000</v>
      </c>
      <c r="F148" s="257">
        <v>50000</v>
      </c>
      <c r="G148" s="257">
        <v>50000</v>
      </c>
      <c r="H148" s="257">
        <v>50000</v>
      </c>
      <c r="I148" s="260">
        <v>0</v>
      </c>
      <c r="J148" s="728">
        <f t="shared" si="52"/>
        <v>0</v>
      </c>
      <c r="K148" s="1"/>
    </row>
    <row r="149" spans="1:14" x14ac:dyDescent="0.25">
      <c r="A149" s="258">
        <v>322</v>
      </c>
      <c r="B149" s="114" t="s">
        <v>534</v>
      </c>
      <c r="C149" s="257">
        <v>0</v>
      </c>
      <c r="D149" s="257">
        <v>0</v>
      </c>
      <c r="E149" s="257">
        <v>0</v>
      </c>
      <c r="F149" s="257">
        <v>0</v>
      </c>
      <c r="G149" s="688">
        <v>29800</v>
      </c>
      <c r="H149" s="257">
        <v>29800</v>
      </c>
      <c r="I149" s="260">
        <v>0</v>
      </c>
      <c r="J149" s="728">
        <f t="shared" si="52"/>
        <v>0</v>
      </c>
      <c r="K149" s="1"/>
    </row>
    <row r="150" spans="1:14" x14ac:dyDescent="0.25">
      <c r="A150" s="258">
        <v>322</v>
      </c>
      <c r="B150" s="114" t="s">
        <v>349</v>
      </c>
      <c r="C150" s="257">
        <v>196500</v>
      </c>
      <c r="D150" s="257">
        <v>196500</v>
      </c>
      <c r="E150" s="688">
        <f>196500-12860</f>
        <v>183640</v>
      </c>
      <c r="F150" s="257">
        <f>196500-12860</f>
        <v>183640</v>
      </c>
      <c r="G150" s="257">
        <f>196500-12860</f>
        <v>183640</v>
      </c>
      <c r="H150" s="257">
        <f>196500-12860</f>
        <v>183640</v>
      </c>
      <c r="I150" s="260">
        <v>0</v>
      </c>
      <c r="J150" s="728">
        <f t="shared" si="52"/>
        <v>0</v>
      </c>
      <c r="K150" s="1"/>
    </row>
    <row r="151" spans="1:14" x14ac:dyDescent="0.25">
      <c r="A151" s="258">
        <v>322</v>
      </c>
      <c r="B151" s="264" t="s">
        <v>286</v>
      </c>
      <c r="C151" s="257">
        <v>70000</v>
      </c>
      <c r="D151" s="688">
        <f>70000-70000</f>
        <v>0</v>
      </c>
      <c r="E151" s="257">
        <f>70000-70000</f>
        <v>0</v>
      </c>
      <c r="F151" s="257">
        <f>70000-70000</f>
        <v>0</v>
      </c>
      <c r="G151" s="257">
        <f>70000-70000</f>
        <v>0</v>
      </c>
      <c r="H151" s="257">
        <f>70000-70000</f>
        <v>0</v>
      </c>
      <c r="I151" s="260">
        <v>0</v>
      </c>
      <c r="J151" s="728">
        <v>0</v>
      </c>
      <c r="K151" s="1"/>
    </row>
    <row r="152" spans="1:14" ht="15.75" thickBot="1" x14ac:dyDescent="0.3">
      <c r="A152" s="506">
        <v>322</v>
      </c>
      <c r="B152" s="522" t="s">
        <v>287</v>
      </c>
      <c r="C152" s="257">
        <f t="shared" ref="C152:H152" si="64">140750-105400</f>
        <v>35350</v>
      </c>
      <c r="D152" s="257">
        <f t="shared" si="64"/>
        <v>35350</v>
      </c>
      <c r="E152" s="257">
        <f t="shared" si="64"/>
        <v>35350</v>
      </c>
      <c r="F152" s="257">
        <f t="shared" si="64"/>
        <v>35350</v>
      </c>
      <c r="G152" s="257">
        <f t="shared" si="64"/>
        <v>35350</v>
      </c>
      <c r="H152" s="257">
        <f t="shared" si="64"/>
        <v>35350</v>
      </c>
      <c r="I152" s="260">
        <v>0</v>
      </c>
      <c r="J152" s="728">
        <f t="shared" si="52"/>
        <v>0</v>
      </c>
      <c r="K152" s="27">
        <f>SUM(C143:C152)</f>
        <v>2590450</v>
      </c>
      <c r="L152" s="27">
        <f>SUM(G143:G152)</f>
        <v>2538070</v>
      </c>
      <c r="M152" s="27"/>
    </row>
    <row r="153" spans="1:14" ht="16.5" thickBot="1" x14ac:dyDescent="0.3">
      <c r="A153" s="878" t="s">
        <v>161</v>
      </c>
      <c r="B153" s="879"/>
      <c r="C153" s="253">
        <f>SUM(C154:C171)</f>
        <v>3144736</v>
      </c>
      <c r="D153" s="253">
        <f t="shared" ref="D153:I153" si="65">SUM(D154:D171)</f>
        <v>3137146</v>
      </c>
      <c r="E153" s="253">
        <f t="shared" si="65"/>
        <v>3124966</v>
      </c>
      <c r="F153" s="253">
        <f t="shared" si="65"/>
        <v>3124966</v>
      </c>
      <c r="G153" s="253">
        <f t="shared" ref="G153:H153" si="66">SUM(G154:G171)</f>
        <v>3154766</v>
      </c>
      <c r="H153" s="253">
        <f t="shared" si="66"/>
        <v>3154766</v>
      </c>
      <c r="I153" s="253">
        <f t="shared" si="65"/>
        <v>66353</v>
      </c>
      <c r="J153" s="728">
        <f t="shared" si="52"/>
        <v>2.1032621753879686E-2</v>
      </c>
      <c r="K153" s="27">
        <f>D153-C153</f>
        <v>-7590</v>
      </c>
      <c r="L153" s="27">
        <f>E153-D153</f>
        <v>-12180</v>
      </c>
      <c r="M153" s="27">
        <f>F153-E153</f>
        <v>0</v>
      </c>
      <c r="N153" s="27">
        <f>G153-F153</f>
        <v>29800</v>
      </c>
    </row>
    <row r="154" spans="1:14" x14ac:dyDescent="0.25">
      <c r="A154" s="710" t="s">
        <v>82</v>
      </c>
      <c r="B154" s="711" t="s">
        <v>200</v>
      </c>
      <c r="C154" s="268">
        <v>30000</v>
      </c>
      <c r="D154" s="268">
        <v>30000</v>
      </c>
      <c r="E154" s="268">
        <v>30000</v>
      </c>
      <c r="F154" s="268">
        <v>30000</v>
      </c>
      <c r="G154" s="268">
        <v>30000</v>
      </c>
      <c r="H154" s="268">
        <v>30000</v>
      </c>
      <c r="I154" s="268">
        <v>7280</v>
      </c>
      <c r="J154" s="728">
        <f t="shared" si="52"/>
        <v>0.24266666666666667</v>
      </c>
      <c r="K154" s="27"/>
    </row>
    <row r="155" spans="1:14" x14ac:dyDescent="0.25">
      <c r="A155" s="275" t="s">
        <v>82</v>
      </c>
      <c r="B155" s="265" t="s">
        <v>163</v>
      </c>
      <c r="C155" s="276">
        <v>1500</v>
      </c>
      <c r="D155" s="276">
        <v>1500</v>
      </c>
      <c r="E155" s="276">
        <v>1500</v>
      </c>
      <c r="F155" s="276">
        <v>1500</v>
      </c>
      <c r="G155" s="276">
        <v>1500</v>
      </c>
      <c r="H155" s="276">
        <v>1500</v>
      </c>
      <c r="I155" s="276">
        <v>0</v>
      </c>
      <c r="J155" s="728">
        <f t="shared" si="52"/>
        <v>0</v>
      </c>
      <c r="K155" s="1"/>
    </row>
    <row r="156" spans="1:14" x14ac:dyDescent="0.25">
      <c r="A156" s="280" t="s">
        <v>87</v>
      </c>
      <c r="B156" s="556" t="s">
        <v>332</v>
      </c>
      <c r="C156" s="282">
        <v>151200</v>
      </c>
      <c r="D156" s="282">
        <v>151200</v>
      </c>
      <c r="E156" s="282">
        <v>151200</v>
      </c>
      <c r="F156" s="282">
        <v>151200</v>
      </c>
      <c r="G156" s="282">
        <v>151200</v>
      </c>
      <c r="H156" s="282">
        <v>151200</v>
      </c>
      <c r="I156" s="276">
        <v>0</v>
      </c>
      <c r="J156" s="728">
        <f t="shared" si="52"/>
        <v>0</v>
      </c>
      <c r="K156" s="1"/>
    </row>
    <row r="157" spans="1:14" x14ac:dyDescent="0.25">
      <c r="A157" s="280" t="s">
        <v>89</v>
      </c>
      <c r="B157" s="281" t="s">
        <v>333</v>
      </c>
      <c r="C157" s="270">
        <v>100000</v>
      </c>
      <c r="D157" s="270">
        <v>100000</v>
      </c>
      <c r="E157" s="270">
        <v>100000</v>
      </c>
      <c r="F157" s="270">
        <v>100000</v>
      </c>
      <c r="G157" s="270">
        <v>100000</v>
      </c>
      <c r="H157" s="270">
        <v>100000</v>
      </c>
      <c r="I157" s="276">
        <v>0</v>
      </c>
      <c r="J157" s="728">
        <f t="shared" si="52"/>
        <v>0</v>
      </c>
      <c r="K157" s="1"/>
    </row>
    <row r="158" spans="1:14" x14ac:dyDescent="0.25">
      <c r="A158" s="706" t="s">
        <v>93</v>
      </c>
      <c r="B158" s="707" t="s">
        <v>350</v>
      </c>
      <c r="C158" s="270">
        <v>196500</v>
      </c>
      <c r="D158" s="270">
        <v>196500</v>
      </c>
      <c r="E158" s="753">
        <f>196500-12860</f>
        <v>183640</v>
      </c>
      <c r="F158" s="270">
        <f>196500-12860</f>
        <v>183640</v>
      </c>
      <c r="G158" s="270">
        <f>196500-12860</f>
        <v>183640</v>
      </c>
      <c r="H158" s="270">
        <f>196500-12860</f>
        <v>183640</v>
      </c>
      <c r="I158" s="276">
        <v>0</v>
      </c>
      <c r="J158" s="728">
        <f t="shared" si="52"/>
        <v>0</v>
      </c>
      <c r="K158" s="1"/>
    </row>
    <row r="159" spans="1:14" x14ac:dyDescent="0.25">
      <c r="A159" s="706" t="s">
        <v>164</v>
      </c>
      <c r="B159" s="708" t="s">
        <v>165</v>
      </c>
      <c r="C159" s="270">
        <v>23000</v>
      </c>
      <c r="D159" s="270">
        <v>23000</v>
      </c>
      <c r="E159" s="270">
        <v>23000</v>
      </c>
      <c r="F159" s="270">
        <v>23000</v>
      </c>
      <c r="G159" s="270">
        <v>23000</v>
      </c>
      <c r="H159" s="270">
        <v>23000</v>
      </c>
      <c r="I159" s="276">
        <v>0</v>
      </c>
      <c r="J159" s="728">
        <f t="shared" si="52"/>
        <v>0</v>
      </c>
      <c r="K159" s="1"/>
    </row>
    <row r="160" spans="1:14" x14ac:dyDescent="0.25">
      <c r="A160" s="287" t="s">
        <v>96</v>
      </c>
      <c r="B160" s="285" t="s">
        <v>475</v>
      </c>
      <c r="C160" s="270">
        <v>10000</v>
      </c>
      <c r="D160" s="270">
        <v>10000</v>
      </c>
      <c r="E160" s="753">
        <f>10000-5700</f>
        <v>4300</v>
      </c>
      <c r="F160" s="270">
        <f>10000-5700</f>
        <v>4300</v>
      </c>
      <c r="G160" s="270">
        <f>10000-5700</f>
        <v>4300</v>
      </c>
      <c r="H160" s="270">
        <f>10000-5700</f>
        <v>4300</v>
      </c>
      <c r="I160" s="276">
        <v>0</v>
      </c>
      <c r="J160" s="728">
        <f t="shared" si="52"/>
        <v>0</v>
      </c>
      <c r="K160" s="27"/>
    </row>
    <row r="161" spans="1:14" x14ac:dyDescent="0.25">
      <c r="A161" s="284" t="s">
        <v>96</v>
      </c>
      <c r="B161" s="493" t="s">
        <v>357</v>
      </c>
      <c r="C161" s="270">
        <v>221836</v>
      </c>
      <c r="D161" s="270">
        <v>221836</v>
      </c>
      <c r="E161" s="753">
        <f>221836-34376</f>
        <v>187460</v>
      </c>
      <c r="F161" s="270">
        <f>221836-34376</f>
        <v>187460</v>
      </c>
      <c r="G161" s="753">
        <f>221836-34376-55000-300</f>
        <v>132160</v>
      </c>
      <c r="H161" s="270">
        <f>221836-34376-55000-300</f>
        <v>132160</v>
      </c>
      <c r="I161" s="276">
        <v>0</v>
      </c>
      <c r="J161" s="728">
        <f t="shared" si="52"/>
        <v>0</v>
      </c>
      <c r="K161" s="1"/>
    </row>
    <row r="162" spans="1:14" x14ac:dyDescent="0.25">
      <c r="A162" s="287" t="s">
        <v>301</v>
      </c>
      <c r="B162" s="530" t="s">
        <v>476</v>
      </c>
      <c r="C162" s="276">
        <v>216000</v>
      </c>
      <c r="D162" s="276">
        <v>216000</v>
      </c>
      <c r="E162" s="276">
        <v>216000</v>
      </c>
      <c r="F162" s="276">
        <v>216000</v>
      </c>
      <c r="G162" s="276">
        <v>216000</v>
      </c>
      <c r="H162" s="276">
        <v>216000</v>
      </c>
      <c r="I162" s="276">
        <v>0</v>
      </c>
      <c r="J162" s="728">
        <f t="shared" si="52"/>
        <v>0</v>
      </c>
      <c r="K162" s="1"/>
    </row>
    <row r="163" spans="1:14" x14ac:dyDescent="0.25">
      <c r="A163" s="287" t="s">
        <v>98</v>
      </c>
      <c r="B163" s="492" t="s">
        <v>274</v>
      </c>
      <c r="C163" s="276">
        <v>112000</v>
      </c>
      <c r="D163" s="276">
        <v>112000</v>
      </c>
      <c r="E163" s="276">
        <v>112000</v>
      </c>
      <c r="F163" s="276">
        <v>112000</v>
      </c>
      <c r="G163" s="742">
        <f>112000+300</f>
        <v>112300</v>
      </c>
      <c r="H163" s="276">
        <f>112000+300</f>
        <v>112300</v>
      </c>
      <c r="I163" s="276">
        <v>0</v>
      </c>
      <c r="J163" s="728">
        <f t="shared" si="52"/>
        <v>0</v>
      </c>
      <c r="K163" s="27"/>
    </row>
    <row r="164" spans="1:14" x14ac:dyDescent="0.25">
      <c r="A164" s="289" t="s">
        <v>111</v>
      </c>
      <c r="B164" s="290" t="s">
        <v>337</v>
      </c>
      <c r="C164" s="282">
        <v>55000</v>
      </c>
      <c r="D164" s="282">
        <v>55000</v>
      </c>
      <c r="E164" s="282">
        <v>55000</v>
      </c>
      <c r="F164" s="282">
        <v>55000</v>
      </c>
      <c r="G164" s="709">
        <f>55000-1800</f>
        <v>53200</v>
      </c>
      <c r="H164" s="282">
        <f>55000-1800</f>
        <v>53200</v>
      </c>
      <c r="I164" s="276">
        <v>0</v>
      </c>
      <c r="J164" s="728">
        <f t="shared" si="52"/>
        <v>0</v>
      </c>
      <c r="K164" s="27"/>
    </row>
    <row r="165" spans="1:14" x14ac:dyDescent="0.25">
      <c r="A165" s="289" t="s">
        <v>111</v>
      </c>
      <c r="B165" s="290" t="s">
        <v>477</v>
      </c>
      <c r="C165" s="282">
        <v>196100</v>
      </c>
      <c r="D165" s="709">
        <f>196100-7590</f>
        <v>188510</v>
      </c>
      <c r="E165" s="282">
        <f>196100-7590</f>
        <v>188510</v>
      </c>
      <c r="F165" s="282">
        <f>196100-7590</f>
        <v>188510</v>
      </c>
      <c r="G165" s="709">
        <f>196100-7590+1800+55000</f>
        <v>245310</v>
      </c>
      <c r="H165" s="282">
        <f>196100-7590+1800+55000</f>
        <v>245310</v>
      </c>
      <c r="I165" s="276">
        <v>59073</v>
      </c>
      <c r="J165" s="728">
        <f t="shared" si="52"/>
        <v>0.24080958786841139</v>
      </c>
      <c r="K165" s="1"/>
    </row>
    <row r="166" spans="1:14" x14ac:dyDescent="0.25">
      <c r="A166" s="284" t="s">
        <v>111</v>
      </c>
      <c r="B166" s="283" t="s">
        <v>330</v>
      </c>
      <c r="C166" s="270">
        <v>30000</v>
      </c>
      <c r="D166" s="270">
        <v>30000</v>
      </c>
      <c r="E166" s="270">
        <v>30000</v>
      </c>
      <c r="F166" s="270">
        <v>30000</v>
      </c>
      <c r="G166" s="753">
        <f>30000+29800</f>
        <v>59800</v>
      </c>
      <c r="H166" s="270">
        <f>30000+29800</f>
        <v>59800</v>
      </c>
      <c r="I166" s="276">
        <v>0</v>
      </c>
      <c r="J166" s="728">
        <f t="shared" si="52"/>
        <v>0</v>
      </c>
      <c r="K166" s="1"/>
    </row>
    <row r="167" spans="1:14" x14ac:dyDescent="0.25">
      <c r="A167" s="289" t="s">
        <v>113</v>
      </c>
      <c r="B167" s="290" t="s">
        <v>329</v>
      </c>
      <c r="C167" s="282">
        <v>15000</v>
      </c>
      <c r="D167" s="282">
        <v>15000</v>
      </c>
      <c r="E167" s="282">
        <v>15000</v>
      </c>
      <c r="F167" s="282">
        <v>15000</v>
      </c>
      <c r="G167" s="282">
        <v>15000</v>
      </c>
      <c r="H167" s="282">
        <v>15000</v>
      </c>
      <c r="I167" s="276">
        <v>0</v>
      </c>
      <c r="J167" s="728">
        <f t="shared" si="52"/>
        <v>0</v>
      </c>
      <c r="K167" s="1"/>
    </row>
    <row r="168" spans="1:14" x14ac:dyDescent="0.25">
      <c r="A168" s="289" t="s">
        <v>113</v>
      </c>
      <c r="B168" s="283" t="s">
        <v>302</v>
      </c>
      <c r="C168" s="282">
        <v>0</v>
      </c>
      <c r="D168" s="282">
        <v>0</v>
      </c>
      <c r="E168" s="282">
        <v>0</v>
      </c>
      <c r="F168" s="282">
        <v>0</v>
      </c>
      <c r="G168" s="282">
        <v>0</v>
      </c>
      <c r="H168" s="282">
        <v>0</v>
      </c>
      <c r="I168" s="276">
        <v>0</v>
      </c>
      <c r="J168" s="728">
        <v>0</v>
      </c>
      <c r="K168" s="1"/>
    </row>
    <row r="169" spans="1:14" x14ac:dyDescent="0.25">
      <c r="A169" s="284" t="s">
        <v>113</v>
      </c>
      <c r="B169" s="283" t="s">
        <v>325</v>
      </c>
      <c r="C169" s="270">
        <v>412400</v>
      </c>
      <c r="D169" s="270">
        <v>412400</v>
      </c>
      <c r="E169" s="753">
        <f>412400+40756</f>
        <v>453156</v>
      </c>
      <c r="F169" s="270">
        <f>412400+40756</f>
        <v>453156</v>
      </c>
      <c r="G169" s="270">
        <f>412400+40756</f>
        <v>453156</v>
      </c>
      <c r="H169" s="270">
        <f>412400+40756</f>
        <v>453156</v>
      </c>
      <c r="I169" s="276">
        <v>0</v>
      </c>
      <c r="J169" s="728">
        <f t="shared" si="52"/>
        <v>0</v>
      </c>
      <c r="K169" s="27"/>
    </row>
    <row r="170" spans="1:14" ht="15.75" customHeight="1" x14ac:dyDescent="0.25">
      <c r="A170" s="292" t="s">
        <v>122</v>
      </c>
      <c r="B170" s="265" t="s">
        <v>478</v>
      </c>
      <c r="C170" s="276">
        <v>245000</v>
      </c>
      <c r="D170" s="276">
        <v>245000</v>
      </c>
      <c r="E170" s="276">
        <v>245000</v>
      </c>
      <c r="F170" s="276">
        <v>245000</v>
      </c>
      <c r="G170" s="276">
        <v>245000</v>
      </c>
      <c r="H170" s="276">
        <v>245000</v>
      </c>
      <c r="I170" s="276">
        <v>0</v>
      </c>
      <c r="J170" s="728">
        <f t="shared" si="52"/>
        <v>0</v>
      </c>
      <c r="K170" s="1"/>
    </row>
    <row r="171" spans="1:14" ht="15.75" thickBot="1" x14ac:dyDescent="0.3">
      <c r="A171" s="286" t="s">
        <v>124</v>
      </c>
      <c r="B171" s="712" t="s">
        <v>292</v>
      </c>
      <c r="C171" s="273">
        <v>1129200</v>
      </c>
      <c r="D171" s="273">
        <v>1129200</v>
      </c>
      <c r="E171" s="273">
        <v>1129200</v>
      </c>
      <c r="F171" s="273">
        <v>1129200</v>
      </c>
      <c r="G171" s="273">
        <v>1129200</v>
      </c>
      <c r="H171" s="273">
        <v>1129200</v>
      </c>
      <c r="I171" s="273">
        <v>0</v>
      </c>
      <c r="J171" s="728">
        <f t="shared" si="52"/>
        <v>0</v>
      </c>
      <c r="K171" s="1"/>
    </row>
    <row r="172" spans="1:14" ht="15" customHeight="1" x14ac:dyDescent="0.25">
      <c r="A172" s="294"/>
      <c r="B172" s="295"/>
      <c r="C172" s="296"/>
      <c r="D172" s="296"/>
      <c r="E172" s="296"/>
      <c r="F172" s="296"/>
      <c r="G172" s="296"/>
      <c r="H172" s="296"/>
      <c r="I172" s="296"/>
      <c r="J172" s="728"/>
      <c r="K172" s="1"/>
    </row>
    <row r="173" spans="1:14" x14ac:dyDescent="0.25">
      <c r="A173" s="297"/>
      <c r="B173" s="298"/>
      <c r="C173" s="299"/>
      <c r="D173" s="299"/>
      <c r="E173" s="299"/>
      <c r="F173" s="299"/>
      <c r="G173" s="299"/>
      <c r="H173" s="299"/>
      <c r="I173" s="299"/>
      <c r="J173" s="728"/>
      <c r="K173" s="1"/>
    </row>
    <row r="174" spans="1:14" ht="18.75" thickBot="1" x14ac:dyDescent="0.3">
      <c r="A174" s="880" t="s">
        <v>168</v>
      </c>
      <c r="B174" s="881"/>
      <c r="C174" s="881"/>
      <c r="D174" s="881"/>
      <c r="E174" s="881"/>
      <c r="F174" s="881"/>
      <c r="G174" s="881"/>
      <c r="H174" s="881"/>
      <c r="I174" s="881"/>
      <c r="J174" s="728"/>
      <c r="K174" s="1"/>
    </row>
    <row r="175" spans="1:14" ht="26.25" thickBot="1" x14ac:dyDescent="0.3">
      <c r="A175" s="876" t="s">
        <v>1</v>
      </c>
      <c r="B175" s="877"/>
      <c r="C175" s="387" t="s">
        <v>467</v>
      </c>
      <c r="D175" s="387" t="s">
        <v>465</v>
      </c>
      <c r="E175" s="387" t="s">
        <v>483</v>
      </c>
      <c r="F175" s="387" t="s">
        <v>500</v>
      </c>
      <c r="G175" s="387" t="s">
        <v>533</v>
      </c>
      <c r="H175" s="387" t="s">
        <v>578</v>
      </c>
      <c r="I175" s="387" t="s">
        <v>577</v>
      </c>
      <c r="J175" s="728"/>
      <c r="K175" s="27"/>
    </row>
    <row r="176" spans="1:14" ht="18" customHeight="1" thickBot="1" x14ac:dyDescent="0.3">
      <c r="A176" s="410" t="s">
        <v>169</v>
      </c>
      <c r="B176" s="411"/>
      <c r="C176" s="412">
        <f>SUM(C177:C188)</f>
        <v>571286</v>
      </c>
      <c r="D176" s="412">
        <f>SUM(D177:D188)</f>
        <v>638913</v>
      </c>
      <c r="E176" s="412">
        <f>SUM(E177:E188)</f>
        <v>638913</v>
      </c>
      <c r="F176" s="412">
        <f>SUM(F177:F188)</f>
        <v>638913</v>
      </c>
      <c r="G176" s="412">
        <f>SUM(G177:G189)</f>
        <v>692938</v>
      </c>
      <c r="H176" s="412">
        <f>SUM(H177:H189)</f>
        <v>692938</v>
      </c>
      <c r="I176" s="412">
        <f>SUM(I177:I188)</f>
        <v>87521</v>
      </c>
      <c r="J176" s="728">
        <f t="shared" si="52"/>
        <v>0.12630422923840229</v>
      </c>
      <c r="K176" s="27">
        <f>D176-C176</f>
        <v>67627</v>
      </c>
      <c r="L176" s="27">
        <f>E176-D176</f>
        <v>0</v>
      </c>
      <c r="M176" s="27">
        <f>F176-E176</f>
        <v>0</v>
      </c>
      <c r="N176" s="27">
        <f>G176-F176</f>
        <v>54025</v>
      </c>
    </row>
    <row r="177" spans="1:15" ht="15.6" customHeight="1" x14ac:dyDescent="0.25">
      <c r="A177" s="378">
        <v>453</v>
      </c>
      <c r="B177" s="379" t="s">
        <v>255</v>
      </c>
      <c r="C177" s="380">
        <f>10000+4000</f>
        <v>14000</v>
      </c>
      <c r="D177" s="704">
        <f>10000+4000+3781-160</f>
        <v>17621</v>
      </c>
      <c r="E177" s="380">
        <f>10000+4000+3781-160</f>
        <v>17621</v>
      </c>
      <c r="F177" s="380">
        <f>10000+4000+3781-160</f>
        <v>17621</v>
      </c>
      <c r="G177" s="380">
        <f>10000+4000+3781-160</f>
        <v>17621</v>
      </c>
      <c r="H177" s="380">
        <f>10000+4000+3781-160</f>
        <v>17621</v>
      </c>
      <c r="I177" s="380">
        <v>15790</v>
      </c>
      <c r="J177" s="728">
        <f t="shared" si="52"/>
        <v>0.8960898927416151</v>
      </c>
      <c r="K177" s="27"/>
    </row>
    <row r="178" spans="1:15" x14ac:dyDescent="0.25">
      <c r="A178" s="403">
        <v>453</v>
      </c>
      <c r="B178" s="404" t="s">
        <v>254</v>
      </c>
      <c r="C178" s="64">
        <v>2000</v>
      </c>
      <c r="D178" s="64">
        <v>2000</v>
      </c>
      <c r="E178" s="64">
        <v>2000</v>
      </c>
      <c r="F178" s="64">
        <v>2000</v>
      </c>
      <c r="G178" s="64">
        <v>2000</v>
      </c>
      <c r="H178" s="64">
        <v>2000</v>
      </c>
      <c r="I178" s="64">
        <v>165</v>
      </c>
      <c r="J178" s="728">
        <f t="shared" si="52"/>
        <v>8.2500000000000004E-2</v>
      </c>
      <c r="K178" s="27"/>
    </row>
    <row r="179" spans="1:15" x14ac:dyDescent="0.25">
      <c r="A179" s="700">
        <v>453</v>
      </c>
      <c r="B179" s="377" t="s">
        <v>256</v>
      </c>
      <c r="C179" s="701">
        <v>2500</v>
      </c>
      <c r="D179" s="702">
        <f>2500-2500</f>
        <v>0</v>
      </c>
      <c r="E179" s="701">
        <f>2500-2500</f>
        <v>0</v>
      </c>
      <c r="F179" s="701">
        <f>2500-2500</f>
        <v>0</v>
      </c>
      <c r="G179" s="701">
        <f>2500-2500</f>
        <v>0</v>
      </c>
      <c r="H179" s="701">
        <f>2500-2500</f>
        <v>0</v>
      </c>
      <c r="I179" s="484">
        <v>0</v>
      </c>
      <c r="J179" s="728">
        <v>0</v>
      </c>
      <c r="K179" s="27"/>
    </row>
    <row r="180" spans="1:15" x14ac:dyDescent="0.25">
      <c r="A180" s="403">
        <v>453</v>
      </c>
      <c r="B180" s="404" t="s">
        <v>472</v>
      </c>
      <c r="C180" s="64">
        <v>0</v>
      </c>
      <c r="D180" s="689">
        <v>3211</v>
      </c>
      <c r="E180" s="64">
        <v>3211</v>
      </c>
      <c r="F180" s="64">
        <v>3211</v>
      </c>
      <c r="G180" s="64">
        <v>3211</v>
      </c>
      <c r="H180" s="64">
        <v>3211</v>
      </c>
      <c r="I180" s="64">
        <v>3211</v>
      </c>
      <c r="J180" s="728">
        <f t="shared" si="52"/>
        <v>1</v>
      </c>
      <c r="K180" s="27"/>
    </row>
    <row r="181" spans="1:15" x14ac:dyDescent="0.25">
      <c r="A181" s="403">
        <v>453</v>
      </c>
      <c r="B181" s="404" t="s">
        <v>289</v>
      </c>
      <c r="C181" s="64">
        <v>1500</v>
      </c>
      <c r="D181" s="689">
        <f>1500+502</f>
        <v>2002</v>
      </c>
      <c r="E181" s="64">
        <f>1500+502</f>
        <v>2002</v>
      </c>
      <c r="F181" s="64">
        <f>1500+502</f>
        <v>2002</v>
      </c>
      <c r="G181" s="64">
        <f>1500+502</f>
        <v>2002</v>
      </c>
      <c r="H181" s="64">
        <f>1500+502</f>
        <v>2002</v>
      </c>
      <c r="I181" s="64">
        <v>2002</v>
      </c>
      <c r="J181" s="728">
        <f t="shared" si="52"/>
        <v>1</v>
      </c>
      <c r="K181" s="27"/>
    </row>
    <row r="182" spans="1:15" ht="15.75" thickBot="1" x14ac:dyDescent="0.3">
      <c r="A182" s="303">
        <v>453</v>
      </c>
      <c r="B182" s="304" t="s">
        <v>473</v>
      </c>
      <c r="C182" s="305">
        <v>0</v>
      </c>
      <c r="D182" s="690">
        <f>383</f>
        <v>383</v>
      </c>
      <c r="E182" s="305">
        <f>383</f>
        <v>383</v>
      </c>
      <c r="F182" s="305">
        <f>383</f>
        <v>383</v>
      </c>
      <c r="G182" s="305">
        <f>383</f>
        <v>383</v>
      </c>
      <c r="H182" s="305">
        <f>383</f>
        <v>383</v>
      </c>
      <c r="I182" s="305">
        <v>0</v>
      </c>
      <c r="J182" s="728">
        <f t="shared" si="52"/>
        <v>0</v>
      </c>
      <c r="K182" s="703">
        <f>SUM(G177:G182)</f>
        <v>25217</v>
      </c>
      <c r="L182" s="703">
        <f>SUM(I177:I182)</f>
        <v>21168</v>
      </c>
      <c r="M182" s="703"/>
    </row>
    <row r="183" spans="1:15" x14ac:dyDescent="0.25">
      <c r="A183" s="378">
        <v>453</v>
      </c>
      <c r="B183" s="379" t="s">
        <v>241</v>
      </c>
      <c r="C183" s="380">
        <v>886</v>
      </c>
      <c r="D183" s="380">
        <v>886</v>
      </c>
      <c r="E183" s="380">
        <v>886</v>
      </c>
      <c r="F183" s="380">
        <v>886</v>
      </c>
      <c r="G183" s="380">
        <v>886</v>
      </c>
      <c r="H183" s="380">
        <v>886</v>
      </c>
      <c r="I183" s="380">
        <v>0</v>
      </c>
      <c r="J183" s="728">
        <f t="shared" si="52"/>
        <v>0</v>
      </c>
      <c r="K183" s="703"/>
      <c r="L183" s="703"/>
      <c r="M183" s="703"/>
    </row>
    <row r="184" spans="1:15" x14ac:dyDescent="0.25">
      <c r="A184" s="471">
        <v>453</v>
      </c>
      <c r="B184" s="482" t="s">
        <v>291</v>
      </c>
      <c r="C184" s="472">
        <f>105400</f>
        <v>105400</v>
      </c>
      <c r="D184" s="691">
        <f>105400-7590</f>
        <v>97810</v>
      </c>
      <c r="E184" s="472">
        <f>105400-7590</f>
        <v>97810</v>
      </c>
      <c r="F184" s="472">
        <f>105400-7590</f>
        <v>97810</v>
      </c>
      <c r="G184" s="472">
        <f>105400-7590</f>
        <v>97810</v>
      </c>
      <c r="H184" s="472">
        <f>105400-7590</f>
        <v>97810</v>
      </c>
      <c r="I184" s="472">
        <v>40511</v>
      </c>
      <c r="J184" s="728">
        <f t="shared" si="52"/>
        <v>0.41418055413556898</v>
      </c>
      <c r="K184" s="27"/>
      <c r="L184" s="27"/>
      <c r="M184" s="27"/>
    </row>
    <row r="185" spans="1:15" x14ac:dyDescent="0.25">
      <c r="A185" s="403">
        <v>453</v>
      </c>
      <c r="B185" s="404" t="s">
        <v>293</v>
      </c>
      <c r="C185" s="64">
        <v>0</v>
      </c>
      <c r="D185" s="689">
        <f>70000</f>
        <v>70000</v>
      </c>
      <c r="E185" s="64">
        <f>70000</f>
        <v>70000</v>
      </c>
      <c r="F185" s="64">
        <f>70000</f>
        <v>70000</v>
      </c>
      <c r="G185" s="64">
        <f>70000</f>
        <v>70000</v>
      </c>
      <c r="H185" s="64">
        <f>70000</f>
        <v>70000</v>
      </c>
      <c r="I185" s="524">
        <v>0</v>
      </c>
      <c r="J185" s="728">
        <f t="shared" si="52"/>
        <v>0</v>
      </c>
      <c r="K185" s="27"/>
    </row>
    <row r="186" spans="1:15" ht="15.75" thickBot="1" x14ac:dyDescent="0.3">
      <c r="A186" s="483">
        <v>453</v>
      </c>
      <c r="B186" s="377" t="s">
        <v>304</v>
      </c>
      <c r="C186" s="484">
        <v>100000</v>
      </c>
      <c r="D186" s="484">
        <v>100000</v>
      </c>
      <c r="E186" s="484">
        <v>100000</v>
      </c>
      <c r="F186" s="484">
        <v>100000</v>
      </c>
      <c r="G186" s="484">
        <v>100000</v>
      </c>
      <c r="H186" s="484">
        <v>100000</v>
      </c>
      <c r="I186" s="484">
        <v>0</v>
      </c>
      <c r="J186" s="728">
        <f t="shared" si="52"/>
        <v>0</v>
      </c>
      <c r="K186" s="426">
        <f>SUM(G183:G186)</f>
        <v>268696</v>
      </c>
      <c r="L186" s="426">
        <f>SUM(I183:I186)</f>
        <v>40511</v>
      </c>
      <c r="M186" s="426"/>
    </row>
    <row r="187" spans="1:15" x14ac:dyDescent="0.25">
      <c r="A187" s="378">
        <v>454</v>
      </c>
      <c r="B187" s="379" t="s">
        <v>474</v>
      </c>
      <c r="C187" s="380">
        <v>0</v>
      </c>
      <c r="D187" s="380">
        <v>0</v>
      </c>
      <c r="E187" s="380">
        <v>0</v>
      </c>
      <c r="F187" s="380">
        <v>0</v>
      </c>
      <c r="G187" s="380">
        <v>0</v>
      </c>
      <c r="H187" s="380">
        <v>0</v>
      </c>
      <c r="I187" s="380">
        <v>0</v>
      </c>
      <c r="J187" s="728">
        <v>0</v>
      </c>
      <c r="K187" s="27"/>
      <c r="L187" s="27"/>
      <c r="M187" s="27"/>
    </row>
    <row r="188" spans="1:15" ht="15.75" thickBot="1" x14ac:dyDescent="0.3">
      <c r="A188" s="303">
        <v>454</v>
      </c>
      <c r="B188" s="304" t="s">
        <v>266</v>
      </c>
      <c r="C188" s="305">
        <f t="shared" ref="C188:H188" si="67">152000+193000</f>
        <v>345000</v>
      </c>
      <c r="D188" s="305">
        <f t="shared" si="67"/>
        <v>345000</v>
      </c>
      <c r="E188" s="305">
        <f t="shared" si="67"/>
        <v>345000</v>
      </c>
      <c r="F188" s="305">
        <f t="shared" si="67"/>
        <v>345000</v>
      </c>
      <c r="G188" s="305">
        <f t="shared" si="67"/>
        <v>345000</v>
      </c>
      <c r="H188" s="305">
        <f t="shared" si="67"/>
        <v>345000</v>
      </c>
      <c r="I188" s="305">
        <v>25842</v>
      </c>
      <c r="J188" s="728">
        <f t="shared" si="52"/>
        <v>7.4904347826086959E-2</v>
      </c>
      <c r="K188" s="27">
        <f>SUM(G187:G188)</f>
        <v>345000</v>
      </c>
      <c r="L188" s="27">
        <f>SUM(I187:I188)</f>
        <v>25842</v>
      </c>
      <c r="M188" s="27"/>
    </row>
    <row r="189" spans="1:15" ht="15.75" thickBot="1" x14ac:dyDescent="0.3">
      <c r="A189" s="770">
        <v>456</v>
      </c>
      <c r="B189" s="772" t="s">
        <v>535</v>
      </c>
      <c r="C189" s="771">
        <v>0</v>
      </c>
      <c r="D189" s="771">
        <v>0</v>
      </c>
      <c r="E189" s="771">
        <v>0</v>
      </c>
      <c r="F189" s="771">
        <v>0</v>
      </c>
      <c r="G189" s="773">
        <v>54025</v>
      </c>
      <c r="H189" s="771">
        <v>54025</v>
      </c>
      <c r="I189" s="771">
        <v>0</v>
      </c>
      <c r="J189" s="728">
        <f t="shared" si="52"/>
        <v>0</v>
      </c>
      <c r="K189" s="27"/>
      <c r="L189" s="27"/>
      <c r="M189" s="27"/>
    </row>
    <row r="190" spans="1:15" ht="16.5" thickBot="1" x14ac:dyDescent="0.3">
      <c r="A190" s="410" t="s">
        <v>171</v>
      </c>
      <c r="B190" s="411"/>
      <c r="C190" s="412">
        <f t="shared" ref="C190:I190" si="68">SUM(C191:C193)</f>
        <v>1090</v>
      </c>
      <c r="D190" s="412">
        <f t="shared" si="68"/>
        <v>1110</v>
      </c>
      <c r="E190" s="412">
        <f t="shared" si="68"/>
        <v>1110</v>
      </c>
      <c r="F190" s="412">
        <f t="shared" si="68"/>
        <v>1110</v>
      </c>
      <c r="G190" s="412">
        <f t="shared" si="68"/>
        <v>55135</v>
      </c>
      <c r="H190" s="412">
        <f t="shared" ref="H190" si="69">SUM(H191:H193)</f>
        <v>55135</v>
      </c>
      <c r="I190" s="412">
        <f t="shared" si="68"/>
        <v>267</v>
      </c>
      <c r="J190" s="728">
        <f t="shared" si="52"/>
        <v>4.842658928085608E-3</v>
      </c>
      <c r="K190" s="27">
        <f>D190-C190</f>
        <v>20</v>
      </c>
      <c r="L190" s="27">
        <f>E190-D190</f>
        <v>0</v>
      </c>
      <c r="M190" s="27">
        <f>F190-E190</f>
        <v>0</v>
      </c>
      <c r="N190" s="27">
        <f>G190-F190</f>
        <v>54025</v>
      </c>
      <c r="O190" s="426"/>
    </row>
    <row r="191" spans="1:15" x14ac:dyDescent="0.25">
      <c r="A191" s="308">
        <v>819</v>
      </c>
      <c r="B191" s="307" t="s">
        <v>244</v>
      </c>
      <c r="C191" s="56">
        <v>0</v>
      </c>
      <c r="D191" s="705">
        <v>20</v>
      </c>
      <c r="E191" s="56">
        <v>20</v>
      </c>
      <c r="F191" s="56">
        <v>20</v>
      </c>
      <c r="G191" s="56">
        <v>20</v>
      </c>
      <c r="H191" s="56">
        <v>20</v>
      </c>
      <c r="I191" s="56">
        <v>0</v>
      </c>
      <c r="J191" s="728">
        <f t="shared" si="52"/>
        <v>0</v>
      </c>
      <c r="K191" s="27"/>
      <c r="L191" s="27"/>
      <c r="M191" s="27"/>
      <c r="O191" s="426"/>
    </row>
    <row r="192" spans="1:15" x14ac:dyDescent="0.25">
      <c r="A192" s="308">
        <v>819</v>
      </c>
      <c r="B192" s="377" t="s">
        <v>535</v>
      </c>
      <c r="C192" s="56">
        <v>0</v>
      </c>
      <c r="D192" s="56">
        <v>0</v>
      </c>
      <c r="E192" s="56">
        <v>0</v>
      </c>
      <c r="F192" s="56">
        <v>0</v>
      </c>
      <c r="G192" s="705">
        <v>54025</v>
      </c>
      <c r="H192" s="56">
        <v>54025</v>
      </c>
      <c r="I192" s="56">
        <v>0</v>
      </c>
      <c r="J192" s="728">
        <f t="shared" si="52"/>
        <v>0</v>
      </c>
      <c r="K192" s="27">
        <f>SUM(G191:G192)</f>
        <v>54045</v>
      </c>
      <c r="L192" s="27">
        <f>SUM(I191:I192)</f>
        <v>0</v>
      </c>
      <c r="M192" s="27"/>
      <c r="O192" s="426"/>
    </row>
    <row r="193" spans="1:14" ht="15.75" thickBot="1" x14ac:dyDescent="0.3">
      <c r="A193" s="310">
        <v>821</v>
      </c>
      <c r="B193" s="311" t="s">
        <v>173</v>
      </c>
      <c r="C193" s="124">
        <v>1090</v>
      </c>
      <c r="D193" s="124">
        <v>1090</v>
      </c>
      <c r="E193" s="124">
        <v>1090</v>
      </c>
      <c r="F193" s="124">
        <v>1090</v>
      </c>
      <c r="G193" s="124">
        <v>1090</v>
      </c>
      <c r="H193" s="124">
        <v>1090</v>
      </c>
      <c r="I193" s="124">
        <v>267</v>
      </c>
      <c r="J193" s="728">
        <f t="shared" si="52"/>
        <v>0.24495412844036699</v>
      </c>
      <c r="K193" s="1"/>
    </row>
    <row r="194" spans="1:14" x14ac:dyDescent="0.25">
      <c r="A194" s="297"/>
      <c r="B194" s="312"/>
      <c r="C194" s="157"/>
      <c r="D194" s="157"/>
      <c r="E194" s="157"/>
      <c r="F194" s="157"/>
      <c r="G194" s="157"/>
      <c r="H194" s="157"/>
      <c r="I194" s="157"/>
      <c r="J194" s="157"/>
      <c r="K194" s="1"/>
    </row>
    <row r="195" spans="1:14" ht="14.25" customHeight="1" x14ac:dyDescent="0.25">
      <c r="A195" s="101"/>
      <c r="B195" s="295"/>
      <c r="C195" s="295"/>
      <c r="D195" s="295"/>
      <c r="E195" s="295"/>
      <c r="F195" s="295"/>
      <c r="G195" s="295"/>
      <c r="H195" s="295"/>
      <c r="I195" s="295"/>
      <c r="J195" s="295"/>
      <c r="K195" s="295"/>
    </row>
    <row r="196" spans="1:14" ht="18.75" thickBot="1" x14ac:dyDescent="0.3">
      <c r="A196" s="882" t="s">
        <v>174</v>
      </c>
      <c r="B196" s="883"/>
      <c r="C196" s="883"/>
      <c r="D196" s="883"/>
      <c r="E196" s="883"/>
      <c r="F196" s="883"/>
      <c r="G196" s="883"/>
      <c r="H196" s="883"/>
      <c r="I196" s="883"/>
      <c r="J196" s="729"/>
      <c r="K196" s="1"/>
    </row>
    <row r="197" spans="1:14" ht="26.25" thickBot="1" x14ac:dyDescent="0.3">
      <c r="A197" s="876" t="s">
        <v>1</v>
      </c>
      <c r="B197" s="877"/>
      <c r="C197" s="387" t="s">
        <v>467</v>
      </c>
      <c r="D197" s="387" t="s">
        <v>465</v>
      </c>
      <c r="E197" s="387" t="s">
        <v>483</v>
      </c>
      <c r="F197" s="387" t="s">
        <v>500</v>
      </c>
      <c r="G197" s="387" t="s">
        <v>533</v>
      </c>
      <c r="H197" s="387" t="s">
        <v>578</v>
      </c>
      <c r="I197" s="387" t="s">
        <v>577</v>
      </c>
      <c r="J197" s="730"/>
    </row>
    <row r="198" spans="1:14" ht="15.75" x14ac:dyDescent="0.25">
      <c r="A198" s="313" t="s">
        <v>175</v>
      </c>
      <c r="B198" s="29"/>
      <c r="C198" s="314">
        <f t="shared" ref="C198:I198" si="70">C71</f>
        <v>2971575</v>
      </c>
      <c r="D198" s="314">
        <f t="shared" si="70"/>
        <v>2971247</v>
      </c>
      <c r="E198" s="314">
        <f t="shared" si="70"/>
        <v>2988357</v>
      </c>
      <c r="F198" s="314">
        <f t="shared" si="70"/>
        <v>2981581</v>
      </c>
      <c r="G198" s="314">
        <f t="shared" si="70"/>
        <v>2981581</v>
      </c>
      <c r="H198" s="314">
        <f t="shared" ref="H198" si="71">H71</f>
        <v>2981581</v>
      </c>
      <c r="I198" s="314">
        <f t="shared" si="70"/>
        <v>878155</v>
      </c>
      <c r="J198" s="726"/>
    </row>
    <row r="199" spans="1:14" ht="15.75" x14ac:dyDescent="0.25">
      <c r="A199" s="315" t="s">
        <v>176</v>
      </c>
      <c r="B199" s="316"/>
      <c r="C199" s="317">
        <f t="shared" ref="C199:I199" si="72">C136</f>
        <v>2990485</v>
      </c>
      <c r="D199" s="317">
        <f t="shared" si="72"/>
        <v>2995354</v>
      </c>
      <c r="E199" s="317">
        <f t="shared" si="72"/>
        <v>3012464</v>
      </c>
      <c r="F199" s="317">
        <f t="shared" si="72"/>
        <v>3005688</v>
      </c>
      <c r="G199" s="317">
        <f t="shared" si="72"/>
        <v>3005688</v>
      </c>
      <c r="H199" s="317">
        <f t="shared" ref="H199" si="73">H136</f>
        <v>3005688</v>
      </c>
      <c r="I199" s="317">
        <f t="shared" si="72"/>
        <v>667401</v>
      </c>
      <c r="J199" s="726"/>
      <c r="K199" s="1"/>
    </row>
    <row r="200" spans="1:14" ht="15.75" x14ac:dyDescent="0.25">
      <c r="A200" s="884" t="s">
        <v>177</v>
      </c>
      <c r="B200" s="885"/>
      <c r="C200" s="318">
        <f t="shared" ref="C200:I200" si="74">C198-C199</f>
        <v>-18910</v>
      </c>
      <c r="D200" s="318">
        <f t="shared" si="74"/>
        <v>-24107</v>
      </c>
      <c r="E200" s="318">
        <f t="shared" si="74"/>
        <v>-24107</v>
      </c>
      <c r="F200" s="318">
        <f t="shared" si="74"/>
        <v>-24107</v>
      </c>
      <c r="G200" s="318">
        <f t="shared" ref="G200:H200" si="75">G198-G199</f>
        <v>-24107</v>
      </c>
      <c r="H200" s="318">
        <f t="shared" si="75"/>
        <v>-24107</v>
      </c>
      <c r="I200" s="318">
        <f t="shared" si="74"/>
        <v>210754</v>
      </c>
      <c r="J200" s="731"/>
      <c r="K200" s="27">
        <f>C200-C193</f>
        <v>-20000</v>
      </c>
      <c r="L200" s="27">
        <f t="shared" ref="L200" si="76">D200-D193</f>
        <v>-25197</v>
      </c>
      <c r="M200" s="27"/>
      <c r="N200" s="27"/>
    </row>
    <row r="201" spans="1:14" ht="15.75" x14ac:dyDescent="0.25">
      <c r="A201" s="315" t="s">
        <v>178</v>
      </c>
      <c r="B201" s="18"/>
      <c r="C201" s="317">
        <f t="shared" ref="C201:I201" si="77">C141</f>
        <v>2593450</v>
      </c>
      <c r="D201" s="317">
        <f t="shared" si="77"/>
        <v>2523450</v>
      </c>
      <c r="E201" s="317">
        <f t="shared" si="77"/>
        <v>2511270</v>
      </c>
      <c r="F201" s="317">
        <f t="shared" si="77"/>
        <v>2511270</v>
      </c>
      <c r="G201" s="317">
        <f t="shared" si="77"/>
        <v>2541070</v>
      </c>
      <c r="H201" s="317">
        <f t="shared" ref="H201" si="78">H141</f>
        <v>2541070</v>
      </c>
      <c r="I201" s="317">
        <f t="shared" si="77"/>
        <v>0</v>
      </c>
      <c r="J201" s="726"/>
      <c r="K201" s="1"/>
    </row>
    <row r="202" spans="1:14" ht="13.9" customHeight="1" x14ac:dyDescent="0.25">
      <c r="A202" s="315" t="s">
        <v>179</v>
      </c>
      <c r="B202" s="18"/>
      <c r="C202" s="20">
        <f t="shared" ref="C202:I202" si="79">C153</f>
        <v>3144736</v>
      </c>
      <c r="D202" s="20">
        <f t="shared" si="79"/>
        <v>3137146</v>
      </c>
      <c r="E202" s="20">
        <f t="shared" si="79"/>
        <v>3124966</v>
      </c>
      <c r="F202" s="20">
        <f t="shared" si="79"/>
        <v>3124966</v>
      </c>
      <c r="G202" s="20">
        <f t="shared" si="79"/>
        <v>3154766</v>
      </c>
      <c r="H202" s="20">
        <f t="shared" ref="H202" si="80">H153</f>
        <v>3154766</v>
      </c>
      <c r="I202" s="20">
        <f t="shared" si="79"/>
        <v>66353</v>
      </c>
      <c r="J202" s="703"/>
      <c r="K202" s="1"/>
    </row>
    <row r="203" spans="1:14" ht="16.149999999999999" customHeight="1" x14ac:dyDescent="0.25">
      <c r="A203" s="884" t="s">
        <v>180</v>
      </c>
      <c r="B203" s="885"/>
      <c r="C203" s="318">
        <f t="shared" ref="C203:I203" si="81">C201-C202</f>
        <v>-551286</v>
      </c>
      <c r="D203" s="318">
        <f t="shared" si="81"/>
        <v>-613696</v>
      </c>
      <c r="E203" s="318">
        <f t="shared" si="81"/>
        <v>-613696</v>
      </c>
      <c r="F203" s="318">
        <f t="shared" si="81"/>
        <v>-613696</v>
      </c>
      <c r="G203" s="318">
        <f t="shared" ref="G203:H203" si="82">G201-G202</f>
        <v>-613696</v>
      </c>
      <c r="H203" s="318">
        <f t="shared" si="82"/>
        <v>-613696</v>
      </c>
      <c r="I203" s="318">
        <f t="shared" si="81"/>
        <v>-66353</v>
      </c>
      <c r="J203" s="731"/>
      <c r="K203" s="703"/>
      <c r="L203" s="703"/>
      <c r="M203" s="703"/>
    </row>
    <row r="204" spans="1:14" ht="15.75" x14ac:dyDescent="0.25">
      <c r="A204" s="319" t="s">
        <v>181</v>
      </c>
      <c r="B204" s="320"/>
      <c r="C204" s="321">
        <f t="shared" ref="C204:I204" si="83">C176</f>
        <v>571286</v>
      </c>
      <c r="D204" s="321">
        <f t="shared" si="83"/>
        <v>638913</v>
      </c>
      <c r="E204" s="321">
        <f t="shared" si="83"/>
        <v>638913</v>
      </c>
      <c r="F204" s="321">
        <f t="shared" si="83"/>
        <v>638913</v>
      </c>
      <c r="G204" s="321">
        <f t="shared" si="83"/>
        <v>692938</v>
      </c>
      <c r="H204" s="321">
        <f t="shared" ref="H204" si="84">H176</f>
        <v>692938</v>
      </c>
      <c r="I204" s="321">
        <f t="shared" si="83"/>
        <v>87521</v>
      </c>
      <c r="J204" s="726"/>
      <c r="K204" s="1"/>
    </row>
    <row r="205" spans="1:14" ht="15.75" x14ac:dyDescent="0.25">
      <c r="A205" s="319" t="s">
        <v>182</v>
      </c>
      <c r="B205" s="320"/>
      <c r="C205" s="321">
        <f t="shared" ref="C205:I205" si="85">C190</f>
        <v>1090</v>
      </c>
      <c r="D205" s="321">
        <f t="shared" si="85"/>
        <v>1110</v>
      </c>
      <c r="E205" s="321">
        <f t="shared" si="85"/>
        <v>1110</v>
      </c>
      <c r="F205" s="321">
        <f t="shared" si="85"/>
        <v>1110</v>
      </c>
      <c r="G205" s="321">
        <f t="shared" si="85"/>
        <v>55135</v>
      </c>
      <c r="H205" s="321">
        <f t="shared" ref="H205" si="86">H190</f>
        <v>55135</v>
      </c>
      <c r="I205" s="321">
        <f t="shared" si="85"/>
        <v>267</v>
      </c>
      <c r="J205" s="726"/>
      <c r="K205" s="1"/>
    </row>
    <row r="206" spans="1:14" ht="16.5" thickBot="1" x14ac:dyDescent="0.3">
      <c r="A206" s="870" t="s">
        <v>183</v>
      </c>
      <c r="B206" s="871"/>
      <c r="C206" s="322">
        <f t="shared" ref="C206:I206" si="87">C204-C205</f>
        <v>570196</v>
      </c>
      <c r="D206" s="322">
        <f t="shared" si="87"/>
        <v>637803</v>
      </c>
      <c r="E206" s="322">
        <f t="shared" si="87"/>
        <v>637803</v>
      </c>
      <c r="F206" s="322">
        <f t="shared" si="87"/>
        <v>637803</v>
      </c>
      <c r="G206" s="322">
        <f t="shared" ref="G206:H206" si="88">G204-G205</f>
        <v>637803</v>
      </c>
      <c r="H206" s="322">
        <f t="shared" si="88"/>
        <v>637803</v>
      </c>
      <c r="I206" s="322">
        <f t="shared" si="87"/>
        <v>87254</v>
      </c>
      <c r="J206" s="731"/>
      <c r="K206" s="1"/>
    </row>
    <row r="207" spans="1:14" ht="30" customHeight="1" thickBot="1" x14ac:dyDescent="0.3">
      <c r="A207" s="323" t="s">
        <v>184</v>
      </c>
      <c r="B207" s="324"/>
      <c r="C207" s="325">
        <f t="shared" ref="C207:I207" si="89">C200+C203+C206</f>
        <v>0</v>
      </c>
      <c r="D207" s="325">
        <f t="shared" si="89"/>
        <v>0</v>
      </c>
      <c r="E207" s="325">
        <f t="shared" si="89"/>
        <v>0</v>
      </c>
      <c r="F207" s="325">
        <f t="shared" si="89"/>
        <v>0</v>
      </c>
      <c r="G207" s="325">
        <f t="shared" ref="G207:H207" si="90">G200+G203+G206</f>
        <v>0</v>
      </c>
      <c r="H207" s="325">
        <f t="shared" si="90"/>
        <v>0</v>
      </c>
      <c r="I207" s="325">
        <f t="shared" si="89"/>
        <v>231655</v>
      </c>
      <c r="J207" s="731"/>
      <c r="K207" s="1"/>
    </row>
    <row r="208" spans="1:1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00"/>
      <c r="K208" s="1"/>
    </row>
    <row r="209" spans="1:15" x14ac:dyDescent="0.25">
      <c r="A209" s="1"/>
      <c r="B209" s="487" t="s">
        <v>267</v>
      </c>
      <c r="C209" s="488">
        <f t="shared" ref="C209:I210" si="91">C198+C201+C204</f>
        <v>6136311</v>
      </c>
      <c r="D209" s="488">
        <f t="shared" si="91"/>
        <v>6133610</v>
      </c>
      <c r="E209" s="488">
        <f t="shared" si="91"/>
        <v>6138540</v>
      </c>
      <c r="F209" s="488">
        <f t="shared" si="91"/>
        <v>6131764</v>
      </c>
      <c r="G209" s="488">
        <f t="shared" ref="G209:H209" si="92">G198+G201+G204</f>
        <v>6215589</v>
      </c>
      <c r="H209" s="488">
        <f t="shared" si="92"/>
        <v>6215589</v>
      </c>
      <c r="I209" s="488">
        <f t="shared" si="91"/>
        <v>965676</v>
      </c>
      <c r="J209" s="732"/>
      <c r="K209" s="488">
        <f t="shared" ref="K209:M210" si="93">D209-C209</f>
        <v>-2701</v>
      </c>
      <c r="L209" s="488">
        <f t="shared" si="93"/>
        <v>4930</v>
      </c>
      <c r="M209" s="488">
        <f t="shared" si="93"/>
        <v>-6776</v>
      </c>
      <c r="N209" s="488">
        <f>G209-F209</f>
        <v>83825</v>
      </c>
      <c r="O209" s="488">
        <f>H209-G209</f>
        <v>0</v>
      </c>
    </row>
    <row r="210" spans="1:15" x14ac:dyDescent="0.25">
      <c r="A210" s="1"/>
      <c r="B210" s="487" t="s">
        <v>268</v>
      </c>
      <c r="C210" s="488">
        <f t="shared" si="91"/>
        <v>6136311</v>
      </c>
      <c r="D210" s="488">
        <f t="shared" si="91"/>
        <v>6133610</v>
      </c>
      <c r="E210" s="488">
        <f t="shared" si="91"/>
        <v>6138540</v>
      </c>
      <c r="F210" s="488">
        <f t="shared" si="91"/>
        <v>6131764</v>
      </c>
      <c r="G210" s="488">
        <f t="shared" ref="G210:H210" si="94">G199+G202+G205</f>
        <v>6215589</v>
      </c>
      <c r="H210" s="488">
        <f t="shared" si="94"/>
        <v>6215589</v>
      </c>
      <c r="I210" s="488">
        <f t="shared" si="91"/>
        <v>734021</v>
      </c>
      <c r="J210" s="732"/>
      <c r="K210" s="488">
        <f t="shared" si="93"/>
        <v>-2701</v>
      </c>
      <c r="L210" s="488">
        <f t="shared" si="93"/>
        <v>4930</v>
      </c>
      <c r="M210" s="488">
        <f t="shared" si="93"/>
        <v>-6776</v>
      </c>
      <c r="N210" s="488">
        <f>G210-F210</f>
        <v>83825</v>
      </c>
      <c r="O210" s="488">
        <f>H210-G210</f>
        <v>0</v>
      </c>
    </row>
    <row r="211" spans="1:15" x14ac:dyDescent="0.25">
      <c r="A211" s="1"/>
      <c r="B211" s="487"/>
      <c r="C211" s="488"/>
      <c r="D211" s="488"/>
      <c r="E211" s="488"/>
      <c r="F211" s="488"/>
      <c r="G211" s="488"/>
      <c r="H211" s="488"/>
      <c r="I211" s="488"/>
      <c r="J211" s="732"/>
      <c r="K211" s="488"/>
      <c r="L211" s="488"/>
      <c r="M211" s="488"/>
      <c r="N211" s="488"/>
      <c r="O211" s="488"/>
    </row>
    <row r="212" spans="1:15" x14ac:dyDescent="0.25">
      <c r="A212" s="1"/>
      <c r="B212" s="487" t="s">
        <v>269</v>
      </c>
      <c r="C212" s="488">
        <f t="shared" ref="C212:I212" si="95">C209-C70</f>
        <v>6117611</v>
      </c>
      <c r="D212" s="488">
        <f t="shared" si="95"/>
        <v>6114910</v>
      </c>
      <c r="E212" s="488">
        <f t="shared" si="95"/>
        <v>6119840</v>
      </c>
      <c r="F212" s="488">
        <f t="shared" si="95"/>
        <v>6113064</v>
      </c>
      <c r="G212" s="488">
        <f t="shared" si="95"/>
        <v>6196889</v>
      </c>
      <c r="H212" s="488">
        <f t="shared" ref="H212" si="96">H209-H70</f>
        <v>6196889</v>
      </c>
      <c r="I212" s="488">
        <f t="shared" si="95"/>
        <v>957809</v>
      </c>
      <c r="J212" s="732"/>
      <c r="K212" s="488">
        <f t="shared" ref="K212:M213" si="97">D212-C212</f>
        <v>-2701</v>
      </c>
      <c r="L212" s="488">
        <f t="shared" si="97"/>
        <v>4930</v>
      </c>
      <c r="M212" s="488">
        <f t="shared" si="97"/>
        <v>-6776</v>
      </c>
      <c r="N212" s="488">
        <f>G212-F212</f>
        <v>83825</v>
      </c>
      <c r="O212" s="488">
        <f>H212-G212</f>
        <v>0</v>
      </c>
    </row>
    <row r="213" spans="1:15" ht="11.45" customHeight="1" x14ac:dyDescent="0.25">
      <c r="A213" s="1"/>
      <c r="B213" s="487" t="s">
        <v>270</v>
      </c>
      <c r="C213" s="488">
        <f t="shared" ref="C213:I213" si="98">C210-C135</f>
        <v>5065211</v>
      </c>
      <c r="D213" s="488">
        <f t="shared" si="98"/>
        <v>5060412</v>
      </c>
      <c r="E213" s="488">
        <f t="shared" si="98"/>
        <v>5065342</v>
      </c>
      <c r="F213" s="488">
        <f t="shared" si="98"/>
        <v>5069205</v>
      </c>
      <c r="G213" s="488">
        <f t="shared" si="98"/>
        <v>5153030</v>
      </c>
      <c r="H213" s="488">
        <f t="shared" ref="H213" si="99">H210-H135</f>
        <v>5153030</v>
      </c>
      <c r="I213" s="488">
        <f t="shared" si="98"/>
        <v>429064</v>
      </c>
      <c r="J213" s="732"/>
      <c r="K213" s="488">
        <f t="shared" si="97"/>
        <v>-4799</v>
      </c>
      <c r="L213" s="488">
        <f t="shared" si="97"/>
        <v>4930</v>
      </c>
      <c r="M213" s="488">
        <f t="shared" si="97"/>
        <v>3863</v>
      </c>
      <c r="N213" s="488">
        <f>G213-F213</f>
        <v>83825</v>
      </c>
      <c r="O213" s="488">
        <f>H213-G213</f>
        <v>0</v>
      </c>
    </row>
    <row r="214" spans="1:15" x14ac:dyDescent="0.25">
      <c r="A214" s="1"/>
      <c r="B214" s="487"/>
      <c r="C214" s="488"/>
      <c r="D214" s="488"/>
      <c r="E214" s="488"/>
      <c r="F214" s="488"/>
      <c r="G214" s="488"/>
      <c r="H214" s="488"/>
      <c r="I214" s="488"/>
      <c r="J214" s="732"/>
      <c r="K214" s="488"/>
      <c r="L214" s="488"/>
      <c r="M214" s="488"/>
      <c r="N214" s="488"/>
      <c r="O214" s="488"/>
    </row>
    <row r="215" spans="1:15" x14ac:dyDescent="0.25">
      <c r="A215" s="1"/>
      <c r="B215" s="485" t="s">
        <v>271</v>
      </c>
      <c r="C215" s="486">
        <f t="shared" ref="C215:I216" si="100">C209-C212</f>
        <v>18700</v>
      </c>
      <c r="D215" s="486">
        <f t="shared" si="100"/>
        <v>18700</v>
      </c>
      <c r="E215" s="486">
        <f t="shared" si="100"/>
        <v>18700</v>
      </c>
      <c r="F215" s="486">
        <f t="shared" si="100"/>
        <v>18700</v>
      </c>
      <c r="G215" s="486">
        <f t="shared" ref="G215:H215" si="101">G209-G212</f>
        <v>18700</v>
      </c>
      <c r="H215" s="486">
        <f t="shared" si="101"/>
        <v>18700</v>
      </c>
      <c r="I215" s="486">
        <f t="shared" si="100"/>
        <v>7867</v>
      </c>
      <c r="J215" s="733"/>
      <c r="K215" s="488">
        <f t="shared" ref="K215:M216" si="102">D215-C215</f>
        <v>0</v>
      </c>
      <c r="L215" s="488">
        <f t="shared" si="102"/>
        <v>0</v>
      </c>
      <c r="M215" s="488">
        <f t="shared" si="102"/>
        <v>0</v>
      </c>
      <c r="N215" s="488">
        <f>G215-F215</f>
        <v>0</v>
      </c>
      <c r="O215" s="488">
        <f>H215-G215</f>
        <v>0</v>
      </c>
    </row>
    <row r="216" spans="1:15" x14ac:dyDescent="0.25">
      <c r="A216" s="100"/>
      <c r="B216" s="485" t="s">
        <v>272</v>
      </c>
      <c r="C216" s="486">
        <f t="shared" si="100"/>
        <v>1071100</v>
      </c>
      <c r="D216" s="486">
        <f t="shared" si="100"/>
        <v>1073198</v>
      </c>
      <c r="E216" s="486">
        <f t="shared" si="100"/>
        <v>1073198</v>
      </c>
      <c r="F216" s="486">
        <f t="shared" si="100"/>
        <v>1062559</v>
      </c>
      <c r="G216" s="486">
        <f t="shared" ref="G216:H216" si="103">G210-G213</f>
        <v>1062559</v>
      </c>
      <c r="H216" s="486">
        <f t="shared" si="103"/>
        <v>1062559</v>
      </c>
      <c r="I216" s="486">
        <f t="shared" si="100"/>
        <v>304957</v>
      </c>
      <c r="J216" s="486"/>
      <c r="K216" s="488">
        <f t="shared" si="102"/>
        <v>2098</v>
      </c>
      <c r="L216" s="488">
        <f t="shared" si="102"/>
        <v>0</v>
      </c>
      <c r="M216" s="488">
        <f t="shared" si="102"/>
        <v>-10639</v>
      </c>
      <c r="N216" s="488">
        <f>G216-F216</f>
        <v>0</v>
      </c>
      <c r="O216" s="488">
        <f>H216-G216</f>
        <v>0</v>
      </c>
    </row>
    <row r="217" spans="1:15" x14ac:dyDescent="0.25">
      <c r="A217" s="1"/>
      <c r="B217" s="489"/>
      <c r="C217" s="486">
        <f t="shared" ref="C217:I217" si="104">C216-C215+C207</f>
        <v>1052400</v>
      </c>
      <c r="D217" s="486">
        <f t="shared" si="104"/>
        <v>1054498</v>
      </c>
      <c r="E217" s="486">
        <f t="shared" si="104"/>
        <v>1054498</v>
      </c>
      <c r="F217" s="486">
        <f t="shared" si="104"/>
        <v>1043859</v>
      </c>
      <c r="G217" s="486">
        <f t="shared" ref="G217:H217" si="105">G216-G215+G207</f>
        <v>1043859</v>
      </c>
      <c r="H217" s="486">
        <f t="shared" si="105"/>
        <v>1043859</v>
      </c>
      <c r="I217" s="486">
        <f t="shared" si="104"/>
        <v>528745</v>
      </c>
      <c r="J217" s="486"/>
      <c r="K217" s="489"/>
      <c r="L217" s="489"/>
    </row>
    <row r="218" spans="1:15" x14ac:dyDescent="0.25">
      <c r="A218" s="1"/>
      <c r="B218" s="327" t="s">
        <v>185</v>
      </c>
      <c r="C218" s="469"/>
      <c r="D218" s="327"/>
      <c r="E218" s="327"/>
      <c r="F218" s="327"/>
      <c r="G218" s="327"/>
      <c r="H218" s="327"/>
      <c r="I218" s="327"/>
      <c r="J218" s="327"/>
      <c r="K218" s="1"/>
    </row>
    <row r="219" spans="1:15" x14ac:dyDescent="0.25">
      <c r="A219" s="1"/>
      <c r="B219" s="327" t="s">
        <v>295</v>
      </c>
      <c r="C219" s="523"/>
      <c r="D219" s="327"/>
      <c r="E219" s="327"/>
      <c r="F219" s="327"/>
      <c r="G219" s="327"/>
      <c r="H219" s="327"/>
      <c r="I219" s="327"/>
      <c r="J219" s="327"/>
      <c r="K219" s="1"/>
    </row>
    <row r="220" spans="1:15" x14ac:dyDescent="0.25">
      <c r="A220" s="1"/>
      <c r="B220" s="327"/>
      <c r="C220" s="327"/>
      <c r="D220" s="327"/>
      <c r="E220" s="327"/>
      <c r="F220" s="327"/>
      <c r="G220" s="327"/>
      <c r="H220" s="327"/>
      <c r="I220" s="327"/>
      <c r="J220" s="327"/>
      <c r="K220" s="1"/>
    </row>
    <row r="221" spans="1:15" x14ac:dyDescent="0.25">
      <c r="A221" s="1"/>
      <c r="B221" s="327"/>
      <c r="C221" s="327"/>
      <c r="D221" s="327"/>
      <c r="E221" s="327"/>
      <c r="F221" s="327"/>
      <c r="G221" s="327"/>
      <c r="H221" s="327"/>
      <c r="I221" s="327"/>
      <c r="J221" s="327"/>
      <c r="K221" s="1"/>
    </row>
    <row r="222" spans="1:15" x14ac:dyDescent="0.25">
      <c r="A222" s="1"/>
      <c r="C222" s="327"/>
      <c r="D222" s="327"/>
      <c r="E222" s="327"/>
      <c r="F222" s="327"/>
      <c r="G222" s="327"/>
      <c r="H222" s="327"/>
      <c r="I222" s="327"/>
      <c r="J222" s="327"/>
      <c r="K222" s="1"/>
    </row>
    <row r="223" spans="1:15" x14ac:dyDescent="0.25">
      <c r="A223" s="1"/>
      <c r="B223" s="328" t="s">
        <v>546</v>
      </c>
      <c r="C223" s="327"/>
      <c r="D223" s="327"/>
      <c r="E223" s="327"/>
      <c r="F223" s="327"/>
      <c r="G223" s="327"/>
      <c r="H223" s="327"/>
      <c r="I223" s="327"/>
      <c r="J223" s="327"/>
      <c r="K223" s="1"/>
    </row>
    <row r="224" spans="1:15" x14ac:dyDescent="0.25">
      <c r="A224" s="1"/>
      <c r="C224" s="327"/>
      <c r="D224" s="327"/>
      <c r="E224" s="327"/>
      <c r="F224" s="327"/>
      <c r="G224" s="327"/>
      <c r="H224" s="327"/>
      <c r="I224" s="327"/>
      <c r="J224" s="327"/>
      <c r="K224" s="1"/>
    </row>
    <row r="225" spans="1:11" x14ac:dyDescent="0.25">
      <c r="A225" s="1"/>
      <c r="B225" s="327" t="s">
        <v>536</v>
      </c>
      <c r="C225" s="327"/>
      <c r="D225" s="327"/>
      <c r="E225" s="327"/>
      <c r="F225" s="327"/>
      <c r="G225" s="327"/>
      <c r="H225" s="327"/>
      <c r="I225" s="327"/>
      <c r="J225" s="327"/>
      <c r="K225" s="1"/>
    </row>
    <row r="226" spans="1:11" x14ac:dyDescent="0.25">
      <c r="A226" s="1"/>
      <c r="B226" s="327" t="s">
        <v>537</v>
      </c>
      <c r="C226" s="327"/>
      <c r="D226" s="327"/>
      <c r="E226" s="327"/>
      <c r="F226" s="327"/>
      <c r="G226" s="327"/>
      <c r="H226" s="327"/>
      <c r="I226" s="327"/>
      <c r="J226" s="327"/>
      <c r="K226" s="1"/>
    </row>
    <row r="227" spans="1:11" x14ac:dyDescent="0.25">
      <c r="A227" s="1"/>
      <c r="B227" s="327"/>
      <c r="C227" s="327"/>
      <c r="D227" s="327"/>
      <c r="E227" s="327"/>
      <c r="F227" s="327"/>
      <c r="G227" s="327"/>
      <c r="H227" s="327"/>
      <c r="I227" s="327"/>
      <c r="J227" s="327"/>
      <c r="K227" s="1"/>
    </row>
    <row r="228" spans="1:11" x14ac:dyDescent="0.25">
      <c r="A228" s="1"/>
      <c r="B228" s="329" t="s">
        <v>361</v>
      </c>
      <c r="C228" s="327"/>
      <c r="D228" s="327"/>
      <c r="E228" s="327"/>
      <c r="F228" s="327"/>
      <c r="G228" s="327"/>
      <c r="H228" s="327"/>
      <c r="I228" s="327"/>
      <c r="J228" s="327"/>
      <c r="K228" s="1"/>
    </row>
    <row r="229" spans="1:11" x14ac:dyDescent="0.25">
      <c r="A229" s="1"/>
      <c r="B229" s="329" t="s">
        <v>362</v>
      </c>
      <c r="C229" s="327"/>
      <c r="D229" s="327"/>
      <c r="E229" s="327"/>
      <c r="F229" s="327"/>
      <c r="G229" s="327"/>
      <c r="H229" s="327"/>
      <c r="I229" s="327"/>
      <c r="J229" s="327"/>
      <c r="K229" s="1"/>
    </row>
    <row r="230" spans="1:11" x14ac:dyDescent="0.25">
      <c r="A230" s="1"/>
      <c r="B230" s="329"/>
      <c r="C230" s="327"/>
      <c r="D230" s="327"/>
      <c r="E230" s="327"/>
      <c r="F230" s="327"/>
      <c r="G230" s="327"/>
      <c r="H230" s="327"/>
      <c r="I230" s="327"/>
      <c r="J230" s="327"/>
      <c r="K230" s="1"/>
    </row>
    <row r="231" spans="1:11" x14ac:dyDescent="0.25">
      <c r="A231" s="1"/>
      <c r="B231" s="329" t="s">
        <v>532</v>
      </c>
      <c r="C231" s="327"/>
      <c r="D231" s="327"/>
      <c r="E231" s="327"/>
      <c r="F231" s="327"/>
      <c r="G231" s="327"/>
      <c r="H231" s="327"/>
      <c r="I231" s="327"/>
      <c r="J231" s="327"/>
      <c r="K231" s="1"/>
    </row>
    <row r="232" spans="1:11" x14ac:dyDescent="0.25">
      <c r="A232" s="1"/>
      <c r="B232" s="329" t="s">
        <v>580</v>
      </c>
      <c r="C232" s="1"/>
      <c r="D232" s="1"/>
      <c r="E232" s="1"/>
      <c r="F232" s="1"/>
      <c r="G232" s="1"/>
      <c r="H232" s="1"/>
      <c r="I232" s="1"/>
      <c r="J232" s="1"/>
      <c r="K232" s="1"/>
    </row>
    <row r="233" spans="1:11" x14ac:dyDescent="0.25">
      <c r="A233" s="1"/>
      <c r="B233" s="326"/>
      <c r="C233" s="1"/>
      <c r="D233" s="1"/>
      <c r="E233" s="1"/>
      <c r="F233" s="1"/>
      <c r="G233" s="1"/>
      <c r="H233" s="1"/>
      <c r="I233" s="1"/>
      <c r="J233" s="1"/>
      <c r="K233" s="1"/>
    </row>
    <row r="234" spans="1:11" x14ac:dyDescent="0.25">
      <c r="A234" s="1"/>
      <c r="B234" s="326"/>
      <c r="C234" s="1"/>
      <c r="D234" s="1"/>
      <c r="E234" s="1"/>
      <c r="F234" s="1"/>
      <c r="G234" s="1"/>
      <c r="H234" s="1"/>
      <c r="I234" s="1"/>
      <c r="J234" s="1"/>
      <c r="K234" s="1"/>
    </row>
    <row r="235" spans="1:11" x14ac:dyDescent="0.25">
      <c r="A235" s="1"/>
      <c r="B235" s="326"/>
      <c r="C235" s="1"/>
      <c r="D235" s="1"/>
      <c r="E235" s="1"/>
      <c r="F235" s="1"/>
      <c r="G235" s="1"/>
      <c r="H235" s="1"/>
      <c r="I235" s="1"/>
      <c r="J235" s="1"/>
      <c r="K235" s="1"/>
    </row>
    <row r="236" spans="1:11" x14ac:dyDescent="0.25">
      <c r="K236" s="1"/>
    </row>
  </sheetData>
  <mergeCells count="24">
    <mergeCell ref="A206:B206"/>
    <mergeCell ref="A135:B135"/>
    <mergeCell ref="A139:I139"/>
    <mergeCell ref="A140:B140"/>
    <mergeCell ref="A141:B141"/>
    <mergeCell ref="A153:B153"/>
    <mergeCell ref="A174:I174"/>
    <mergeCell ref="A175:B175"/>
    <mergeCell ref="A196:I196"/>
    <mergeCell ref="A197:B197"/>
    <mergeCell ref="A200:B200"/>
    <mergeCell ref="A203:B203"/>
    <mergeCell ref="A134:B134"/>
    <mergeCell ref="A1:I1"/>
    <mergeCell ref="A2:B2"/>
    <mergeCell ref="A3:B3"/>
    <mergeCell ref="A11:B11"/>
    <mergeCell ref="A67:B67"/>
    <mergeCell ref="A69:B69"/>
    <mergeCell ref="A70:B70"/>
    <mergeCell ref="A74:I74"/>
    <mergeCell ref="A75:B75"/>
    <mergeCell ref="A91:B91"/>
    <mergeCell ref="A131:B131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>
    <oddHeader xml:space="preserve">&amp;CRozpočet obce Heľpa na rok 2025
2. zmena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77AA-C219-4AF0-9065-6964C86EAF50}">
  <sheetPr>
    <pageSetUpPr fitToPage="1"/>
  </sheetPr>
  <dimension ref="A1:Q233"/>
  <sheetViews>
    <sheetView zoomScale="124" zoomScaleNormal="124" workbookViewId="0">
      <selection sqref="A1:G1"/>
    </sheetView>
  </sheetViews>
  <sheetFormatPr defaultRowHeight="15" x14ac:dyDescent="0.25"/>
  <cols>
    <col min="1" max="1" width="6.42578125" customWidth="1"/>
    <col min="2" max="2" width="52.28515625" customWidth="1"/>
    <col min="3" max="7" width="12.7109375" customWidth="1"/>
    <col min="8" max="8" width="7.42578125" customWidth="1"/>
    <col min="9" max="9" width="10.85546875" customWidth="1"/>
  </cols>
  <sheetData>
    <row r="1" spans="1:17" ht="18.75" thickBot="1" x14ac:dyDescent="0.3">
      <c r="A1" s="888" t="s">
        <v>0</v>
      </c>
      <c r="B1" s="889"/>
      <c r="C1" s="889"/>
      <c r="D1" s="889"/>
      <c r="E1" s="889"/>
      <c r="F1" s="889"/>
      <c r="G1" s="889"/>
      <c r="H1" s="725"/>
      <c r="I1" s="1"/>
    </row>
    <row r="2" spans="1:17" ht="46.5" customHeight="1" thickBot="1" x14ac:dyDescent="0.3">
      <c r="A2" s="890" t="s">
        <v>1</v>
      </c>
      <c r="B2" s="891"/>
      <c r="C2" s="387" t="s">
        <v>467</v>
      </c>
      <c r="D2" s="387" t="s">
        <v>465</v>
      </c>
      <c r="E2" s="387" t="s">
        <v>483</v>
      </c>
      <c r="F2" s="387" t="s">
        <v>500</v>
      </c>
      <c r="G2" s="387" t="s">
        <v>466</v>
      </c>
      <c r="H2" s="727" t="s">
        <v>479</v>
      </c>
      <c r="I2" s="1"/>
    </row>
    <row r="3" spans="1:17" ht="15.75" thickBot="1" x14ac:dyDescent="0.3">
      <c r="A3" s="892" t="s">
        <v>4</v>
      </c>
      <c r="B3" s="893"/>
      <c r="C3" s="2">
        <f t="shared" ref="C3:G3" si="0">SUM(C4:C10)</f>
        <v>1338200</v>
      </c>
      <c r="D3" s="2">
        <f t="shared" si="0"/>
        <v>1338200</v>
      </c>
      <c r="E3" s="2">
        <f t="shared" ref="E3:F3" si="1">SUM(E4:E10)</f>
        <v>1338200</v>
      </c>
      <c r="F3" s="2">
        <f t="shared" si="1"/>
        <v>1338200</v>
      </c>
      <c r="G3" s="2">
        <f t="shared" si="0"/>
        <v>148648</v>
      </c>
      <c r="H3" s="728">
        <f>G3/E3</f>
        <v>0.11108055597070692</v>
      </c>
      <c r="I3" s="1"/>
    </row>
    <row r="4" spans="1:17" ht="15.75" thickBot="1" x14ac:dyDescent="0.3">
      <c r="A4" s="3">
        <v>111</v>
      </c>
      <c r="B4" s="120" t="s">
        <v>5</v>
      </c>
      <c r="C4" s="6">
        <v>1227300</v>
      </c>
      <c r="D4" s="6">
        <v>1227300</v>
      </c>
      <c r="E4" s="6">
        <v>1227300</v>
      </c>
      <c r="F4" s="6">
        <v>1227300</v>
      </c>
      <c r="G4" s="6">
        <v>128620</v>
      </c>
      <c r="H4" s="728">
        <f t="shared" ref="H4:H68" si="2">G4/E4</f>
        <v>0.10479915261142345</v>
      </c>
      <c r="I4" s="1"/>
    </row>
    <row r="5" spans="1:17" ht="15.75" thickBot="1" x14ac:dyDescent="0.3">
      <c r="A5" s="7">
        <v>121</v>
      </c>
      <c r="B5" s="332" t="s">
        <v>6</v>
      </c>
      <c r="C5" s="11">
        <v>61200</v>
      </c>
      <c r="D5" s="11">
        <v>61200</v>
      </c>
      <c r="E5" s="11">
        <v>61200</v>
      </c>
      <c r="F5" s="11">
        <v>61200</v>
      </c>
      <c r="G5" s="11">
        <v>6549</v>
      </c>
      <c r="H5" s="728">
        <f t="shared" si="2"/>
        <v>0.10700980392156863</v>
      </c>
      <c r="I5" s="1"/>
    </row>
    <row r="6" spans="1:17" x14ac:dyDescent="0.25">
      <c r="A6" s="12">
        <v>133</v>
      </c>
      <c r="B6" s="333" t="s">
        <v>7</v>
      </c>
      <c r="C6" s="16">
        <v>2000</v>
      </c>
      <c r="D6" s="16">
        <v>2000</v>
      </c>
      <c r="E6" s="16">
        <v>2000</v>
      </c>
      <c r="F6" s="16">
        <v>2000</v>
      </c>
      <c r="G6" s="16">
        <v>560</v>
      </c>
      <c r="H6" s="728">
        <f t="shared" si="2"/>
        <v>0.28000000000000003</v>
      </c>
      <c r="I6" s="1"/>
    </row>
    <row r="7" spans="1:17" x14ac:dyDescent="0.25">
      <c r="A7" s="17">
        <v>133</v>
      </c>
      <c r="B7" s="334" t="s">
        <v>8</v>
      </c>
      <c r="C7" s="21">
        <v>200</v>
      </c>
      <c r="D7" s="21">
        <v>200</v>
      </c>
      <c r="E7" s="21">
        <v>200</v>
      </c>
      <c r="F7" s="21">
        <v>200</v>
      </c>
      <c r="G7" s="21">
        <v>0</v>
      </c>
      <c r="H7" s="728">
        <f t="shared" si="2"/>
        <v>0</v>
      </c>
      <c r="I7" s="1"/>
    </row>
    <row r="8" spans="1:17" x14ac:dyDescent="0.25">
      <c r="A8" s="17">
        <v>133</v>
      </c>
      <c r="B8" s="334" t="s">
        <v>9</v>
      </c>
      <c r="C8" s="21">
        <v>6000</v>
      </c>
      <c r="D8" s="21">
        <v>6000</v>
      </c>
      <c r="E8" s="21">
        <v>6000</v>
      </c>
      <c r="F8" s="21">
        <v>6000</v>
      </c>
      <c r="G8" s="21">
        <v>252</v>
      </c>
      <c r="H8" s="728">
        <f t="shared" si="2"/>
        <v>4.2000000000000003E-2</v>
      </c>
      <c r="I8" s="1"/>
    </row>
    <row r="9" spans="1:17" x14ac:dyDescent="0.25">
      <c r="A9" s="17">
        <v>133</v>
      </c>
      <c r="B9" s="334" t="s">
        <v>10</v>
      </c>
      <c r="C9" s="21">
        <v>6500</v>
      </c>
      <c r="D9" s="21">
        <v>6500</v>
      </c>
      <c r="E9" s="21">
        <v>6500</v>
      </c>
      <c r="F9" s="21">
        <v>6500</v>
      </c>
      <c r="G9" s="21">
        <v>106</v>
      </c>
      <c r="H9" s="728">
        <f t="shared" si="2"/>
        <v>1.6307692307692308E-2</v>
      </c>
      <c r="I9" s="1"/>
    </row>
    <row r="10" spans="1:17" ht="15.75" thickBot="1" x14ac:dyDescent="0.3">
      <c r="A10" s="22">
        <v>133</v>
      </c>
      <c r="B10" s="335" t="s">
        <v>11</v>
      </c>
      <c r="C10" s="26">
        <v>35000</v>
      </c>
      <c r="D10" s="26">
        <v>35000</v>
      </c>
      <c r="E10" s="26">
        <v>35000</v>
      </c>
      <c r="F10" s="26">
        <v>35000</v>
      </c>
      <c r="G10" s="26">
        <v>12561</v>
      </c>
      <c r="H10" s="728">
        <f t="shared" si="2"/>
        <v>0.35888571428571431</v>
      </c>
      <c r="I10" s="27">
        <f>SUM(D6:D10)</f>
        <v>49700</v>
      </c>
      <c r="J10" s="27">
        <f>SUM(G6:G10)</f>
        <v>13479</v>
      </c>
      <c r="K10" s="27"/>
      <c r="L10" s="27"/>
      <c r="M10" s="27"/>
      <c r="N10" s="27"/>
      <c r="O10" s="27"/>
    </row>
    <row r="11" spans="1:17" ht="15.75" thickBot="1" x14ac:dyDescent="0.3">
      <c r="A11" s="892" t="s">
        <v>12</v>
      </c>
      <c r="B11" s="893"/>
      <c r="C11" s="336">
        <f>SUM(C12:C30)</f>
        <v>247720</v>
      </c>
      <c r="D11" s="336">
        <f>SUM(D12:D30)</f>
        <v>247720</v>
      </c>
      <c r="E11" s="336">
        <f>SUM(E12:E30)</f>
        <v>247720</v>
      </c>
      <c r="F11" s="336">
        <f>SUM(F12:F30)</f>
        <v>247720</v>
      </c>
      <c r="G11" s="336">
        <f>SUM(G12:G30)</f>
        <v>13528</v>
      </c>
      <c r="H11" s="728">
        <f t="shared" si="2"/>
        <v>5.4610043597610208E-2</v>
      </c>
      <c r="I11" s="1"/>
    </row>
    <row r="12" spans="1:17" x14ac:dyDescent="0.25">
      <c r="A12" s="28">
        <v>212</v>
      </c>
      <c r="B12" s="29" t="s">
        <v>13</v>
      </c>
      <c r="C12" s="32">
        <v>3032</v>
      </c>
      <c r="D12" s="692">
        <f>3032-20+127</f>
        <v>3139</v>
      </c>
      <c r="E12" s="32">
        <f>3032-20+127</f>
        <v>3139</v>
      </c>
      <c r="F12" s="32">
        <f>3032-20+127</f>
        <v>3139</v>
      </c>
      <c r="G12" s="32">
        <v>75</v>
      </c>
      <c r="H12" s="728">
        <f t="shared" si="2"/>
        <v>2.3892959541255178E-2</v>
      </c>
      <c r="I12" s="1"/>
    </row>
    <row r="13" spans="1:17" x14ac:dyDescent="0.25">
      <c r="A13" s="17">
        <v>212</v>
      </c>
      <c r="B13" s="18" t="s">
        <v>14</v>
      </c>
      <c r="C13" s="21">
        <v>1000</v>
      </c>
      <c r="D13" s="21">
        <v>1000</v>
      </c>
      <c r="E13" s="21">
        <v>1000</v>
      </c>
      <c r="F13" s="21">
        <v>1000</v>
      </c>
      <c r="G13" s="21">
        <v>40</v>
      </c>
      <c r="H13" s="728">
        <f t="shared" si="2"/>
        <v>0.04</v>
      </c>
      <c r="I13" s="27"/>
    </row>
    <row r="14" spans="1:17" x14ac:dyDescent="0.25">
      <c r="A14" s="12">
        <v>212</v>
      </c>
      <c r="B14" s="13" t="s">
        <v>15</v>
      </c>
      <c r="C14" s="82">
        <v>3425</v>
      </c>
      <c r="D14" s="82">
        <v>3425</v>
      </c>
      <c r="E14" s="82">
        <v>3425</v>
      </c>
      <c r="F14" s="82">
        <v>3425</v>
      </c>
      <c r="G14" s="82">
        <v>336</v>
      </c>
      <c r="H14" s="728">
        <f t="shared" si="2"/>
        <v>9.8102189781021892E-2</v>
      </c>
      <c r="I14" s="1"/>
    </row>
    <row r="15" spans="1:17" x14ac:dyDescent="0.25">
      <c r="A15" s="17">
        <v>212</v>
      </c>
      <c r="B15" s="18" t="s">
        <v>16</v>
      </c>
      <c r="C15" s="21">
        <v>19463</v>
      </c>
      <c r="D15" s="693">
        <f>19463+129-236</f>
        <v>19356</v>
      </c>
      <c r="E15" s="21">
        <f>19463+129-236</f>
        <v>19356</v>
      </c>
      <c r="F15" s="21">
        <f>19463+129-236</f>
        <v>19356</v>
      </c>
      <c r="G15" s="21">
        <v>1912</v>
      </c>
      <c r="H15" s="728">
        <f t="shared" si="2"/>
        <v>9.8780739822277336E-2</v>
      </c>
      <c r="I15" s="27"/>
    </row>
    <row r="16" spans="1:17" ht="15.75" thickBot="1" x14ac:dyDescent="0.3">
      <c r="A16" s="35">
        <v>212</v>
      </c>
      <c r="B16" s="36" t="s">
        <v>17</v>
      </c>
      <c r="C16" s="39">
        <v>100</v>
      </c>
      <c r="D16" s="39">
        <v>100</v>
      </c>
      <c r="E16" s="39">
        <v>100</v>
      </c>
      <c r="F16" s="39">
        <v>100</v>
      </c>
      <c r="G16" s="39">
        <v>0</v>
      </c>
      <c r="H16" s="728">
        <f t="shared" si="2"/>
        <v>0</v>
      </c>
      <c r="I16" s="426">
        <f>SUM(D12:D16)</f>
        <v>27020</v>
      </c>
      <c r="J16" s="426">
        <f>SUM(G12:G16)</f>
        <v>2363</v>
      </c>
      <c r="K16" s="426"/>
      <c r="L16" s="426"/>
      <c r="M16" s="426"/>
      <c r="N16" s="426"/>
      <c r="O16" s="426"/>
      <c r="P16" s="27"/>
      <c r="Q16" s="426"/>
    </row>
    <row r="17" spans="1:17" ht="15.75" thickBot="1" x14ac:dyDescent="0.3">
      <c r="A17" s="7">
        <v>221</v>
      </c>
      <c r="B17" s="8" t="s">
        <v>18</v>
      </c>
      <c r="C17" s="41">
        <v>7200</v>
      </c>
      <c r="D17" s="41">
        <v>7200</v>
      </c>
      <c r="E17" s="41">
        <v>7200</v>
      </c>
      <c r="F17" s="41">
        <v>7200</v>
      </c>
      <c r="G17" s="41">
        <v>576</v>
      </c>
      <c r="H17" s="728">
        <f t="shared" si="2"/>
        <v>0.08</v>
      </c>
      <c r="I17" s="1"/>
    </row>
    <row r="18" spans="1:17" ht="15.75" thickBot="1" x14ac:dyDescent="0.3">
      <c r="A18" s="35">
        <v>222</v>
      </c>
      <c r="B18" s="36" t="s">
        <v>19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728">
        <v>0</v>
      </c>
      <c r="I18" s="1"/>
    </row>
    <row r="19" spans="1:17" x14ac:dyDescent="0.25">
      <c r="A19" s="12">
        <v>223</v>
      </c>
      <c r="B19" s="13" t="s">
        <v>20</v>
      </c>
      <c r="C19" s="16">
        <v>900</v>
      </c>
      <c r="D19" s="16">
        <v>900</v>
      </c>
      <c r="E19" s="16">
        <v>900</v>
      </c>
      <c r="F19" s="16">
        <v>900</v>
      </c>
      <c r="G19" s="16">
        <v>11</v>
      </c>
      <c r="H19" s="728">
        <f t="shared" si="2"/>
        <v>1.2222222222222223E-2</v>
      </c>
      <c r="I19" s="1"/>
    </row>
    <row r="20" spans="1:17" x14ac:dyDescent="0.25">
      <c r="A20" s="17">
        <v>223</v>
      </c>
      <c r="B20" s="18" t="s">
        <v>21</v>
      </c>
      <c r="C20" s="21">
        <v>25000</v>
      </c>
      <c r="D20" s="21">
        <v>25000</v>
      </c>
      <c r="E20" s="21">
        <v>25000</v>
      </c>
      <c r="F20" s="21">
        <v>25000</v>
      </c>
      <c r="G20" s="21">
        <v>1835</v>
      </c>
      <c r="H20" s="728">
        <f t="shared" si="2"/>
        <v>7.3400000000000007E-2</v>
      </c>
      <c r="I20" s="1"/>
    </row>
    <row r="21" spans="1:17" x14ac:dyDescent="0.25">
      <c r="A21" s="17">
        <v>223</v>
      </c>
      <c r="B21" s="18" t="s">
        <v>22</v>
      </c>
      <c r="C21" s="21">
        <v>100</v>
      </c>
      <c r="D21" s="21">
        <v>100</v>
      </c>
      <c r="E21" s="21">
        <v>100</v>
      </c>
      <c r="F21" s="21">
        <v>100</v>
      </c>
      <c r="G21" s="21">
        <v>0</v>
      </c>
      <c r="H21" s="728">
        <f t="shared" si="2"/>
        <v>0</v>
      </c>
      <c r="I21" s="1"/>
    </row>
    <row r="22" spans="1:17" x14ac:dyDescent="0.25">
      <c r="A22" s="17">
        <v>223</v>
      </c>
      <c r="B22" s="18" t="s">
        <v>290</v>
      </c>
      <c r="C22" s="21">
        <v>3000</v>
      </c>
      <c r="D22" s="21">
        <v>3000</v>
      </c>
      <c r="E22" s="21">
        <v>3000</v>
      </c>
      <c r="F22" s="21">
        <v>3000</v>
      </c>
      <c r="G22" s="21">
        <v>0</v>
      </c>
      <c r="H22" s="728">
        <f t="shared" si="2"/>
        <v>0</v>
      </c>
      <c r="I22" s="1"/>
    </row>
    <row r="23" spans="1:17" x14ac:dyDescent="0.25">
      <c r="A23" s="17">
        <v>223</v>
      </c>
      <c r="B23" s="18" t="s">
        <v>23</v>
      </c>
      <c r="C23" s="21">
        <v>2000</v>
      </c>
      <c r="D23" s="21">
        <v>2000</v>
      </c>
      <c r="E23" s="21">
        <v>2000</v>
      </c>
      <c r="F23" s="21">
        <v>2000</v>
      </c>
      <c r="G23" s="21">
        <v>0</v>
      </c>
      <c r="H23" s="728">
        <f t="shared" si="2"/>
        <v>0</v>
      </c>
      <c r="I23" s="1"/>
    </row>
    <row r="24" spans="1:17" x14ac:dyDescent="0.25">
      <c r="A24" s="17">
        <v>223</v>
      </c>
      <c r="B24" s="18" t="s">
        <v>24</v>
      </c>
      <c r="C24" s="21">
        <v>1000</v>
      </c>
      <c r="D24" s="21">
        <v>1000</v>
      </c>
      <c r="E24" s="21">
        <v>1000</v>
      </c>
      <c r="F24" s="21">
        <v>1000</v>
      </c>
      <c r="G24" s="21">
        <v>100</v>
      </c>
      <c r="H24" s="728">
        <f t="shared" si="2"/>
        <v>0.1</v>
      </c>
      <c r="I24" s="1"/>
    </row>
    <row r="25" spans="1:17" x14ac:dyDescent="0.25">
      <c r="A25" s="17">
        <v>223</v>
      </c>
      <c r="B25" s="18" t="s">
        <v>25</v>
      </c>
      <c r="C25" s="21">
        <v>46000</v>
      </c>
      <c r="D25" s="21">
        <v>46000</v>
      </c>
      <c r="E25" s="21">
        <v>46000</v>
      </c>
      <c r="F25" s="21">
        <v>46000</v>
      </c>
      <c r="G25" s="21">
        <v>681</v>
      </c>
      <c r="H25" s="728">
        <f t="shared" si="2"/>
        <v>1.4804347826086956E-2</v>
      </c>
      <c r="I25" s="1"/>
    </row>
    <row r="26" spans="1:17" x14ac:dyDescent="0.25">
      <c r="A26" s="17">
        <v>223</v>
      </c>
      <c r="B26" s="18" t="s">
        <v>26</v>
      </c>
      <c r="C26" s="21">
        <v>61000</v>
      </c>
      <c r="D26" s="21">
        <v>61000</v>
      </c>
      <c r="E26" s="21">
        <v>61000</v>
      </c>
      <c r="F26" s="21">
        <v>61000</v>
      </c>
      <c r="G26" s="21">
        <v>4697</v>
      </c>
      <c r="H26" s="728">
        <f t="shared" si="2"/>
        <v>7.6999999999999999E-2</v>
      </c>
      <c r="I26" s="1"/>
    </row>
    <row r="27" spans="1:17" x14ac:dyDescent="0.25">
      <c r="A27" s="17">
        <v>223</v>
      </c>
      <c r="B27" s="18" t="s">
        <v>28</v>
      </c>
      <c r="C27" s="21">
        <v>2100</v>
      </c>
      <c r="D27" s="21">
        <v>2100</v>
      </c>
      <c r="E27" s="21">
        <v>2100</v>
      </c>
      <c r="F27" s="21">
        <v>2100</v>
      </c>
      <c r="G27" s="21">
        <v>238</v>
      </c>
      <c r="H27" s="728">
        <f t="shared" si="2"/>
        <v>0.11333333333333333</v>
      </c>
      <c r="I27" s="1"/>
    </row>
    <row r="28" spans="1:17" x14ac:dyDescent="0.25">
      <c r="A28" s="17">
        <v>223</v>
      </c>
      <c r="B28" s="18" t="s">
        <v>214</v>
      </c>
      <c r="C28" s="21">
        <v>1300</v>
      </c>
      <c r="D28" s="21">
        <v>1300</v>
      </c>
      <c r="E28" s="21">
        <v>1300</v>
      </c>
      <c r="F28" s="21">
        <v>1300</v>
      </c>
      <c r="G28" s="21">
        <v>0</v>
      </c>
      <c r="H28" s="728">
        <f t="shared" si="2"/>
        <v>0</v>
      </c>
      <c r="I28" s="1"/>
    </row>
    <row r="29" spans="1:17" x14ac:dyDescent="0.25">
      <c r="A29" s="43">
        <v>223</v>
      </c>
      <c r="B29" s="44" t="s">
        <v>29</v>
      </c>
      <c r="C29" s="46">
        <v>71000</v>
      </c>
      <c r="D29" s="46">
        <v>71000</v>
      </c>
      <c r="E29" s="46">
        <v>71000</v>
      </c>
      <c r="F29" s="46">
        <v>71000</v>
      </c>
      <c r="G29" s="46">
        <v>3027</v>
      </c>
      <c r="H29" s="728">
        <f t="shared" si="2"/>
        <v>4.2633802816901406E-2</v>
      </c>
      <c r="I29" s="27"/>
    </row>
    <row r="30" spans="1:17" ht="15.75" thickBot="1" x14ac:dyDescent="0.3">
      <c r="A30" s="22">
        <v>223</v>
      </c>
      <c r="B30" s="23" t="s">
        <v>30</v>
      </c>
      <c r="C30" s="79">
        <v>100</v>
      </c>
      <c r="D30" s="79">
        <v>100</v>
      </c>
      <c r="E30" s="79">
        <v>100</v>
      </c>
      <c r="F30" s="79">
        <v>100</v>
      </c>
      <c r="G30" s="48">
        <v>0</v>
      </c>
      <c r="H30" s="728">
        <f t="shared" si="2"/>
        <v>0</v>
      </c>
      <c r="I30" s="27">
        <f>SUM(D19:D30)</f>
        <v>213500</v>
      </c>
      <c r="J30" s="27">
        <f>SUM(G19:G30)</f>
        <v>10589</v>
      </c>
      <c r="K30" s="27"/>
      <c r="L30" s="27"/>
      <c r="M30" s="27"/>
      <c r="N30" s="27"/>
      <c r="O30" s="27"/>
      <c r="P30" s="426"/>
      <c r="Q30" s="426"/>
    </row>
    <row r="31" spans="1:17" ht="15.75" thickBot="1" x14ac:dyDescent="0.3">
      <c r="A31" s="686" t="s">
        <v>31</v>
      </c>
      <c r="B31" s="687"/>
      <c r="C31" s="2">
        <f t="shared" ref="C31:G31" si="3">SUM(C32)</f>
        <v>50</v>
      </c>
      <c r="D31" s="2">
        <f t="shared" si="3"/>
        <v>50</v>
      </c>
      <c r="E31" s="2">
        <f t="shared" si="3"/>
        <v>50</v>
      </c>
      <c r="F31" s="2">
        <f t="shared" si="3"/>
        <v>50</v>
      </c>
      <c r="G31" s="2">
        <f t="shared" si="3"/>
        <v>1</v>
      </c>
      <c r="H31" s="728">
        <f t="shared" si="2"/>
        <v>0.02</v>
      </c>
      <c r="I31" s="27">
        <f>SUM(D17:D30)</f>
        <v>220700</v>
      </c>
      <c r="J31" s="27">
        <f>SUM(G17:G30)</f>
        <v>11165</v>
      </c>
    </row>
    <row r="32" spans="1:17" ht="15.75" thickBot="1" x14ac:dyDescent="0.3">
      <c r="A32" s="51">
        <v>240</v>
      </c>
      <c r="B32" s="47" t="s">
        <v>32</v>
      </c>
      <c r="C32" s="38">
        <v>50</v>
      </c>
      <c r="D32" s="38">
        <v>50</v>
      </c>
      <c r="E32" s="38">
        <v>50</v>
      </c>
      <c r="F32" s="38">
        <v>50</v>
      </c>
      <c r="G32" s="38">
        <v>1</v>
      </c>
      <c r="H32" s="728">
        <f t="shared" si="2"/>
        <v>0.02</v>
      </c>
      <c r="I32" s="1"/>
    </row>
    <row r="33" spans="1:11" ht="15.75" thickBot="1" x14ac:dyDescent="0.3">
      <c r="A33" s="686" t="s">
        <v>33</v>
      </c>
      <c r="B33" s="687"/>
      <c r="C33" s="336">
        <f>SUM(C34:C38)</f>
        <v>60240</v>
      </c>
      <c r="D33" s="336">
        <f>SUM(D34:D38)</f>
        <v>60255</v>
      </c>
      <c r="E33" s="336">
        <f>SUM(E34:E38)</f>
        <v>64505</v>
      </c>
      <c r="F33" s="336">
        <f>SUM(F34:F38)</f>
        <v>64505</v>
      </c>
      <c r="G33" s="336">
        <f>SUM(G34:G38)</f>
        <v>17729</v>
      </c>
      <c r="H33" s="728">
        <f t="shared" si="2"/>
        <v>0.27484691109216342</v>
      </c>
      <c r="I33" s="1"/>
    </row>
    <row r="34" spans="1:11" x14ac:dyDescent="0.25">
      <c r="A34" s="57">
        <v>292</v>
      </c>
      <c r="B34" s="58" t="s">
        <v>36</v>
      </c>
      <c r="C34" s="61">
        <v>10000</v>
      </c>
      <c r="D34" s="695">
        <f>10000+4250</f>
        <v>14250</v>
      </c>
      <c r="E34" s="695">
        <f>10000+4250</f>
        <v>14250</v>
      </c>
      <c r="F34" s="61">
        <f>10000+4250</f>
        <v>14250</v>
      </c>
      <c r="G34" s="61">
        <v>14231</v>
      </c>
      <c r="H34" s="728">
        <f t="shared" si="2"/>
        <v>0.9986666666666667</v>
      </c>
      <c r="I34" s="1"/>
    </row>
    <row r="35" spans="1:11" x14ac:dyDescent="0.25">
      <c r="A35" s="57">
        <v>292</v>
      </c>
      <c r="B35" s="58" t="s">
        <v>37</v>
      </c>
      <c r="C35" s="60">
        <v>500</v>
      </c>
      <c r="D35" s="60">
        <v>500</v>
      </c>
      <c r="E35" s="60">
        <v>500</v>
      </c>
      <c r="F35" s="60">
        <v>500</v>
      </c>
      <c r="G35" s="60">
        <v>29</v>
      </c>
      <c r="H35" s="728">
        <f t="shared" si="2"/>
        <v>5.8000000000000003E-2</v>
      </c>
      <c r="I35" s="1"/>
    </row>
    <row r="36" spans="1:11" x14ac:dyDescent="0.25">
      <c r="A36" s="57">
        <v>292</v>
      </c>
      <c r="B36" s="18" t="s">
        <v>38</v>
      </c>
      <c r="C36" s="64">
        <v>380</v>
      </c>
      <c r="D36" s="689">
        <f>380+15</f>
        <v>395</v>
      </c>
      <c r="E36" s="64">
        <f>380+15</f>
        <v>395</v>
      </c>
      <c r="F36" s="64">
        <f>380+15</f>
        <v>395</v>
      </c>
      <c r="G36" s="64">
        <v>0</v>
      </c>
      <c r="H36" s="728">
        <f t="shared" si="2"/>
        <v>0</v>
      </c>
      <c r="I36" s="1"/>
    </row>
    <row r="37" spans="1:11" x14ac:dyDescent="0.25">
      <c r="A37" s="57">
        <v>292</v>
      </c>
      <c r="B37" s="58" t="s">
        <v>188</v>
      </c>
      <c r="C37" s="60">
        <f>49730-C36</f>
        <v>49350</v>
      </c>
      <c r="D37" s="694">
        <f>49730+15-4250-D36</f>
        <v>45100</v>
      </c>
      <c r="E37" s="694">
        <f>49730+15-4250-E36+4250</f>
        <v>49350</v>
      </c>
      <c r="F37" s="60">
        <f>49730+15-4250-F36+4250</f>
        <v>49350</v>
      </c>
      <c r="G37" s="60">
        <v>3469</v>
      </c>
      <c r="H37" s="728">
        <f t="shared" si="2"/>
        <v>7.0293819655521783E-2</v>
      </c>
      <c r="I37" s="27">
        <f>SUM(D36:D37)</f>
        <v>45495</v>
      </c>
      <c r="J37" s="27">
        <f>SUM(G36:G37)</f>
        <v>3469</v>
      </c>
      <c r="K37" s="27"/>
    </row>
    <row r="38" spans="1:11" ht="15.75" thickBot="1" x14ac:dyDescent="0.3">
      <c r="A38" s="57">
        <v>292</v>
      </c>
      <c r="B38" s="58" t="s">
        <v>260</v>
      </c>
      <c r="C38" s="60">
        <v>10</v>
      </c>
      <c r="D38" s="60">
        <v>10</v>
      </c>
      <c r="E38" s="60">
        <v>10</v>
      </c>
      <c r="F38" s="60">
        <v>10</v>
      </c>
      <c r="G38" s="60">
        <v>0</v>
      </c>
      <c r="H38" s="728">
        <f t="shared" si="2"/>
        <v>0</v>
      </c>
      <c r="I38" s="1"/>
    </row>
    <row r="39" spans="1:11" ht="15.75" thickBot="1" x14ac:dyDescent="0.3">
      <c r="A39" s="65" t="s">
        <v>39</v>
      </c>
      <c r="B39" s="340"/>
      <c r="C39" s="336">
        <f>SUM(C40:C63)</f>
        <v>1306665</v>
      </c>
      <c r="D39" s="336">
        <f>SUM(D40:D63)</f>
        <v>1306322</v>
      </c>
      <c r="E39" s="336">
        <f>SUM(E40:E63)</f>
        <v>1319182</v>
      </c>
      <c r="F39" s="336">
        <f>SUM(F40:F63)</f>
        <v>1312406</v>
      </c>
      <c r="G39" s="336">
        <f>SUM(G40:G63)</f>
        <v>190608</v>
      </c>
      <c r="H39" s="728">
        <f t="shared" si="2"/>
        <v>0.14448953972992354</v>
      </c>
      <c r="I39" s="1"/>
    </row>
    <row r="40" spans="1:11" x14ac:dyDescent="0.25">
      <c r="A40" s="67">
        <v>311</v>
      </c>
      <c r="B40" s="341" t="s">
        <v>40</v>
      </c>
      <c r="C40" s="68">
        <v>0</v>
      </c>
      <c r="D40" s="68">
        <v>0</v>
      </c>
      <c r="E40" s="68">
        <v>0</v>
      </c>
      <c r="F40" s="68">
        <v>0</v>
      </c>
      <c r="G40" s="68">
        <v>0</v>
      </c>
      <c r="H40" s="728">
        <v>0</v>
      </c>
      <c r="I40" s="1"/>
    </row>
    <row r="41" spans="1:11" x14ac:dyDescent="0.25">
      <c r="A41" s="67">
        <v>312</v>
      </c>
      <c r="B41" s="334" t="s">
        <v>279</v>
      </c>
      <c r="C41" s="70">
        <v>69225</v>
      </c>
      <c r="D41" s="70">
        <v>69225</v>
      </c>
      <c r="E41" s="70">
        <v>69225</v>
      </c>
      <c r="F41" s="70">
        <v>69225</v>
      </c>
      <c r="G41" s="70">
        <v>49246</v>
      </c>
      <c r="H41" s="728">
        <f t="shared" si="2"/>
        <v>0.71139039364391476</v>
      </c>
      <c r="I41" s="1"/>
    </row>
    <row r="42" spans="1:11" x14ac:dyDescent="0.25">
      <c r="A42" s="71">
        <v>312</v>
      </c>
      <c r="B42" s="334" t="s">
        <v>193</v>
      </c>
      <c r="C42" s="16">
        <f>62400+500</f>
        <v>62900</v>
      </c>
      <c r="D42" s="16">
        <f>62400+500</f>
        <v>62900</v>
      </c>
      <c r="E42" s="16">
        <f>62400+500</f>
        <v>62900</v>
      </c>
      <c r="F42" s="16">
        <f>62400+500</f>
        <v>62900</v>
      </c>
      <c r="G42" s="16">
        <v>44584</v>
      </c>
      <c r="H42" s="728">
        <f t="shared" si="2"/>
        <v>0.70880763116057233</v>
      </c>
      <c r="I42" s="1"/>
    </row>
    <row r="43" spans="1:11" x14ac:dyDescent="0.25">
      <c r="A43" s="71">
        <v>312</v>
      </c>
      <c r="B43" s="334" t="s">
        <v>194</v>
      </c>
      <c r="C43" s="16">
        <v>500</v>
      </c>
      <c r="D43" s="16">
        <v>500</v>
      </c>
      <c r="E43" s="16">
        <v>500</v>
      </c>
      <c r="F43" s="16">
        <v>500</v>
      </c>
      <c r="G43" s="16">
        <v>60</v>
      </c>
      <c r="H43" s="728">
        <f t="shared" si="2"/>
        <v>0.12</v>
      </c>
      <c r="I43" s="27"/>
    </row>
    <row r="44" spans="1:11" x14ac:dyDescent="0.25">
      <c r="A44" s="71">
        <v>312</v>
      </c>
      <c r="B44" s="114" t="s">
        <v>41</v>
      </c>
      <c r="C44" s="73">
        <v>0</v>
      </c>
      <c r="D44" s="696">
        <f>57+660</f>
        <v>717</v>
      </c>
      <c r="E44" s="73">
        <f>57+660</f>
        <v>717</v>
      </c>
      <c r="F44" s="73">
        <f>57+660</f>
        <v>717</v>
      </c>
      <c r="G44" s="73">
        <v>56</v>
      </c>
      <c r="H44" s="728">
        <f t="shared" si="2"/>
        <v>7.8103207810320777E-2</v>
      </c>
      <c r="I44" s="27"/>
    </row>
    <row r="45" spans="1:11" x14ac:dyDescent="0.25">
      <c r="A45" s="83">
        <v>312</v>
      </c>
      <c r="B45" s="114" t="s">
        <v>336</v>
      </c>
      <c r="C45" s="501">
        <v>5000</v>
      </c>
      <c r="D45" s="34">
        <v>5000</v>
      </c>
      <c r="E45" s="34">
        <v>5000</v>
      </c>
      <c r="F45" s="34">
        <v>5000</v>
      </c>
      <c r="G45" s="501">
        <v>0</v>
      </c>
      <c r="H45" s="728">
        <f t="shared" si="2"/>
        <v>0</v>
      </c>
      <c r="I45" s="27"/>
      <c r="J45" s="426"/>
    </row>
    <row r="46" spans="1:11" x14ac:dyDescent="0.25">
      <c r="A46" s="83">
        <v>312</v>
      </c>
      <c r="B46" s="114" t="s">
        <v>344</v>
      </c>
      <c r="C46" s="501">
        <v>9680</v>
      </c>
      <c r="D46" s="501">
        <v>9680</v>
      </c>
      <c r="E46" s="501">
        <v>9680</v>
      </c>
      <c r="F46" s="501">
        <v>9680</v>
      </c>
      <c r="G46" s="501">
        <v>0</v>
      </c>
      <c r="H46" s="728">
        <f t="shared" si="2"/>
        <v>0</v>
      </c>
      <c r="I46" s="27"/>
      <c r="J46" s="426"/>
    </row>
    <row r="47" spans="1:11" x14ac:dyDescent="0.25">
      <c r="A47" s="83">
        <v>312</v>
      </c>
      <c r="B47" s="114" t="s">
        <v>345</v>
      </c>
      <c r="C47" s="501"/>
      <c r="D47" s="501"/>
      <c r="E47" s="501"/>
      <c r="F47" s="501"/>
      <c r="G47" s="501">
        <v>0</v>
      </c>
      <c r="H47" s="728">
        <v>0</v>
      </c>
      <c r="I47" s="27"/>
      <c r="J47" s="426"/>
    </row>
    <row r="48" spans="1:11" x14ac:dyDescent="0.25">
      <c r="A48" s="83">
        <v>312</v>
      </c>
      <c r="B48" s="114" t="s">
        <v>346</v>
      </c>
      <c r="C48" s="501">
        <v>1450</v>
      </c>
      <c r="D48" s="501">
        <v>1450</v>
      </c>
      <c r="E48" s="501">
        <v>1450</v>
      </c>
      <c r="F48" s="501">
        <v>1450</v>
      </c>
      <c r="G48" s="501">
        <v>0</v>
      </c>
      <c r="H48" s="728">
        <f t="shared" si="2"/>
        <v>0</v>
      </c>
      <c r="I48" s="27"/>
      <c r="J48" s="426"/>
    </row>
    <row r="49" spans="1:11" x14ac:dyDescent="0.25">
      <c r="A49" s="476">
        <v>312</v>
      </c>
      <c r="B49" s="155" t="s">
        <v>501</v>
      </c>
      <c r="C49" s="561">
        <v>0</v>
      </c>
      <c r="D49" s="561">
        <v>0</v>
      </c>
      <c r="E49" s="756">
        <v>12860</v>
      </c>
      <c r="F49" s="561">
        <v>12860</v>
      </c>
      <c r="G49" s="561">
        <v>0</v>
      </c>
      <c r="H49" s="728">
        <f t="shared" si="2"/>
        <v>0</v>
      </c>
      <c r="I49" s="27"/>
      <c r="J49" s="426"/>
    </row>
    <row r="50" spans="1:11" ht="15.75" thickBot="1" x14ac:dyDescent="0.3">
      <c r="A50" s="74">
        <v>312</v>
      </c>
      <c r="B50" s="81" t="s">
        <v>43</v>
      </c>
      <c r="C50" s="75">
        <v>50</v>
      </c>
      <c r="D50" s="75">
        <v>50</v>
      </c>
      <c r="E50" s="75">
        <v>50</v>
      </c>
      <c r="F50" s="75">
        <v>50</v>
      </c>
      <c r="G50" s="75">
        <v>0</v>
      </c>
      <c r="H50" s="728">
        <f t="shared" si="2"/>
        <v>0</v>
      </c>
      <c r="I50" s="1"/>
    </row>
    <row r="51" spans="1:11" ht="15.75" thickBot="1" x14ac:dyDescent="0.3">
      <c r="A51" s="330">
        <v>312</v>
      </c>
      <c r="B51" s="342" t="s">
        <v>273</v>
      </c>
      <c r="C51" s="331">
        <v>4000</v>
      </c>
      <c r="D51" s="331">
        <v>4000</v>
      </c>
      <c r="E51" s="331">
        <v>4000</v>
      </c>
      <c r="F51" s="331">
        <v>4000</v>
      </c>
      <c r="G51" s="331">
        <v>0</v>
      </c>
      <c r="H51" s="728">
        <f t="shared" si="2"/>
        <v>0</v>
      </c>
      <c r="I51" s="27"/>
    </row>
    <row r="52" spans="1:11" x14ac:dyDescent="0.25">
      <c r="A52" s="71">
        <v>312</v>
      </c>
      <c r="B52" s="84" t="s">
        <v>44</v>
      </c>
      <c r="C52" s="16">
        <v>1600</v>
      </c>
      <c r="D52" s="16">
        <v>1600</v>
      </c>
      <c r="E52" s="16">
        <v>1600</v>
      </c>
      <c r="F52" s="16">
        <v>1600</v>
      </c>
      <c r="G52" s="16">
        <v>0</v>
      </c>
      <c r="H52" s="728">
        <f t="shared" si="2"/>
        <v>0</v>
      </c>
      <c r="I52" s="1"/>
    </row>
    <row r="53" spans="1:11" ht="15.75" thickBot="1" x14ac:dyDescent="0.3">
      <c r="A53" s="77">
        <v>312</v>
      </c>
      <c r="B53" s="161" t="s">
        <v>46</v>
      </c>
      <c r="C53" s="79">
        <f>350+5600</f>
        <v>5950</v>
      </c>
      <c r="D53" s="79">
        <f>350+5600</f>
        <v>5950</v>
      </c>
      <c r="E53" s="79">
        <f>350+5600</f>
        <v>5950</v>
      </c>
      <c r="F53" s="79">
        <f>350+5600</f>
        <v>5950</v>
      </c>
      <c r="G53" s="79">
        <v>0</v>
      </c>
      <c r="H53" s="728">
        <f t="shared" si="2"/>
        <v>0</v>
      </c>
      <c r="I53" s="1"/>
    </row>
    <row r="54" spans="1:11" x14ac:dyDescent="0.25">
      <c r="A54" s="71">
        <v>312</v>
      </c>
      <c r="B54" s="84" t="s">
        <v>347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728">
        <v>0</v>
      </c>
      <c r="I54" s="1"/>
    </row>
    <row r="55" spans="1:11" ht="15.75" thickBot="1" x14ac:dyDescent="0.3">
      <c r="A55" s="74">
        <v>312</v>
      </c>
      <c r="B55" s="81" t="s">
        <v>48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28">
        <v>0</v>
      </c>
      <c r="I55" s="1"/>
    </row>
    <row r="56" spans="1:11" x14ac:dyDescent="0.25">
      <c r="A56" s="71">
        <v>312</v>
      </c>
      <c r="B56" s="333" t="s">
        <v>49</v>
      </c>
      <c r="C56" s="82">
        <f>4800+810+40</f>
        <v>5650</v>
      </c>
      <c r="D56" s="697">
        <f>5650-10-10</f>
        <v>5630</v>
      </c>
      <c r="E56" s="82">
        <f>5650-10-10</f>
        <v>5630</v>
      </c>
      <c r="F56" s="82">
        <f>5650-10-10</f>
        <v>5630</v>
      </c>
      <c r="G56" s="82">
        <v>0</v>
      </c>
      <c r="H56" s="728">
        <f t="shared" si="2"/>
        <v>0</v>
      </c>
      <c r="I56" s="27"/>
      <c r="J56" s="27"/>
      <c r="K56" s="27"/>
    </row>
    <row r="57" spans="1:11" x14ac:dyDescent="0.25">
      <c r="A57" s="83">
        <v>312</v>
      </c>
      <c r="B57" s="343" t="s">
        <v>50</v>
      </c>
      <c r="C57" s="21">
        <f>7050+300+110</f>
        <v>7460</v>
      </c>
      <c r="D57" s="693">
        <f>7460+70</f>
        <v>7530</v>
      </c>
      <c r="E57" s="21">
        <f>7460+70</f>
        <v>7530</v>
      </c>
      <c r="F57" s="21">
        <f>7460+70</f>
        <v>7530</v>
      </c>
      <c r="G57" s="21">
        <v>0</v>
      </c>
      <c r="H57" s="728">
        <f t="shared" si="2"/>
        <v>0</v>
      </c>
      <c r="I57" s="27"/>
      <c r="J57" s="27"/>
      <c r="K57" s="27"/>
    </row>
    <row r="58" spans="1:11" x14ac:dyDescent="0.25">
      <c r="A58" s="83">
        <v>312</v>
      </c>
      <c r="B58" s="344" t="s">
        <v>502</v>
      </c>
      <c r="C58" s="33">
        <v>161700</v>
      </c>
      <c r="D58" s="698">
        <f>161700+3</f>
        <v>161703</v>
      </c>
      <c r="E58" s="33">
        <f>161700+3</f>
        <v>161703</v>
      </c>
      <c r="F58" s="698">
        <f>161700+3+3863</f>
        <v>165566</v>
      </c>
      <c r="G58" s="33">
        <v>13475</v>
      </c>
      <c r="H58" s="728">
        <f t="shared" si="2"/>
        <v>8.3331787289042253E-2</v>
      </c>
      <c r="I58" s="27"/>
      <c r="J58" s="27"/>
      <c r="K58" s="27"/>
    </row>
    <row r="59" spans="1:11" x14ac:dyDescent="0.25">
      <c r="A59" s="71">
        <v>312</v>
      </c>
      <c r="B59" s="114" t="s">
        <v>249</v>
      </c>
      <c r="C59" s="16">
        <v>190000</v>
      </c>
      <c r="D59" s="16">
        <v>190000</v>
      </c>
      <c r="E59" s="16">
        <v>190000</v>
      </c>
      <c r="F59" s="16">
        <v>190000</v>
      </c>
      <c r="G59" s="16">
        <v>13386</v>
      </c>
      <c r="H59" s="728">
        <f t="shared" si="2"/>
        <v>7.0452631578947364E-2</v>
      </c>
      <c r="I59" s="27"/>
    </row>
    <row r="60" spans="1:11" ht="15.75" thickBot="1" x14ac:dyDescent="0.3">
      <c r="A60" s="77">
        <v>312</v>
      </c>
      <c r="B60" s="161" t="s">
        <v>51</v>
      </c>
      <c r="C60" s="79">
        <v>58200</v>
      </c>
      <c r="D60" s="79">
        <v>58200</v>
      </c>
      <c r="E60" s="79">
        <v>58200</v>
      </c>
      <c r="F60" s="79">
        <v>58200</v>
      </c>
      <c r="G60" s="79">
        <v>14491</v>
      </c>
      <c r="H60" s="728">
        <f t="shared" si="2"/>
        <v>0.24898625429553264</v>
      </c>
      <c r="I60" s="27"/>
    </row>
    <row r="61" spans="1:11" x14ac:dyDescent="0.25">
      <c r="A61" s="71">
        <v>315</v>
      </c>
      <c r="B61" s="76" t="s">
        <v>47</v>
      </c>
      <c r="C61" s="16">
        <v>3000</v>
      </c>
      <c r="D61" s="16">
        <v>3000</v>
      </c>
      <c r="E61" s="16">
        <v>3000</v>
      </c>
      <c r="F61" s="16">
        <v>3000</v>
      </c>
      <c r="G61" s="16">
        <v>0</v>
      </c>
      <c r="H61" s="728">
        <f t="shared" si="2"/>
        <v>0</v>
      </c>
      <c r="I61" s="1"/>
    </row>
    <row r="62" spans="1:11" ht="15.75" thickBot="1" x14ac:dyDescent="0.3">
      <c r="A62" s="77">
        <v>315</v>
      </c>
      <c r="B62" s="78" t="s">
        <v>236</v>
      </c>
      <c r="C62" s="79">
        <v>300</v>
      </c>
      <c r="D62" s="79">
        <v>300</v>
      </c>
      <c r="E62" s="79">
        <v>300</v>
      </c>
      <c r="F62" s="79">
        <v>300</v>
      </c>
      <c r="G62" s="79">
        <v>0</v>
      </c>
      <c r="H62" s="728">
        <f t="shared" si="2"/>
        <v>0</v>
      </c>
      <c r="I62" s="27">
        <f>SUM(C61:C62)</f>
        <v>3300</v>
      </c>
    </row>
    <row r="63" spans="1:11" ht="15.75" thickBot="1" x14ac:dyDescent="0.3">
      <c r="A63" s="514">
        <v>312</v>
      </c>
      <c r="B63" s="515" t="s">
        <v>307</v>
      </c>
      <c r="C63" s="519">
        <v>720000</v>
      </c>
      <c r="D63" s="724">
        <f>720000-1806+693</f>
        <v>718887</v>
      </c>
      <c r="E63" s="519">
        <f>720000-1806+693</f>
        <v>718887</v>
      </c>
      <c r="F63" s="724">
        <f>720000-1806+693-10639</f>
        <v>708248</v>
      </c>
      <c r="G63" s="519">
        <v>55310</v>
      </c>
      <c r="H63" s="728">
        <f t="shared" si="2"/>
        <v>7.6938378354317161E-2</v>
      </c>
      <c r="I63" s="27"/>
      <c r="J63" s="27"/>
      <c r="K63" s="27"/>
    </row>
    <row r="64" spans="1:11" ht="21" customHeight="1" thickBot="1" x14ac:dyDescent="0.3">
      <c r="A64" s="85" t="s">
        <v>52</v>
      </c>
      <c r="B64" s="345"/>
      <c r="C64" s="358">
        <f>SUM(C3+C11+C31+C33+C39)</f>
        <v>2952875</v>
      </c>
      <c r="D64" s="358">
        <f>SUM(D3+D11+D31+D33+D39)</f>
        <v>2952547</v>
      </c>
      <c r="E64" s="358">
        <f>SUM(E3+E11+E31+E33+E39)</f>
        <v>2969657</v>
      </c>
      <c r="F64" s="358">
        <f>SUM(F3+F11+F31+F33+F39)</f>
        <v>2962881</v>
      </c>
      <c r="G64" s="358">
        <f>SUM(G3+G11+G31+G33+G39)</f>
        <v>370514</v>
      </c>
      <c r="H64" s="728">
        <f t="shared" si="2"/>
        <v>0.12476659762390067</v>
      </c>
      <c r="I64" s="27">
        <f>D64-C64</f>
        <v>-328</v>
      </c>
      <c r="J64" s="27">
        <f>E64-D64</f>
        <v>17110</v>
      </c>
      <c r="K64" s="27">
        <f>F64-E64</f>
        <v>-6776</v>
      </c>
    </row>
    <row r="65" spans="1:11" x14ac:dyDescent="0.25">
      <c r="A65" s="87" t="s">
        <v>53</v>
      </c>
      <c r="B65" s="88" t="s">
        <v>54</v>
      </c>
      <c r="C65" s="89">
        <f>1500</f>
        <v>1500</v>
      </c>
      <c r="D65" s="89">
        <f>1500</f>
        <v>1500</v>
      </c>
      <c r="E65" s="89">
        <f>1500</f>
        <v>1500</v>
      </c>
      <c r="F65" s="89">
        <f>1500</f>
        <v>1500</v>
      </c>
      <c r="G65" s="89">
        <v>0</v>
      </c>
      <c r="H65" s="728">
        <f t="shared" si="2"/>
        <v>0</v>
      </c>
      <c r="I65" s="1"/>
      <c r="J65" s="1"/>
      <c r="K65" s="1"/>
    </row>
    <row r="66" spans="1:11" ht="15.75" thickBot="1" x14ac:dyDescent="0.3">
      <c r="A66" s="90" t="s">
        <v>53</v>
      </c>
      <c r="B66" s="88" t="s">
        <v>55</v>
      </c>
      <c r="C66" s="91">
        <v>3600</v>
      </c>
      <c r="D66" s="91">
        <v>3600</v>
      </c>
      <c r="E66" s="91">
        <v>3600</v>
      </c>
      <c r="F66" s="91">
        <v>3600</v>
      </c>
      <c r="G66" s="91">
        <v>364</v>
      </c>
      <c r="H66" s="728">
        <f t="shared" si="2"/>
        <v>0.10111111111111111</v>
      </c>
      <c r="I66" s="1"/>
      <c r="J66" s="1"/>
      <c r="K66" s="1"/>
    </row>
    <row r="67" spans="1:11" ht="19.899999999999999" customHeight="1" thickBot="1" x14ac:dyDescent="0.3">
      <c r="A67" s="894" t="s">
        <v>57</v>
      </c>
      <c r="B67" s="895"/>
      <c r="C67" s="95">
        <f>SUM(C65:C66)</f>
        <v>5100</v>
      </c>
      <c r="D67" s="95">
        <f>SUM(D65:D66)</f>
        <v>5100</v>
      </c>
      <c r="E67" s="95">
        <f>SUM(E65:E66)</f>
        <v>5100</v>
      </c>
      <c r="F67" s="95">
        <f>SUM(F65:F66)</f>
        <v>5100</v>
      </c>
      <c r="G67" s="95">
        <f>SUM(G65:G66)</f>
        <v>364</v>
      </c>
      <c r="H67" s="728">
        <f t="shared" si="2"/>
        <v>7.1372549019607837E-2</v>
      </c>
      <c r="I67" s="27">
        <f>D67-C67</f>
        <v>0</v>
      </c>
      <c r="J67" s="27">
        <f>E67-D67</f>
        <v>0</v>
      </c>
      <c r="K67" s="27">
        <f>F67-E67</f>
        <v>0</v>
      </c>
    </row>
    <row r="68" spans="1:11" ht="16.5" thickBot="1" x14ac:dyDescent="0.3">
      <c r="A68" s="96" t="s">
        <v>53</v>
      </c>
      <c r="B68" s="97" t="s">
        <v>58</v>
      </c>
      <c r="C68" s="418">
        <v>13600</v>
      </c>
      <c r="D68" s="418">
        <v>13600</v>
      </c>
      <c r="E68" s="418">
        <v>13600</v>
      </c>
      <c r="F68" s="418">
        <v>13600</v>
      </c>
      <c r="G68" s="418">
        <v>205</v>
      </c>
      <c r="H68" s="728">
        <f t="shared" si="2"/>
        <v>1.5073529411764706E-2</v>
      </c>
      <c r="I68" s="103"/>
      <c r="J68" s="103"/>
      <c r="K68" s="103"/>
    </row>
    <row r="69" spans="1:11" ht="21" customHeight="1" thickBot="1" x14ac:dyDescent="0.3">
      <c r="A69" s="894" t="s">
        <v>217</v>
      </c>
      <c r="B69" s="895"/>
      <c r="C69" s="414">
        <f>SUM(C68:C68)</f>
        <v>13600</v>
      </c>
      <c r="D69" s="414">
        <f>SUM(D68:D68)</f>
        <v>13600</v>
      </c>
      <c r="E69" s="414">
        <f>SUM(E68:E68)</f>
        <v>13600</v>
      </c>
      <c r="F69" s="414">
        <f>SUM(F68:F68)</f>
        <v>13600</v>
      </c>
      <c r="G69" s="414">
        <f>SUM(G68:G68)</f>
        <v>205</v>
      </c>
      <c r="H69" s="728">
        <f t="shared" ref="H69:H132" si="4">G69/E69</f>
        <v>1.5073529411764706E-2</v>
      </c>
      <c r="I69" s="27">
        <f t="shared" ref="I69:K71" si="5">D69-C69</f>
        <v>0</v>
      </c>
      <c r="J69" s="27">
        <f t="shared" si="5"/>
        <v>0</v>
      </c>
      <c r="K69" s="27">
        <f t="shared" si="5"/>
        <v>0</v>
      </c>
    </row>
    <row r="70" spans="1:11" ht="19.5" customHeight="1" thickBot="1" x14ac:dyDescent="0.3">
      <c r="A70" s="896" t="s">
        <v>59</v>
      </c>
      <c r="B70" s="897"/>
      <c r="C70" s="99">
        <f>C67+C69</f>
        <v>18700</v>
      </c>
      <c r="D70" s="99">
        <f>D67+D69</f>
        <v>18700</v>
      </c>
      <c r="E70" s="99">
        <f>E67+E69</f>
        <v>18700</v>
      </c>
      <c r="F70" s="99">
        <f>F67+F69</f>
        <v>18700</v>
      </c>
      <c r="G70" s="99">
        <f>G67+G69</f>
        <v>569</v>
      </c>
      <c r="H70" s="728">
        <f t="shared" si="4"/>
        <v>3.0427807486631014E-2</v>
      </c>
      <c r="I70" s="27">
        <f t="shared" si="5"/>
        <v>0</v>
      </c>
      <c r="J70" s="27">
        <f t="shared" si="5"/>
        <v>0</v>
      </c>
      <c r="K70" s="27">
        <f t="shared" si="5"/>
        <v>0</v>
      </c>
    </row>
    <row r="71" spans="1:11" ht="30.75" customHeight="1" thickBot="1" x14ac:dyDescent="0.3">
      <c r="A71" s="85" t="s">
        <v>60</v>
      </c>
      <c r="B71" s="66"/>
      <c r="C71" s="86">
        <f>C64+C70</f>
        <v>2971575</v>
      </c>
      <c r="D71" s="86">
        <f>D64+D70</f>
        <v>2971247</v>
      </c>
      <c r="E71" s="86">
        <f>E64+E70</f>
        <v>2988357</v>
      </c>
      <c r="F71" s="86">
        <f>F64+F70</f>
        <v>2981581</v>
      </c>
      <c r="G71" s="86">
        <f>G64+G70</f>
        <v>371083</v>
      </c>
      <c r="H71" s="728">
        <f t="shared" si="4"/>
        <v>0.12417626140384164</v>
      </c>
      <c r="I71" s="27">
        <f t="shared" si="5"/>
        <v>-328</v>
      </c>
      <c r="J71" s="27">
        <f t="shared" si="5"/>
        <v>17110</v>
      </c>
      <c r="K71" s="27">
        <f t="shared" si="5"/>
        <v>-6776</v>
      </c>
    </row>
    <row r="72" spans="1:11" x14ac:dyDescent="0.25">
      <c r="A72" s="1"/>
      <c r="B72" s="1"/>
      <c r="C72" s="100"/>
      <c r="D72" s="100"/>
      <c r="E72" s="100"/>
      <c r="F72" s="100"/>
      <c r="G72" s="100"/>
      <c r="H72" s="728"/>
      <c r="I72" s="1"/>
    </row>
    <row r="73" spans="1:11" ht="15.75" x14ac:dyDescent="0.25">
      <c r="A73" s="101"/>
      <c r="B73" s="102"/>
      <c r="C73" s="103"/>
      <c r="D73" s="103"/>
      <c r="E73" s="103"/>
      <c r="F73" s="103"/>
      <c r="G73" s="103"/>
      <c r="H73" s="728"/>
      <c r="I73" s="1"/>
    </row>
    <row r="74" spans="1:11" ht="18.75" thickBot="1" x14ac:dyDescent="0.3">
      <c r="A74" s="898" t="s">
        <v>61</v>
      </c>
      <c r="B74" s="899"/>
      <c r="C74" s="899"/>
      <c r="D74" s="899"/>
      <c r="E74" s="899"/>
      <c r="F74" s="899"/>
      <c r="G74" s="899"/>
      <c r="H74" s="728"/>
      <c r="I74" s="1"/>
    </row>
    <row r="75" spans="1:11" ht="36" customHeight="1" thickBot="1" x14ac:dyDescent="0.3">
      <c r="A75" s="876" t="s">
        <v>1</v>
      </c>
      <c r="B75" s="900"/>
      <c r="C75" s="387" t="s">
        <v>467</v>
      </c>
      <c r="D75" s="387" t="s">
        <v>465</v>
      </c>
      <c r="E75" s="387" t="s">
        <v>483</v>
      </c>
      <c r="F75" s="387" t="s">
        <v>500</v>
      </c>
      <c r="G75" s="387" t="s">
        <v>466</v>
      </c>
      <c r="H75" s="728"/>
      <c r="I75" s="1"/>
    </row>
    <row r="76" spans="1:11" ht="15.75" thickBot="1" x14ac:dyDescent="0.3">
      <c r="A76" s="104" t="s">
        <v>62</v>
      </c>
      <c r="B76" s="105"/>
      <c r="C76" s="108">
        <f t="shared" ref="C76:G76" si="6">SUM(C77:C81)</f>
        <v>317110</v>
      </c>
      <c r="D76" s="108">
        <f t="shared" si="6"/>
        <v>317090</v>
      </c>
      <c r="E76" s="108">
        <f t="shared" ref="E76:F76" si="7">SUM(E77:E81)</f>
        <v>317090</v>
      </c>
      <c r="F76" s="108">
        <f t="shared" si="7"/>
        <v>317090</v>
      </c>
      <c r="G76" s="108">
        <f t="shared" si="6"/>
        <v>21907</v>
      </c>
      <c r="H76" s="728">
        <f t="shared" si="4"/>
        <v>6.9087640732914943E-2</v>
      </c>
      <c r="I76" s="1"/>
    </row>
    <row r="77" spans="1:11" x14ac:dyDescent="0.25">
      <c r="A77" s="109" t="s">
        <v>63</v>
      </c>
      <c r="B77" s="84" t="s">
        <v>64</v>
      </c>
      <c r="C77" s="56">
        <v>155310</v>
      </c>
      <c r="D77" s="56">
        <v>155310</v>
      </c>
      <c r="E77" s="56">
        <v>155310</v>
      </c>
      <c r="F77" s="56">
        <v>155310</v>
      </c>
      <c r="G77" s="56">
        <v>6395</v>
      </c>
      <c r="H77" s="728">
        <f t="shared" si="4"/>
        <v>4.1175713089949134E-2</v>
      </c>
      <c r="I77" s="1"/>
    </row>
    <row r="78" spans="1:11" x14ac:dyDescent="0.25">
      <c r="A78" s="113" t="s">
        <v>65</v>
      </c>
      <c r="B78" s="114" t="s">
        <v>66</v>
      </c>
      <c r="C78" s="61">
        <v>91700</v>
      </c>
      <c r="D78" s="61">
        <v>91700</v>
      </c>
      <c r="E78" s="61">
        <v>91700</v>
      </c>
      <c r="F78" s="61">
        <v>91700</v>
      </c>
      <c r="G78" s="61">
        <v>9870</v>
      </c>
      <c r="H78" s="728">
        <f t="shared" si="4"/>
        <v>0.10763358778625955</v>
      </c>
      <c r="I78" s="1"/>
    </row>
    <row r="79" spans="1:11" x14ac:dyDescent="0.25">
      <c r="A79" s="113" t="s">
        <v>67</v>
      </c>
      <c r="B79" s="114" t="s">
        <v>68</v>
      </c>
      <c r="C79" s="61">
        <v>5200</v>
      </c>
      <c r="D79" s="61">
        <v>5200</v>
      </c>
      <c r="E79" s="61">
        <v>5200</v>
      </c>
      <c r="F79" s="61">
        <v>5200</v>
      </c>
      <c r="G79" s="61">
        <v>0</v>
      </c>
      <c r="H79" s="728">
        <f t="shared" si="4"/>
        <v>0</v>
      </c>
      <c r="I79" s="1"/>
    </row>
    <row r="80" spans="1:11" x14ac:dyDescent="0.25">
      <c r="A80" s="117" t="s">
        <v>69</v>
      </c>
      <c r="B80" s="114" t="s">
        <v>70</v>
      </c>
      <c r="C80" s="61">
        <v>64900</v>
      </c>
      <c r="D80" s="695">
        <f>64900-10-10</f>
        <v>64880</v>
      </c>
      <c r="E80" s="61">
        <f>64900-10-10</f>
        <v>64880</v>
      </c>
      <c r="F80" s="61">
        <f>64900-10-10</f>
        <v>64880</v>
      </c>
      <c r="G80" s="61">
        <v>5642</v>
      </c>
      <c r="H80" s="728">
        <f t="shared" si="4"/>
        <v>8.6960542540073987E-2</v>
      </c>
      <c r="I80" s="1"/>
    </row>
    <row r="81" spans="1:9" ht="15.75" thickBot="1" x14ac:dyDescent="0.3">
      <c r="A81" s="119" t="s">
        <v>71</v>
      </c>
      <c r="B81" s="120" t="s">
        <v>196</v>
      </c>
      <c r="C81" s="124">
        <v>0</v>
      </c>
      <c r="D81" s="124">
        <v>0</v>
      </c>
      <c r="E81" s="124">
        <v>0</v>
      </c>
      <c r="F81" s="124">
        <v>0</v>
      </c>
      <c r="G81" s="124">
        <v>0</v>
      </c>
      <c r="H81" s="728">
        <v>0</v>
      </c>
      <c r="I81" s="1"/>
    </row>
    <row r="82" spans="1:9" ht="15.75" thickBot="1" x14ac:dyDescent="0.3">
      <c r="A82" s="125" t="s">
        <v>72</v>
      </c>
      <c r="B82" s="126"/>
      <c r="C82" s="108">
        <f t="shared" ref="C82:G82" si="8">SUM(C83)</f>
        <v>2670</v>
      </c>
      <c r="D82" s="108">
        <f t="shared" si="8"/>
        <v>2685</v>
      </c>
      <c r="E82" s="108">
        <f t="shared" si="8"/>
        <v>2685</v>
      </c>
      <c r="F82" s="108">
        <f t="shared" si="8"/>
        <v>2685</v>
      </c>
      <c r="G82" s="108">
        <f t="shared" si="8"/>
        <v>0</v>
      </c>
      <c r="H82" s="728">
        <f t="shared" si="4"/>
        <v>0</v>
      </c>
      <c r="I82" s="1"/>
    </row>
    <row r="83" spans="1:9" ht="15.75" thickBot="1" x14ac:dyDescent="0.3">
      <c r="A83" s="127" t="s">
        <v>73</v>
      </c>
      <c r="B83" s="102" t="s">
        <v>219</v>
      </c>
      <c r="C83" s="130">
        <v>2670</v>
      </c>
      <c r="D83" s="713">
        <f>2670+15</f>
        <v>2685</v>
      </c>
      <c r="E83" s="130">
        <f>2670+15</f>
        <v>2685</v>
      </c>
      <c r="F83" s="130">
        <f>2670+15</f>
        <v>2685</v>
      </c>
      <c r="G83" s="130">
        <v>0</v>
      </c>
      <c r="H83" s="728">
        <f t="shared" si="4"/>
        <v>0</v>
      </c>
      <c r="I83" s="1"/>
    </row>
    <row r="84" spans="1:9" ht="15.75" thickBot="1" x14ac:dyDescent="0.3">
      <c r="A84" s="125" t="s">
        <v>74</v>
      </c>
      <c r="B84" s="126"/>
      <c r="C84" s="108">
        <f t="shared" ref="C84:G84" si="9">SUM(C85:C86)</f>
        <v>96625</v>
      </c>
      <c r="D84" s="108">
        <f t="shared" si="9"/>
        <v>97008</v>
      </c>
      <c r="E84" s="108">
        <f t="shared" ref="E84:F84" si="10">SUM(E85:E86)</f>
        <v>94508</v>
      </c>
      <c r="F84" s="108">
        <f t="shared" si="10"/>
        <v>94508</v>
      </c>
      <c r="G84" s="108">
        <f t="shared" si="9"/>
        <v>192</v>
      </c>
      <c r="H84" s="728">
        <f t="shared" si="4"/>
        <v>2.0315740466415543E-3</v>
      </c>
      <c r="I84" s="1"/>
    </row>
    <row r="85" spans="1:9" x14ac:dyDescent="0.25">
      <c r="A85" s="131" t="s">
        <v>75</v>
      </c>
      <c r="B85" s="132" t="s">
        <v>76</v>
      </c>
      <c r="C85" s="135">
        <v>17600</v>
      </c>
      <c r="D85" s="135">
        <v>17600</v>
      </c>
      <c r="E85" s="759">
        <f>17600-2500</f>
        <v>15100</v>
      </c>
      <c r="F85" s="135">
        <f>17600-2500</f>
        <v>15100</v>
      </c>
      <c r="G85" s="135">
        <v>43</v>
      </c>
      <c r="H85" s="728">
        <f t="shared" si="4"/>
        <v>2.8476821192052982E-3</v>
      </c>
      <c r="I85" s="1"/>
    </row>
    <row r="86" spans="1:9" ht="15.75" thickBot="1" x14ac:dyDescent="0.3">
      <c r="A86" s="136" t="s">
        <v>77</v>
      </c>
      <c r="B86" s="137" t="s">
        <v>78</v>
      </c>
      <c r="C86" s="124">
        <v>79025</v>
      </c>
      <c r="D86" s="714">
        <f>79025+383</f>
        <v>79408</v>
      </c>
      <c r="E86" s="124">
        <f>79025+383</f>
        <v>79408</v>
      </c>
      <c r="F86" s="124">
        <f>79025+383</f>
        <v>79408</v>
      </c>
      <c r="G86" s="124">
        <v>149</v>
      </c>
      <c r="H86" s="728">
        <f t="shared" si="4"/>
        <v>1.876385250856337E-3</v>
      </c>
      <c r="I86" s="1"/>
    </row>
    <row r="87" spans="1:9" ht="15.75" thickBot="1" x14ac:dyDescent="0.3">
      <c r="A87" s="104" t="s">
        <v>79</v>
      </c>
      <c r="B87" s="140"/>
      <c r="C87" s="108">
        <f t="shared" ref="C87:G87" si="11">SUM(C88:C90)</f>
        <v>122230</v>
      </c>
      <c r="D87" s="108">
        <f t="shared" si="11"/>
        <v>122300</v>
      </c>
      <c r="E87" s="108">
        <f t="shared" ref="E87:F87" si="12">SUM(E88:E90)</f>
        <v>122300</v>
      </c>
      <c r="F87" s="108">
        <f t="shared" si="12"/>
        <v>122300</v>
      </c>
      <c r="G87" s="108">
        <f t="shared" si="11"/>
        <v>7241</v>
      </c>
      <c r="H87" s="728">
        <f t="shared" si="4"/>
        <v>5.9206868356500408E-2</v>
      </c>
      <c r="I87" s="1"/>
    </row>
    <row r="88" spans="1:9" x14ac:dyDescent="0.25">
      <c r="A88" s="141" t="s">
        <v>80</v>
      </c>
      <c r="B88" s="142" t="s">
        <v>81</v>
      </c>
      <c r="C88" s="55">
        <v>44750</v>
      </c>
      <c r="D88" s="55">
        <v>44750</v>
      </c>
      <c r="E88" s="55">
        <v>44750</v>
      </c>
      <c r="F88" s="55">
        <v>44750</v>
      </c>
      <c r="G88" s="55">
        <v>1625</v>
      </c>
      <c r="H88" s="728">
        <f t="shared" si="4"/>
        <v>3.6312849162011177E-2</v>
      </c>
      <c r="I88" s="1"/>
    </row>
    <row r="89" spans="1:9" x14ac:dyDescent="0.25">
      <c r="A89" s="117" t="s">
        <v>82</v>
      </c>
      <c r="B89" s="114" t="s">
        <v>83</v>
      </c>
      <c r="C89" s="60">
        <v>39680</v>
      </c>
      <c r="D89" s="694">
        <f>39680+70</f>
        <v>39750</v>
      </c>
      <c r="E89" s="60">
        <f>39680+70</f>
        <v>39750</v>
      </c>
      <c r="F89" s="60">
        <f>39680+70</f>
        <v>39750</v>
      </c>
      <c r="G89" s="60">
        <v>764</v>
      </c>
      <c r="H89" s="728">
        <f t="shared" si="4"/>
        <v>1.9220125786163521E-2</v>
      </c>
      <c r="I89" s="1"/>
    </row>
    <row r="90" spans="1:9" ht="15.75" thickBot="1" x14ac:dyDescent="0.3">
      <c r="A90" s="117" t="s">
        <v>84</v>
      </c>
      <c r="B90" s="114" t="s">
        <v>85</v>
      </c>
      <c r="C90" s="60">
        <v>37800</v>
      </c>
      <c r="D90" s="60">
        <v>37800</v>
      </c>
      <c r="E90" s="60">
        <v>37800</v>
      </c>
      <c r="F90" s="60">
        <v>37800</v>
      </c>
      <c r="G90" s="60">
        <v>4852</v>
      </c>
      <c r="H90" s="728">
        <f t="shared" si="4"/>
        <v>0.12835978835978837</v>
      </c>
      <c r="I90" s="1"/>
    </row>
    <row r="91" spans="1:9" ht="15.75" thickBot="1" x14ac:dyDescent="0.3">
      <c r="A91" s="901" t="s">
        <v>86</v>
      </c>
      <c r="B91" s="902"/>
      <c r="C91" s="108">
        <f t="shared" ref="C91:G91" si="13">SUM(C92:C95)</f>
        <v>148830</v>
      </c>
      <c r="D91" s="108">
        <f t="shared" si="13"/>
        <v>148830</v>
      </c>
      <c r="E91" s="108">
        <f t="shared" ref="E91:F91" si="14">SUM(E92:E95)</f>
        <v>173440</v>
      </c>
      <c r="F91" s="108">
        <f t="shared" si="14"/>
        <v>173440</v>
      </c>
      <c r="G91" s="108">
        <f t="shared" si="13"/>
        <v>6323</v>
      </c>
      <c r="H91" s="728">
        <f t="shared" si="4"/>
        <v>3.6456411439114392E-2</v>
      </c>
      <c r="I91" s="1"/>
    </row>
    <row r="92" spans="1:9" x14ac:dyDescent="0.25">
      <c r="A92" s="149" t="s">
        <v>87</v>
      </c>
      <c r="B92" s="150" t="s">
        <v>88</v>
      </c>
      <c r="C92" s="135">
        <v>95830</v>
      </c>
      <c r="D92" s="135">
        <v>95830</v>
      </c>
      <c r="E92" s="135">
        <v>95830</v>
      </c>
      <c r="F92" s="135">
        <v>95830</v>
      </c>
      <c r="G92" s="135">
        <v>5708</v>
      </c>
      <c r="H92" s="728">
        <f t="shared" si="4"/>
        <v>5.9563810915162267E-2</v>
      </c>
      <c r="I92" s="1"/>
    </row>
    <row r="93" spans="1:9" x14ac:dyDescent="0.25">
      <c r="A93" s="117" t="s">
        <v>89</v>
      </c>
      <c r="B93" s="114" t="s">
        <v>90</v>
      </c>
      <c r="C93" s="148">
        <v>39000</v>
      </c>
      <c r="D93" s="148">
        <v>39000</v>
      </c>
      <c r="E93" s="757">
        <f>39000-1575</f>
        <v>37425</v>
      </c>
      <c r="F93" s="148">
        <f>39000-1575</f>
        <v>37425</v>
      </c>
      <c r="G93" s="148">
        <v>379</v>
      </c>
      <c r="H93" s="728">
        <f t="shared" si="4"/>
        <v>1.0126920507682031E-2</v>
      </c>
      <c r="I93" s="1"/>
    </row>
    <row r="94" spans="1:9" x14ac:dyDescent="0.25">
      <c r="A94" s="127" t="s">
        <v>91</v>
      </c>
      <c r="B94" s="155" t="s">
        <v>92</v>
      </c>
      <c r="C94" s="159">
        <v>2000</v>
      </c>
      <c r="D94" s="159">
        <v>2000</v>
      </c>
      <c r="E94" s="159">
        <v>2000</v>
      </c>
      <c r="F94" s="159">
        <v>2000</v>
      </c>
      <c r="G94" s="159">
        <v>0</v>
      </c>
      <c r="H94" s="728">
        <f t="shared" si="4"/>
        <v>0</v>
      </c>
      <c r="I94" s="1"/>
    </row>
    <row r="95" spans="1:9" ht="15.75" thickBot="1" x14ac:dyDescent="0.3">
      <c r="A95" s="160" t="s">
        <v>93</v>
      </c>
      <c r="B95" s="161" t="s">
        <v>94</v>
      </c>
      <c r="C95" s="170">
        <v>12000</v>
      </c>
      <c r="D95" s="170">
        <v>12000</v>
      </c>
      <c r="E95" s="758">
        <f>12000+26185</f>
        <v>38185</v>
      </c>
      <c r="F95" s="170">
        <f>12000+26185</f>
        <v>38185</v>
      </c>
      <c r="G95" s="164">
        <v>236</v>
      </c>
      <c r="H95" s="728">
        <f t="shared" si="4"/>
        <v>6.180437344507005E-3</v>
      </c>
      <c r="I95" s="1"/>
    </row>
    <row r="96" spans="1:9" ht="15.75" thickBot="1" x14ac:dyDescent="0.3">
      <c r="A96" s="104" t="s">
        <v>95</v>
      </c>
      <c r="B96" s="140"/>
      <c r="C96" s="106">
        <f t="shared" ref="C96:G96" si="15">SUM(C97:C100)</f>
        <v>222450</v>
      </c>
      <c r="D96" s="106">
        <f t="shared" si="15"/>
        <v>222450</v>
      </c>
      <c r="E96" s="106">
        <f t="shared" ref="E96:F96" si="16">SUM(E97:E100)</f>
        <v>208450</v>
      </c>
      <c r="F96" s="106">
        <f t="shared" si="16"/>
        <v>208450</v>
      </c>
      <c r="G96" s="106">
        <f t="shared" si="15"/>
        <v>8451</v>
      </c>
      <c r="H96" s="728">
        <f t="shared" si="4"/>
        <v>4.0542096426001442E-2</v>
      </c>
      <c r="I96" s="1"/>
    </row>
    <row r="97" spans="1:11" x14ac:dyDescent="0.25">
      <c r="A97" s="141" t="s">
        <v>96</v>
      </c>
      <c r="B97" s="84" t="s">
        <v>97</v>
      </c>
      <c r="C97" s="112">
        <v>168170</v>
      </c>
      <c r="D97" s="112">
        <v>168170</v>
      </c>
      <c r="E97" s="112">
        <v>168170</v>
      </c>
      <c r="F97" s="112">
        <v>168170</v>
      </c>
      <c r="G97" s="112">
        <v>7154</v>
      </c>
      <c r="H97" s="728">
        <f t="shared" si="4"/>
        <v>4.2540286614735093E-2</v>
      </c>
      <c r="I97" s="1"/>
    </row>
    <row r="98" spans="1:11" x14ac:dyDescent="0.25">
      <c r="A98" s="141" t="s">
        <v>301</v>
      </c>
      <c r="B98" s="84" t="s">
        <v>321</v>
      </c>
      <c r="C98" s="112">
        <v>1580</v>
      </c>
      <c r="D98" s="112">
        <v>1580</v>
      </c>
      <c r="E98" s="112">
        <v>1580</v>
      </c>
      <c r="F98" s="112">
        <v>1580</v>
      </c>
      <c r="G98" s="112">
        <v>0</v>
      </c>
      <c r="H98" s="728">
        <f t="shared" si="4"/>
        <v>0</v>
      </c>
      <c r="I98" s="1"/>
    </row>
    <row r="99" spans="1:11" x14ac:dyDescent="0.25">
      <c r="A99" s="166" t="s">
        <v>98</v>
      </c>
      <c r="B99" s="114" t="s">
        <v>99</v>
      </c>
      <c r="C99" s="148">
        <v>35700</v>
      </c>
      <c r="D99" s="148">
        <v>35700</v>
      </c>
      <c r="E99" s="757">
        <f>35700-14000</f>
        <v>21700</v>
      </c>
      <c r="F99" s="148">
        <f>35700-14000</f>
        <v>21700</v>
      </c>
      <c r="G99" s="148">
        <v>366</v>
      </c>
      <c r="H99" s="728">
        <f t="shared" si="4"/>
        <v>1.6866359447004608E-2</v>
      </c>
      <c r="I99" s="1"/>
    </row>
    <row r="100" spans="1:11" ht="15.75" thickBot="1" x14ac:dyDescent="0.3">
      <c r="A100" s="167" t="s">
        <v>100</v>
      </c>
      <c r="B100" s="161" t="s">
        <v>101</v>
      </c>
      <c r="C100" s="170">
        <v>17000</v>
      </c>
      <c r="D100" s="170">
        <v>17000</v>
      </c>
      <c r="E100" s="170">
        <v>17000</v>
      </c>
      <c r="F100" s="170">
        <v>17000</v>
      </c>
      <c r="G100" s="170">
        <v>931</v>
      </c>
      <c r="H100" s="728">
        <f t="shared" si="4"/>
        <v>5.4764705882352945E-2</v>
      </c>
      <c r="I100" s="1"/>
    </row>
    <row r="101" spans="1:11" ht="15.75" thickBot="1" x14ac:dyDescent="0.3">
      <c r="A101" s="171" t="s">
        <v>102</v>
      </c>
      <c r="B101" s="172"/>
      <c r="C101" s="173">
        <f>SUM(C102:C104)</f>
        <v>850</v>
      </c>
      <c r="D101" s="173">
        <f>SUM(D102:D104)</f>
        <v>850</v>
      </c>
      <c r="E101" s="173">
        <f>SUM(E102:E104)</f>
        <v>850</v>
      </c>
      <c r="F101" s="173">
        <f>SUM(F102:F104)</f>
        <v>850</v>
      </c>
      <c r="G101" s="173">
        <f>SUM(G102:G104)</f>
        <v>0</v>
      </c>
      <c r="H101" s="728">
        <f t="shared" si="4"/>
        <v>0</v>
      </c>
      <c r="I101" s="1"/>
    </row>
    <row r="102" spans="1:11" x14ac:dyDescent="0.25">
      <c r="A102" s="131" t="s">
        <v>103</v>
      </c>
      <c r="B102" s="150" t="s">
        <v>104</v>
      </c>
      <c r="C102" s="177">
        <v>100</v>
      </c>
      <c r="D102" s="177">
        <v>100</v>
      </c>
      <c r="E102" s="177">
        <v>100</v>
      </c>
      <c r="F102" s="177">
        <v>100</v>
      </c>
      <c r="G102" s="177">
        <v>0</v>
      </c>
      <c r="H102" s="728">
        <f t="shared" si="4"/>
        <v>0</v>
      </c>
      <c r="I102" s="1"/>
    </row>
    <row r="103" spans="1:11" x14ac:dyDescent="0.25">
      <c r="A103" s="166" t="s">
        <v>105</v>
      </c>
      <c r="B103" s="114" t="s">
        <v>106</v>
      </c>
      <c r="C103" s="180">
        <v>100</v>
      </c>
      <c r="D103" s="180">
        <v>100</v>
      </c>
      <c r="E103" s="180">
        <v>100</v>
      </c>
      <c r="F103" s="180">
        <v>100</v>
      </c>
      <c r="G103" s="180">
        <v>0</v>
      </c>
      <c r="H103" s="728">
        <f t="shared" si="4"/>
        <v>0</v>
      </c>
      <c r="I103" s="1"/>
    </row>
    <row r="104" spans="1:11" ht="15.75" thickBot="1" x14ac:dyDescent="0.3">
      <c r="A104" s="720" t="s">
        <v>107</v>
      </c>
      <c r="B104" s="721" t="s">
        <v>108</v>
      </c>
      <c r="C104" s="208">
        <v>650</v>
      </c>
      <c r="D104" s="208">
        <v>650</v>
      </c>
      <c r="E104" s="208">
        <v>650</v>
      </c>
      <c r="F104" s="208">
        <v>650</v>
      </c>
      <c r="G104" s="208">
        <v>0</v>
      </c>
      <c r="H104" s="728">
        <f t="shared" si="4"/>
        <v>0</v>
      </c>
      <c r="I104" s="1"/>
    </row>
    <row r="105" spans="1:11" ht="15.75" thickBot="1" x14ac:dyDescent="0.3">
      <c r="A105" s="722" t="s">
        <v>110</v>
      </c>
      <c r="B105" s="105"/>
      <c r="C105" s="106">
        <f t="shared" ref="C105:G105" si="17">SUM(C106:C110)</f>
        <v>131700</v>
      </c>
      <c r="D105" s="106">
        <f t="shared" si="17"/>
        <v>131700</v>
      </c>
      <c r="E105" s="106">
        <f t="shared" ref="E105:F105" si="18">SUM(E106:E110)</f>
        <v>132000</v>
      </c>
      <c r="F105" s="106">
        <f t="shared" si="18"/>
        <v>132000</v>
      </c>
      <c r="G105" s="106">
        <f t="shared" si="17"/>
        <v>7762</v>
      </c>
      <c r="H105" s="728">
        <f t="shared" si="4"/>
        <v>5.8803030303030301E-2</v>
      </c>
      <c r="I105" s="1"/>
    </row>
    <row r="106" spans="1:11" x14ac:dyDescent="0.25">
      <c r="A106" s="149" t="s">
        <v>111</v>
      </c>
      <c r="B106" s="150" t="s">
        <v>112</v>
      </c>
      <c r="C106" s="135">
        <v>40000</v>
      </c>
      <c r="D106" s="135">
        <v>40000</v>
      </c>
      <c r="E106" s="759">
        <f>40000-2000</f>
        <v>38000</v>
      </c>
      <c r="F106" s="135">
        <f>40000-2000</f>
        <v>38000</v>
      </c>
      <c r="G106" s="135">
        <v>5677</v>
      </c>
      <c r="H106" s="728">
        <f t="shared" si="4"/>
        <v>0.14939473684210527</v>
      </c>
      <c r="I106" s="1"/>
    </row>
    <row r="107" spans="1:11" x14ac:dyDescent="0.25">
      <c r="A107" s="192" t="s">
        <v>113</v>
      </c>
      <c r="B107" s="193" t="s">
        <v>114</v>
      </c>
      <c r="C107" s="55">
        <v>61600</v>
      </c>
      <c r="D107" s="55">
        <v>61600</v>
      </c>
      <c r="E107" s="716">
        <f>61600+1700</f>
        <v>63300</v>
      </c>
      <c r="F107" s="55">
        <f>61600+1700</f>
        <v>63300</v>
      </c>
      <c r="G107" s="55">
        <v>2059</v>
      </c>
      <c r="H107" s="728">
        <f t="shared" si="4"/>
        <v>3.2527646129541864E-2</v>
      </c>
      <c r="I107" s="1"/>
    </row>
    <row r="108" spans="1:11" x14ac:dyDescent="0.25">
      <c r="A108" s="192" t="s">
        <v>115</v>
      </c>
      <c r="B108" s="84" t="s">
        <v>116</v>
      </c>
      <c r="C108" s="55">
        <v>5900</v>
      </c>
      <c r="D108" s="55">
        <v>5900</v>
      </c>
      <c r="E108" s="55">
        <v>5900</v>
      </c>
      <c r="F108" s="55">
        <v>5900</v>
      </c>
      <c r="G108" s="55">
        <v>26</v>
      </c>
      <c r="H108" s="728">
        <f t="shared" si="4"/>
        <v>4.4067796610169491E-3</v>
      </c>
      <c r="I108" s="1"/>
    </row>
    <row r="109" spans="1:11" x14ac:dyDescent="0.25">
      <c r="A109" s="192" t="s">
        <v>117</v>
      </c>
      <c r="B109" s="84" t="s">
        <v>118</v>
      </c>
      <c r="C109" s="55">
        <v>22400</v>
      </c>
      <c r="D109" s="55">
        <v>22400</v>
      </c>
      <c r="E109" s="55">
        <v>22400</v>
      </c>
      <c r="F109" s="55">
        <v>22400</v>
      </c>
      <c r="G109" s="55">
        <v>0</v>
      </c>
      <c r="H109" s="728">
        <f t="shared" si="4"/>
        <v>0</v>
      </c>
      <c r="I109" s="1"/>
    </row>
    <row r="110" spans="1:11" ht="15.75" thickBot="1" x14ac:dyDescent="0.3">
      <c r="A110" s="160" t="s">
        <v>119</v>
      </c>
      <c r="B110" s="161" t="s">
        <v>120</v>
      </c>
      <c r="C110" s="182">
        <v>1800</v>
      </c>
      <c r="D110" s="182">
        <v>1800</v>
      </c>
      <c r="E110" s="764">
        <f>1800+100+500</f>
        <v>2400</v>
      </c>
      <c r="F110" s="182">
        <f>1800+100+500</f>
        <v>2400</v>
      </c>
      <c r="G110" s="182">
        <v>0</v>
      </c>
      <c r="H110" s="728">
        <f t="shared" si="4"/>
        <v>0</v>
      </c>
      <c r="I110" s="1"/>
    </row>
    <row r="111" spans="1:11" ht="15.75" thickBot="1" x14ac:dyDescent="0.3">
      <c r="A111" s="125" t="s">
        <v>121</v>
      </c>
      <c r="B111" s="126"/>
      <c r="C111" s="106">
        <f t="shared" ref="C111:D111" si="19">SUM(C112:C119)</f>
        <v>394150</v>
      </c>
      <c r="D111" s="106">
        <f t="shared" si="19"/>
        <v>393973</v>
      </c>
      <c r="E111" s="106">
        <f t="shared" ref="E111:F111" si="20">SUM(E112:E119)</f>
        <v>402673</v>
      </c>
      <c r="F111" s="106">
        <f t="shared" si="20"/>
        <v>406536</v>
      </c>
      <c r="G111" s="106">
        <f>SUM(G112:G119)</f>
        <v>26530</v>
      </c>
      <c r="H111" s="728">
        <f t="shared" si="4"/>
        <v>6.5884725323028859E-2</v>
      </c>
      <c r="I111" s="1"/>
      <c r="J111" s="27"/>
      <c r="K111" s="27"/>
    </row>
    <row r="112" spans="1:11" x14ac:dyDescent="0.25">
      <c r="A112" s="196" t="s">
        <v>122</v>
      </c>
      <c r="B112" s="197" t="s">
        <v>123</v>
      </c>
      <c r="C112" s="201">
        <v>200400</v>
      </c>
      <c r="D112" s="715">
        <f>200400+3</f>
        <v>200403</v>
      </c>
      <c r="E112" s="715">
        <f>200400+3+5000</f>
        <v>205403</v>
      </c>
      <c r="F112" s="715">
        <f>200400+3+5000+3863</f>
        <v>209266</v>
      </c>
      <c r="G112" s="201">
        <v>13758</v>
      </c>
      <c r="H112" s="728">
        <f t="shared" si="4"/>
        <v>6.6980521219261652E-2</v>
      </c>
      <c r="I112" s="1"/>
    </row>
    <row r="113" spans="1:14" x14ac:dyDescent="0.25">
      <c r="A113" s="578" t="s">
        <v>124</v>
      </c>
      <c r="B113" s="142" t="s">
        <v>340</v>
      </c>
      <c r="C113" s="56">
        <v>0</v>
      </c>
      <c r="D113" s="56">
        <v>0</v>
      </c>
      <c r="E113" s="56">
        <v>0</v>
      </c>
      <c r="F113" s="56">
        <v>0</v>
      </c>
      <c r="G113" s="56">
        <v>0</v>
      </c>
      <c r="H113" s="728">
        <v>0</v>
      </c>
      <c r="I113" s="1"/>
    </row>
    <row r="114" spans="1:14" x14ac:dyDescent="0.25">
      <c r="A114" s="202" t="s">
        <v>125</v>
      </c>
      <c r="B114" s="203" t="s">
        <v>512</v>
      </c>
      <c r="C114" s="61">
        <v>6500</v>
      </c>
      <c r="D114" s="61">
        <v>6500</v>
      </c>
      <c r="E114" s="695">
        <f>6500+3700</f>
        <v>10200</v>
      </c>
      <c r="F114" s="61">
        <f>6500+3700</f>
        <v>10200</v>
      </c>
      <c r="G114" s="61">
        <v>792</v>
      </c>
      <c r="H114" s="728">
        <f t="shared" si="4"/>
        <v>7.7647058823529416E-2</v>
      </c>
      <c r="I114" s="1"/>
    </row>
    <row r="115" spans="1:14" x14ac:dyDescent="0.25">
      <c r="A115" s="202" t="s">
        <v>127</v>
      </c>
      <c r="B115" s="203" t="s">
        <v>128</v>
      </c>
      <c r="C115" s="61">
        <v>36200</v>
      </c>
      <c r="D115" s="61">
        <v>36200</v>
      </c>
      <c r="E115" s="61">
        <v>36200</v>
      </c>
      <c r="F115" s="61">
        <v>36200</v>
      </c>
      <c r="G115" s="61">
        <v>2513</v>
      </c>
      <c r="H115" s="728">
        <f t="shared" si="4"/>
        <v>6.9419889502762427E-2</v>
      </c>
      <c r="I115" s="1"/>
    </row>
    <row r="116" spans="1:14" x14ac:dyDescent="0.25">
      <c r="A116" s="202" t="s">
        <v>129</v>
      </c>
      <c r="B116" s="203" t="s">
        <v>130</v>
      </c>
      <c r="C116" s="60">
        <v>53850</v>
      </c>
      <c r="D116" s="60">
        <v>53850</v>
      </c>
      <c r="E116" s="60">
        <v>53850</v>
      </c>
      <c r="F116" s="60">
        <v>53850</v>
      </c>
      <c r="G116" s="60">
        <v>2877</v>
      </c>
      <c r="H116" s="728">
        <f t="shared" si="4"/>
        <v>5.3426183844011141E-2</v>
      </c>
      <c r="I116" s="1"/>
      <c r="J116" s="381"/>
      <c r="K116" s="381"/>
      <c r="N116" s="475"/>
    </row>
    <row r="117" spans="1:14" x14ac:dyDescent="0.25">
      <c r="A117" s="202" t="s">
        <v>131</v>
      </c>
      <c r="B117" s="203" t="s">
        <v>195</v>
      </c>
      <c r="C117" s="60">
        <v>94600</v>
      </c>
      <c r="D117" s="694">
        <f>94600-160</f>
        <v>94440</v>
      </c>
      <c r="E117" s="60">
        <f>94600-160</f>
        <v>94440</v>
      </c>
      <c r="F117" s="60">
        <f>94600-160</f>
        <v>94440</v>
      </c>
      <c r="G117" s="60">
        <v>6348</v>
      </c>
      <c r="H117" s="728">
        <f t="shared" si="4"/>
        <v>6.7217280813214736E-2</v>
      </c>
      <c r="I117" s="27">
        <f>SUM(C115:C117)</f>
        <v>184650</v>
      </c>
      <c r="J117" s="27">
        <f>SUM(D115:D117)</f>
        <v>184490</v>
      </c>
      <c r="K117" s="27">
        <f t="shared" ref="K117" si="21">SUM(G115:G117)</f>
        <v>11738</v>
      </c>
    </row>
    <row r="118" spans="1:14" x14ac:dyDescent="0.25">
      <c r="A118" s="204" t="s">
        <v>132</v>
      </c>
      <c r="B118" s="203" t="s">
        <v>309</v>
      </c>
      <c r="C118" s="208">
        <v>1300</v>
      </c>
      <c r="D118" s="208">
        <v>1300</v>
      </c>
      <c r="E118" s="208">
        <v>1300</v>
      </c>
      <c r="F118" s="208">
        <v>1300</v>
      </c>
      <c r="G118" s="208">
        <v>242</v>
      </c>
      <c r="H118" s="728">
        <f t="shared" si="4"/>
        <v>0.18615384615384614</v>
      </c>
      <c r="I118" s="1"/>
    </row>
    <row r="119" spans="1:14" ht="15.75" thickBot="1" x14ac:dyDescent="0.3">
      <c r="A119" s="202" t="s">
        <v>133</v>
      </c>
      <c r="B119" s="203" t="s">
        <v>207</v>
      </c>
      <c r="C119" s="208">
        <v>1300</v>
      </c>
      <c r="D119" s="723">
        <f>1300-20</f>
        <v>1280</v>
      </c>
      <c r="E119" s="208">
        <f>1300-20</f>
        <v>1280</v>
      </c>
      <c r="F119" s="208">
        <f>1300-20</f>
        <v>1280</v>
      </c>
      <c r="G119" s="208">
        <v>0</v>
      </c>
      <c r="H119" s="728">
        <f t="shared" si="4"/>
        <v>0</v>
      </c>
      <c r="I119" s="1"/>
    </row>
    <row r="120" spans="1:14" ht="15.75" thickBot="1" x14ac:dyDescent="0.3">
      <c r="A120" s="104" t="s">
        <v>134</v>
      </c>
      <c r="B120" s="105"/>
      <c r="C120" s="108">
        <f t="shared" ref="C120:G120" si="22">SUM(C121:C125)</f>
        <v>482770</v>
      </c>
      <c r="D120" s="108">
        <f t="shared" si="22"/>
        <v>485270</v>
      </c>
      <c r="E120" s="108">
        <f t="shared" ref="E120:F120" si="23">SUM(E121:E125)</f>
        <v>485270</v>
      </c>
      <c r="F120" s="108">
        <f t="shared" si="23"/>
        <v>485270</v>
      </c>
      <c r="G120" s="108">
        <f t="shared" si="22"/>
        <v>41935</v>
      </c>
      <c r="H120" s="728">
        <f t="shared" si="4"/>
        <v>8.641580975539391E-2</v>
      </c>
      <c r="I120" s="1"/>
    </row>
    <row r="121" spans="1:14" x14ac:dyDescent="0.25">
      <c r="A121" s="192" t="s">
        <v>135</v>
      </c>
      <c r="B121" s="84" t="s">
        <v>220</v>
      </c>
      <c r="C121" s="55">
        <v>392070</v>
      </c>
      <c r="D121" s="716">
        <f>392070-1998</f>
        <v>390072</v>
      </c>
      <c r="E121" s="55">
        <f>392070-1998</f>
        <v>390072</v>
      </c>
      <c r="F121" s="55">
        <f>392070-1998</f>
        <v>390072</v>
      </c>
      <c r="G121" s="55">
        <v>24171</v>
      </c>
      <c r="H121" s="728">
        <f t="shared" si="4"/>
        <v>6.1965483295391623E-2</v>
      </c>
      <c r="I121" s="1"/>
    </row>
    <row r="122" spans="1:14" x14ac:dyDescent="0.25">
      <c r="A122" s="192" t="s">
        <v>136</v>
      </c>
      <c r="B122" s="84" t="s">
        <v>137</v>
      </c>
      <c r="C122" s="55">
        <v>73400</v>
      </c>
      <c r="D122" s="716">
        <f>73400+3781</f>
        <v>77181</v>
      </c>
      <c r="E122" s="55">
        <f>73400+3781</f>
        <v>77181</v>
      </c>
      <c r="F122" s="55">
        <f>73400+3781</f>
        <v>77181</v>
      </c>
      <c r="G122" s="55">
        <v>16551</v>
      </c>
      <c r="H122" s="728">
        <f t="shared" si="4"/>
        <v>0.21444396937070004</v>
      </c>
      <c r="I122" s="1"/>
    </row>
    <row r="123" spans="1:14" x14ac:dyDescent="0.25">
      <c r="A123" s="117" t="s">
        <v>138</v>
      </c>
      <c r="B123" s="114" t="s">
        <v>139</v>
      </c>
      <c r="C123" s="60">
        <v>16300</v>
      </c>
      <c r="D123" s="694">
        <f>16300+717</f>
        <v>17017</v>
      </c>
      <c r="E123" s="60">
        <f>16300+717</f>
        <v>17017</v>
      </c>
      <c r="F123" s="60">
        <f>16300+717</f>
        <v>17017</v>
      </c>
      <c r="G123" s="60">
        <v>1213</v>
      </c>
      <c r="H123" s="728">
        <f t="shared" si="4"/>
        <v>7.128165951695363E-2</v>
      </c>
      <c r="I123" s="1"/>
    </row>
    <row r="124" spans="1:14" x14ac:dyDescent="0.25">
      <c r="A124" s="117" t="s">
        <v>140</v>
      </c>
      <c r="B124" s="114" t="s">
        <v>141</v>
      </c>
      <c r="C124" s="60">
        <v>500</v>
      </c>
      <c r="D124" s="60">
        <v>500</v>
      </c>
      <c r="E124" s="60">
        <v>500</v>
      </c>
      <c r="F124" s="60">
        <v>500</v>
      </c>
      <c r="G124" s="60">
        <v>0</v>
      </c>
      <c r="H124" s="728">
        <f t="shared" si="4"/>
        <v>0</v>
      </c>
      <c r="I124" s="1"/>
    </row>
    <row r="125" spans="1:14" ht="15.75" thickBot="1" x14ac:dyDescent="0.3">
      <c r="A125" s="160" t="s">
        <v>142</v>
      </c>
      <c r="B125" s="161" t="s">
        <v>143</v>
      </c>
      <c r="C125" s="182">
        <v>500</v>
      </c>
      <c r="D125" s="182">
        <v>500</v>
      </c>
      <c r="E125" s="182">
        <v>500</v>
      </c>
      <c r="F125" s="182">
        <v>500</v>
      </c>
      <c r="G125" s="182">
        <v>0</v>
      </c>
      <c r="H125" s="728">
        <f t="shared" si="4"/>
        <v>0</v>
      </c>
      <c r="I125" s="1"/>
      <c r="J125" s="27"/>
      <c r="K125" s="27"/>
    </row>
    <row r="126" spans="1:14" ht="24.75" customHeight="1" thickBot="1" x14ac:dyDescent="0.3">
      <c r="A126" s="209" t="s">
        <v>144</v>
      </c>
      <c r="B126" s="172"/>
      <c r="C126" s="212">
        <f>SUM(C76+C82+C84+C87+C91+C96+C101+C105+C111+C120)</f>
        <v>1919385</v>
      </c>
      <c r="D126" s="212">
        <f>SUM(D76+D82+D84+D87+D91+D96+D101+D105+D111+D120)</f>
        <v>1922156</v>
      </c>
      <c r="E126" s="212">
        <f>SUM(E76+E82+E84+E87+E91+E96+E101+E105+E111+E120)</f>
        <v>1939266</v>
      </c>
      <c r="F126" s="212">
        <f>SUM(F76+F82+F84+F87+F91+F96+F101+F105+F111+F120)</f>
        <v>1943129</v>
      </c>
      <c r="G126" s="212">
        <f>SUM(G76+G82+G84+G87+G91+G96+G101+G105+G111+G120)</f>
        <v>120341</v>
      </c>
      <c r="H126" s="728">
        <f t="shared" si="4"/>
        <v>6.2054921810623193E-2</v>
      </c>
      <c r="I126" s="27">
        <f>D126-C126</f>
        <v>2771</v>
      </c>
      <c r="J126" s="27">
        <f>E126-D126</f>
        <v>17110</v>
      </c>
      <c r="K126" s="27">
        <f>F126-E126</f>
        <v>3863</v>
      </c>
    </row>
    <row r="127" spans="1:14" x14ac:dyDescent="0.25">
      <c r="A127" s="502" t="s">
        <v>124</v>
      </c>
      <c r="B127" s="213" t="s">
        <v>341</v>
      </c>
      <c r="C127" s="216">
        <f>C63</f>
        <v>720000</v>
      </c>
      <c r="D127" s="715">
        <f>D63+D179</f>
        <v>722098</v>
      </c>
      <c r="E127" s="216">
        <f>E63+E179</f>
        <v>722098</v>
      </c>
      <c r="F127" s="715">
        <f>F63+F179</f>
        <v>711459</v>
      </c>
      <c r="G127" s="216">
        <f>G63</f>
        <v>55310</v>
      </c>
      <c r="H127" s="728">
        <f t="shared" si="4"/>
        <v>7.6596251478331198E-2</v>
      </c>
      <c r="I127" s="1"/>
      <c r="J127" s="27"/>
      <c r="K127" s="27"/>
    </row>
    <row r="128" spans="1:14" ht="15.75" thickBot="1" x14ac:dyDescent="0.3">
      <c r="A128" s="717" t="s">
        <v>124</v>
      </c>
      <c r="B128" s="718" t="s">
        <v>145</v>
      </c>
      <c r="C128" s="719">
        <f>C65</f>
        <v>1500</v>
      </c>
      <c r="D128" s="719">
        <f>D65</f>
        <v>1500</v>
      </c>
      <c r="E128" s="719">
        <f>E65</f>
        <v>1500</v>
      </c>
      <c r="F128" s="719">
        <f>F65</f>
        <v>1500</v>
      </c>
      <c r="G128" s="719">
        <f>G65</f>
        <v>0</v>
      </c>
      <c r="H128" s="728">
        <f t="shared" si="4"/>
        <v>0</v>
      </c>
      <c r="I128" s="27">
        <f>SUM(D127:D128)</f>
        <v>723598</v>
      </c>
      <c r="J128" s="27">
        <f>SUM(G127:G128)</f>
        <v>55310</v>
      </c>
      <c r="K128" s="27">
        <f>SUM(H127:H128)</f>
        <v>7.6596251478331198E-2</v>
      </c>
    </row>
    <row r="129" spans="1:11" x14ac:dyDescent="0.25">
      <c r="A129" s="226" t="s">
        <v>125</v>
      </c>
      <c r="B129" s="227" t="s">
        <v>148</v>
      </c>
      <c r="C129" s="230">
        <v>34400</v>
      </c>
      <c r="D129" s="230">
        <v>34400</v>
      </c>
      <c r="E129" s="230">
        <v>34400</v>
      </c>
      <c r="F129" s="230">
        <v>34400</v>
      </c>
      <c r="G129" s="230">
        <v>2867</v>
      </c>
      <c r="H129" s="728">
        <f t="shared" si="4"/>
        <v>8.3343023255813956E-2</v>
      </c>
      <c r="I129" s="27"/>
    </row>
    <row r="130" spans="1:11" ht="15.75" thickBot="1" x14ac:dyDescent="0.3">
      <c r="A130" s="217" t="s">
        <v>125</v>
      </c>
      <c r="B130" s="218" t="s">
        <v>149</v>
      </c>
      <c r="C130" s="221">
        <f>C66</f>
        <v>3600</v>
      </c>
      <c r="D130" s="221">
        <f>D66</f>
        <v>3600</v>
      </c>
      <c r="E130" s="221">
        <f>E66</f>
        <v>3600</v>
      </c>
      <c r="F130" s="221">
        <f>F66</f>
        <v>3600</v>
      </c>
      <c r="G130" s="221">
        <f>G66</f>
        <v>364</v>
      </c>
      <c r="H130" s="728">
        <f t="shared" si="4"/>
        <v>0.10111111111111111</v>
      </c>
      <c r="I130" s="27">
        <f>SUM(D129:D130)</f>
        <v>38000</v>
      </c>
      <c r="J130" s="27">
        <f>SUM(G129:G130)</f>
        <v>3231</v>
      </c>
      <c r="K130" s="27">
        <f>SUM(H129:H130)</f>
        <v>0.18445413436692507</v>
      </c>
    </row>
    <row r="131" spans="1:11" ht="15.75" thickBot="1" x14ac:dyDescent="0.3">
      <c r="A131" s="903" t="s">
        <v>150</v>
      </c>
      <c r="B131" s="904"/>
      <c r="C131" s="233">
        <f>SUM(C127:C130)</f>
        <v>759500</v>
      </c>
      <c r="D131" s="233">
        <f>SUM(D127:D130)</f>
        <v>761598</v>
      </c>
      <c r="E131" s="233">
        <f>SUM(E127:E130)</f>
        <v>761598</v>
      </c>
      <c r="F131" s="233">
        <f>SUM(F127:F130)</f>
        <v>750959</v>
      </c>
      <c r="G131" s="233">
        <f>SUM(G127:G130)</f>
        <v>58541</v>
      </c>
      <c r="H131" s="728">
        <f t="shared" si="4"/>
        <v>7.6866010677549043E-2</v>
      </c>
      <c r="I131" s="27">
        <f>D131-C131</f>
        <v>2098</v>
      </c>
      <c r="J131" s="27">
        <f>E131-D131</f>
        <v>0</v>
      </c>
      <c r="K131" s="27">
        <f>F131-E131</f>
        <v>-10639</v>
      </c>
    </row>
    <row r="132" spans="1:11" x14ac:dyDescent="0.25">
      <c r="A132" s="234" t="s">
        <v>125</v>
      </c>
      <c r="B132" s="235" t="s">
        <v>151</v>
      </c>
      <c r="C132" s="238">
        <v>298000</v>
      </c>
      <c r="D132" s="238">
        <v>298000</v>
      </c>
      <c r="E132" s="238">
        <v>298000</v>
      </c>
      <c r="F132" s="238">
        <v>298000</v>
      </c>
      <c r="G132" s="238">
        <v>24833</v>
      </c>
      <c r="H132" s="728">
        <f t="shared" si="4"/>
        <v>8.3332214765100665E-2</v>
      </c>
      <c r="I132" s="1"/>
    </row>
    <row r="133" spans="1:11" ht="15.75" thickBot="1" x14ac:dyDescent="0.3">
      <c r="A133" s="239" t="s">
        <v>125</v>
      </c>
      <c r="B133" s="240" t="s">
        <v>152</v>
      </c>
      <c r="C133" s="89">
        <f>C68</f>
        <v>13600</v>
      </c>
      <c r="D133" s="89">
        <f>D68</f>
        <v>13600</v>
      </c>
      <c r="E133" s="89">
        <f>E68</f>
        <v>13600</v>
      </c>
      <c r="F133" s="89">
        <f>F68</f>
        <v>13600</v>
      </c>
      <c r="G133" s="89">
        <f>G68</f>
        <v>205</v>
      </c>
      <c r="H133" s="728">
        <f t="shared" ref="H133:H190" si="24">G133/E133</f>
        <v>1.5073529411764706E-2</v>
      </c>
      <c r="I133" s="1"/>
    </row>
    <row r="134" spans="1:11" ht="15.75" thickBot="1" x14ac:dyDescent="0.3">
      <c r="A134" s="886" t="s">
        <v>153</v>
      </c>
      <c r="B134" s="887"/>
      <c r="C134" s="245">
        <f>SUM(C132:C133)</f>
        <v>311600</v>
      </c>
      <c r="D134" s="245">
        <f>SUM(D132:D133)</f>
        <v>311600</v>
      </c>
      <c r="E134" s="245">
        <f>SUM(E132:E133)</f>
        <v>311600</v>
      </c>
      <c r="F134" s="245">
        <f>SUM(F132:F133)</f>
        <v>311600</v>
      </c>
      <c r="G134" s="245">
        <f>SUM(G132:G133)</f>
        <v>25038</v>
      </c>
      <c r="H134" s="728">
        <f t="shared" si="24"/>
        <v>8.0353016688061621E-2</v>
      </c>
      <c r="I134" s="27">
        <f t="shared" ref="I134:K136" si="25">D134-C134</f>
        <v>0</v>
      </c>
      <c r="J134" s="27">
        <f t="shared" si="25"/>
        <v>0</v>
      </c>
      <c r="K134" s="27">
        <f t="shared" si="25"/>
        <v>0</v>
      </c>
    </row>
    <row r="135" spans="1:11" ht="22.5" customHeight="1" thickBot="1" x14ac:dyDescent="0.3">
      <c r="A135" s="872" t="s">
        <v>154</v>
      </c>
      <c r="B135" s="873"/>
      <c r="C135" s="248">
        <f>C131+C134</f>
        <v>1071100</v>
      </c>
      <c r="D135" s="248">
        <f>D131+D134</f>
        <v>1073198</v>
      </c>
      <c r="E135" s="248">
        <f>E131+E134</f>
        <v>1073198</v>
      </c>
      <c r="F135" s="248">
        <f>F131+F134</f>
        <v>1062559</v>
      </c>
      <c r="G135" s="248">
        <f>G131+G134</f>
        <v>83579</v>
      </c>
      <c r="H135" s="728">
        <f t="shared" si="24"/>
        <v>7.7878452997489744E-2</v>
      </c>
      <c r="I135" s="27">
        <f t="shared" si="25"/>
        <v>2098</v>
      </c>
      <c r="J135" s="27">
        <f t="shared" si="25"/>
        <v>0</v>
      </c>
      <c r="K135" s="27">
        <f t="shared" si="25"/>
        <v>-10639</v>
      </c>
    </row>
    <row r="136" spans="1:11" ht="27.75" customHeight="1" thickBot="1" x14ac:dyDescent="0.3">
      <c r="A136" s="249" t="s">
        <v>155</v>
      </c>
      <c r="B136" s="140"/>
      <c r="C136" s="252">
        <f>C126+C135</f>
        <v>2990485</v>
      </c>
      <c r="D136" s="252">
        <f>D126+D135</f>
        <v>2995354</v>
      </c>
      <c r="E136" s="252">
        <f>E126+E135</f>
        <v>3012464</v>
      </c>
      <c r="F136" s="252">
        <f>F126+F135</f>
        <v>3005688</v>
      </c>
      <c r="G136" s="252">
        <f>G126+G135</f>
        <v>203920</v>
      </c>
      <c r="H136" s="728">
        <f t="shared" si="24"/>
        <v>6.769209524163608E-2</v>
      </c>
      <c r="I136" s="27">
        <f t="shared" si="25"/>
        <v>4869</v>
      </c>
      <c r="J136" s="27">
        <f t="shared" si="25"/>
        <v>17110</v>
      </c>
      <c r="K136" s="27">
        <f t="shared" si="25"/>
        <v>-6776</v>
      </c>
    </row>
    <row r="137" spans="1:11" x14ac:dyDescent="0.25">
      <c r="A137" s="1"/>
      <c r="B137" s="1"/>
      <c r="C137" s="1"/>
      <c r="D137" s="1"/>
      <c r="E137" s="1"/>
      <c r="F137" s="1"/>
      <c r="G137" s="1"/>
      <c r="H137" s="728"/>
      <c r="I137" s="1"/>
    </row>
    <row r="138" spans="1:11" x14ac:dyDescent="0.25">
      <c r="A138" s="1"/>
      <c r="B138" s="1"/>
      <c r="C138" s="1"/>
      <c r="D138" s="1"/>
      <c r="E138" s="1"/>
      <c r="F138" s="1"/>
      <c r="G138" s="1"/>
      <c r="H138" s="728"/>
      <c r="I138" s="1"/>
    </row>
    <row r="139" spans="1:11" ht="18.75" thickBot="1" x14ac:dyDescent="0.3">
      <c r="A139" s="874" t="s">
        <v>156</v>
      </c>
      <c r="B139" s="875"/>
      <c r="C139" s="875"/>
      <c r="D139" s="875"/>
      <c r="E139" s="875"/>
      <c r="F139" s="875"/>
      <c r="G139" s="875"/>
      <c r="H139" s="728"/>
      <c r="I139" s="1"/>
    </row>
    <row r="140" spans="1:11" ht="38.25" customHeight="1" thickBot="1" x14ac:dyDescent="0.3">
      <c r="A140" s="876" t="s">
        <v>1</v>
      </c>
      <c r="B140" s="877"/>
      <c r="C140" s="387" t="s">
        <v>467</v>
      </c>
      <c r="D140" s="387" t="s">
        <v>465</v>
      </c>
      <c r="E140" s="387" t="s">
        <v>483</v>
      </c>
      <c r="F140" s="387" t="s">
        <v>500</v>
      </c>
      <c r="G140" s="387" t="s">
        <v>466</v>
      </c>
      <c r="H140" s="728"/>
      <c r="I140" s="1"/>
    </row>
    <row r="141" spans="1:11" ht="16.5" thickBot="1" x14ac:dyDescent="0.3">
      <c r="A141" s="878" t="s">
        <v>157</v>
      </c>
      <c r="B141" s="879"/>
      <c r="C141" s="253">
        <f>SUM(C142:C151)</f>
        <v>2593450</v>
      </c>
      <c r="D141" s="253">
        <f>SUM(D142:D151)</f>
        <v>2523450</v>
      </c>
      <c r="E141" s="253">
        <f>SUM(E142:E151)</f>
        <v>2511270</v>
      </c>
      <c r="F141" s="253">
        <f>SUM(F142:F151)</f>
        <v>2511270</v>
      </c>
      <c r="G141" s="253">
        <f>SUM(G142:G151)</f>
        <v>0</v>
      </c>
      <c r="H141" s="728">
        <f t="shared" si="24"/>
        <v>0</v>
      </c>
      <c r="I141" s="27">
        <f>D141-C141</f>
        <v>-70000</v>
      </c>
      <c r="J141" s="27">
        <f>E141-D141</f>
        <v>-12180</v>
      </c>
      <c r="K141" s="27">
        <f>F141-E141</f>
        <v>0</v>
      </c>
    </row>
    <row r="142" spans="1:11" ht="15.75" thickBot="1" x14ac:dyDescent="0.3">
      <c r="A142" s="77">
        <v>233</v>
      </c>
      <c r="B142" s="311" t="s">
        <v>158</v>
      </c>
      <c r="C142" s="255">
        <v>3000</v>
      </c>
      <c r="D142" s="255">
        <v>3000</v>
      </c>
      <c r="E142" s="255">
        <v>3000</v>
      </c>
      <c r="F142" s="255">
        <v>3000</v>
      </c>
      <c r="G142" s="255">
        <v>0</v>
      </c>
      <c r="H142" s="728">
        <f t="shared" si="24"/>
        <v>0</v>
      </c>
      <c r="I142" s="1"/>
    </row>
    <row r="143" spans="1:11" x14ac:dyDescent="0.25">
      <c r="A143" s="261">
        <v>322</v>
      </c>
      <c r="B143" s="264" t="s">
        <v>356</v>
      </c>
      <c r="C143" s="260">
        <v>145000</v>
      </c>
      <c r="D143" s="260">
        <v>145000</v>
      </c>
      <c r="E143" s="260">
        <v>145000</v>
      </c>
      <c r="F143" s="260">
        <v>145000</v>
      </c>
      <c r="G143" s="699">
        <v>0</v>
      </c>
      <c r="H143" s="728">
        <f t="shared" si="24"/>
        <v>0</v>
      </c>
      <c r="I143" s="1"/>
    </row>
    <row r="144" spans="1:11" x14ac:dyDescent="0.25">
      <c r="A144" s="261">
        <v>322</v>
      </c>
      <c r="B144" s="76" t="s">
        <v>355</v>
      </c>
      <c r="C144" s="263">
        <v>430000</v>
      </c>
      <c r="D144" s="263">
        <v>430000</v>
      </c>
      <c r="E144" s="263">
        <v>430000</v>
      </c>
      <c r="F144" s="263">
        <v>430000</v>
      </c>
      <c r="G144" s="263">
        <v>0</v>
      </c>
      <c r="H144" s="728">
        <f t="shared" si="24"/>
        <v>0</v>
      </c>
      <c r="I144" s="1"/>
    </row>
    <row r="145" spans="1:11" x14ac:dyDescent="0.25">
      <c r="A145" s="261">
        <v>322</v>
      </c>
      <c r="B145" s="84" t="s">
        <v>348</v>
      </c>
      <c r="C145" s="263">
        <v>138200</v>
      </c>
      <c r="D145" s="263">
        <v>138200</v>
      </c>
      <c r="E145" s="263">
        <v>138200</v>
      </c>
      <c r="F145" s="263">
        <v>138200</v>
      </c>
      <c r="G145" s="260">
        <v>0</v>
      </c>
      <c r="H145" s="728">
        <f t="shared" si="24"/>
        <v>0</v>
      </c>
      <c r="I145" s="1"/>
    </row>
    <row r="146" spans="1:11" x14ac:dyDescent="0.25">
      <c r="A146" s="261">
        <v>322</v>
      </c>
      <c r="B146" s="76" t="s">
        <v>353</v>
      </c>
      <c r="C146" s="263">
        <v>1146000</v>
      </c>
      <c r="D146" s="263">
        <v>1146000</v>
      </c>
      <c r="E146" s="263">
        <v>1146000</v>
      </c>
      <c r="F146" s="263">
        <v>1146000</v>
      </c>
      <c r="G146" s="260">
        <v>0</v>
      </c>
      <c r="H146" s="728">
        <f t="shared" si="24"/>
        <v>0</v>
      </c>
      <c r="I146" s="1"/>
    </row>
    <row r="147" spans="1:11" x14ac:dyDescent="0.25">
      <c r="A147" s="258">
        <v>322</v>
      </c>
      <c r="B147" s="72" t="s">
        <v>352</v>
      </c>
      <c r="C147" s="260">
        <v>379400</v>
      </c>
      <c r="D147" s="260">
        <v>379400</v>
      </c>
      <c r="E147" s="763">
        <f>379400+680</f>
        <v>380080</v>
      </c>
      <c r="F147" s="260">
        <f>379400+680</f>
        <v>380080</v>
      </c>
      <c r="G147" s="260">
        <v>0</v>
      </c>
      <c r="H147" s="728">
        <f t="shared" si="24"/>
        <v>0</v>
      </c>
      <c r="I147" s="1"/>
    </row>
    <row r="148" spans="1:11" x14ac:dyDescent="0.25">
      <c r="A148" s="258">
        <v>322</v>
      </c>
      <c r="B148" s="72" t="s">
        <v>351</v>
      </c>
      <c r="C148" s="257">
        <v>50000</v>
      </c>
      <c r="D148" s="257">
        <v>50000</v>
      </c>
      <c r="E148" s="257">
        <v>50000</v>
      </c>
      <c r="F148" s="257">
        <v>50000</v>
      </c>
      <c r="G148" s="260">
        <v>0</v>
      </c>
      <c r="H148" s="728">
        <f t="shared" si="24"/>
        <v>0</v>
      </c>
      <c r="I148" s="1"/>
    </row>
    <row r="149" spans="1:11" x14ac:dyDescent="0.25">
      <c r="A149" s="258">
        <v>322</v>
      </c>
      <c r="B149" s="114" t="s">
        <v>349</v>
      </c>
      <c r="C149" s="257">
        <v>196500</v>
      </c>
      <c r="D149" s="257">
        <v>196500</v>
      </c>
      <c r="E149" s="688">
        <f>196500-12860</f>
        <v>183640</v>
      </c>
      <c r="F149" s="257">
        <f>196500-12860</f>
        <v>183640</v>
      </c>
      <c r="G149" s="260">
        <v>0</v>
      </c>
      <c r="H149" s="728">
        <f t="shared" si="24"/>
        <v>0</v>
      </c>
      <c r="I149" s="1"/>
    </row>
    <row r="150" spans="1:11" x14ac:dyDescent="0.25">
      <c r="A150" s="258">
        <v>322</v>
      </c>
      <c r="B150" s="264" t="s">
        <v>286</v>
      </c>
      <c r="C150" s="257">
        <v>70000</v>
      </c>
      <c r="D150" s="688">
        <f>70000-70000</f>
        <v>0</v>
      </c>
      <c r="E150" s="257">
        <f>70000-70000</f>
        <v>0</v>
      </c>
      <c r="F150" s="257">
        <f>70000-70000</f>
        <v>0</v>
      </c>
      <c r="G150" s="260">
        <v>0</v>
      </c>
      <c r="H150" s="728">
        <v>0</v>
      </c>
      <c r="I150" s="1"/>
    </row>
    <row r="151" spans="1:11" ht="15.75" thickBot="1" x14ac:dyDescent="0.3">
      <c r="A151" s="506">
        <v>322</v>
      </c>
      <c r="B151" s="522" t="s">
        <v>287</v>
      </c>
      <c r="C151" s="257">
        <f>140750-105400</f>
        <v>35350</v>
      </c>
      <c r="D151" s="257">
        <f>140750-105400</f>
        <v>35350</v>
      </c>
      <c r="E151" s="257">
        <f>140750-105400</f>
        <v>35350</v>
      </c>
      <c r="F151" s="257">
        <f>140750-105400</f>
        <v>35350</v>
      </c>
      <c r="G151" s="260">
        <v>0</v>
      </c>
      <c r="H151" s="728">
        <f t="shared" si="24"/>
        <v>0</v>
      </c>
      <c r="I151" s="27"/>
      <c r="J151" s="27">
        <f t="shared" ref="J151:K151" si="26">SUM(E143:E151)</f>
        <v>2508270</v>
      </c>
      <c r="K151" s="27">
        <f t="shared" si="26"/>
        <v>2508270</v>
      </c>
    </row>
    <row r="152" spans="1:11" ht="16.5" thickBot="1" x14ac:dyDescent="0.3">
      <c r="A152" s="878" t="s">
        <v>161</v>
      </c>
      <c r="B152" s="879"/>
      <c r="C152" s="253">
        <f>SUM(C153:C170)</f>
        <v>3144736</v>
      </c>
      <c r="D152" s="253">
        <f t="shared" ref="D152:G152" si="27">SUM(D153:D170)</f>
        <v>3137146</v>
      </c>
      <c r="E152" s="253">
        <f t="shared" ref="E152:F152" si="28">SUM(E153:E170)</f>
        <v>3124966</v>
      </c>
      <c r="F152" s="253">
        <f t="shared" si="28"/>
        <v>3124966</v>
      </c>
      <c r="G152" s="253">
        <f t="shared" si="27"/>
        <v>0</v>
      </c>
      <c r="H152" s="728">
        <f t="shared" si="24"/>
        <v>0</v>
      </c>
      <c r="I152" s="27">
        <f>D152-C152</f>
        <v>-7590</v>
      </c>
      <c r="J152" s="27">
        <f>E152-D152</f>
        <v>-12180</v>
      </c>
      <c r="K152" s="27"/>
    </row>
    <row r="153" spans="1:11" x14ac:dyDescent="0.25">
      <c r="A153" s="710" t="s">
        <v>82</v>
      </c>
      <c r="B153" s="711" t="s">
        <v>200</v>
      </c>
      <c r="C153" s="268">
        <v>30000</v>
      </c>
      <c r="D153" s="268">
        <v>30000</v>
      </c>
      <c r="E153" s="268">
        <v>30000</v>
      </c>
      <c r="F153" s="268">
        <v>30000</v>
      </c>
      <c r="G153" s="268">
        <v>0</v>
      </c>
      <c r="H153" s="728">
        <f t="shared" si="24"/>
        <v>0</v>
      </c>
      <c r="I153" s="27"/>
    </row>
    <row r="154" spans="1:11" x14ac:dyDescent="0.25">
      <c r="A154" s="275" t="s">
        <v>82</v>
      </c>
      <c r="B154" s="265" t="s">
        <v>163</v>
      </c>
      <c r="C154" s="276">
        <v>1500</v>
      </c>
      <c r="D154" s="276">
        <v>1500</v>
      </c>
      <c r="E154" s="276">
        <v>1500</v>
      </c>
      <c r="F154" s="276">
        <v>1500</v>
      </c>
      <c r="G154" s="276">
        <v>0</v>
      </c>
      <c r="H154" s="728">
        <f t="shared" si="24"/>
        <v>0</v>
      </c>
      <c r="I154" s="1"/>
    </row>
    <row r="155" spans="1:11" x14ac:dyDescent="0.25">
      <c r="A155" s="280" t="s">
        <v>87</v>
      </c>
      <c r="B155" s="556" t="s">
        <v>332</v>
      </c>
      <c r="C155" s="282">
        <v>151200</v>
      </c>
      <c r="D155" s="282">
        <v>151200</v>
      </c>
      <c r="E155" s="282">
        <v>151200</v>
      </c>
      <c r="F155" s="282">
        <v>151200</v>
      </c>
      <c r="G155" s="276">
        <v>0</v>
      </c>
      <c r="H155" s="728">
        <f t="shared" si="24"/>
        <v>0</v>
      </c>
      <c r="I155" s="1"/>
    </row>
    <row r="156" spans="1:11" x14ac:dyDescent="0.25">
      <c r="A156" s="280" t="s">
        <v>89</v>
      </c>
      <c r="B156" s="281" t="s">
        <v>333</v>
      </c>
      <c r="C156" s="270">
        <v>100000</v>
      </c>
      <c r="D156" s="270">
        <v>100000</v>
      </c>
      <c r="E156" s="270">
        <v>100000</v>
      </c>
      <c r="F156" s="270">
        <v>100000</v>
      </c>
      <c r="G156" s="276">
        <v>0</v>
      </c>
      <c r="H156" s="728">
        <f t="shared" si="24"/>
        <v>0</v>
      </c>
      <c r="I156" s="1"/>
    </row>
    <row r="157" spans="1:11" x14ac:dyDescent="0.25">
      <c r="A157" s="706" t="s">
        <v>93</v>
      </c>
      <c r="B157" s="707" t="s">
        <v>350</v>
      </c>
      <c r="C157" s="270">
        <v>196500</v>
      </c>
      <c r="D157" s="270">
        <v>196500</v>
      </c>
      <c r="E157" s="753">
        <f>196500-12860</f>
        <v>183640</v>
      </c>
      <c r="F157" s="270">
        <f>196500-12860</f>
        <v>183640</v>
      </c>
      <c r="G157" s="276">
        <v>0</v>
      </c>
      <c r="H157" s="728">
        <f t="shared" si="24"/>
        <v>0</v>
      </c>
      <c r="I157" s="1"/>
    </row>
    <row r="158" spans="1:11" x14ac:dyDescent="0.25">
      <c r="A158" s="706" t="s">
        <v>164</v>
      </c>
      <c r="B158" s="708" t="s">
        <v>165</v>
      </c>
      <c r="C158" s="270">
        <v>23000</v>
      </c>
      <c r="D158" s="270">
        <v>23000</v>
      </c>
      <c r="E158" s="270">
        <v>23000</v>
      </c>
      <c r="F158" s="270">
        <v>23000</v>
      </c>
      <c r="G158" s="276">
        <v>0</v>
      </c>
      <c r="H158" s="728">
        <f t="shared" si="24"/>
        <v>0</v>
      </c>
      <c r="I158" s="1"/>
    </row>
    <row r="159" spans="1:11" x14ac:dyDescent="0.25">
      <c r="A159" s="287" t="s">
        <v>96</v>
      </c>
      <c r="B159" s="285" t="s">
        <v>475</v>
      </c>
      <c r="C159" s="270">
        <v>10000</v>
      </c>
      <c r="D159" s="270">
        <v>10000</v>
      </c>
      <c r="E159" s="753">
        <f>10000-5700</f>
        <v>4300</v>
      </c>
      <c r="F159" s="270">
        <f>10000-5700</f>
        <v>4300</v>
      </c>
      <c r="G159" s="276">
        <v>0</v>
      </c>
      <c r="H159" s="728">
        <f t="shared" si="24"/>
        <v>0</v>
      </c>
      <c r="I159" s="27"/>
    </row>
    <row r="160" spans="1:11" x14ac:dyDescent="0.25">
      <c r="A160" s="284" t="s">
        <v>96</v>
      </c>
      <c r="B160" s="493" t="s">
        <v>357</v>
      </c>
      <c r="C160" s="270">
        <v>221836</v>
      </c>
      <c r="D160" s="270">
        <v>221836</v>
      </c>
      <c r="E160" s="753">
        <f>221836-34376</f>
        <v>187460</v>
      </c>
      <c r="F160" s="270">
        <f>221836-34376</f>
        <v>187460</v>
      </c>
      <c r="G160" s="276">
        <v>0</v>
      </c>
      <c r="H160" s="728">
        <f t="shared" si="24"/>
        <v>0</v>
      </c>
      <c r="I160" s="1"/>
    </row>
    <row r="161" spans="1:11" x14ac:dyDescent="0.25">
      <c r="A161" s="287" t="s">
        <v>301</v>
      </c>
      <c r="B161" s="530" t="s">
        <v>476</v>
      </c>
      <c r="C161" s="276">
        <v>216000</v>
      </c>
      <c r="D161" s="276">
        <v>216000</v>
      </c>
      <c r="E161" s="276">
        <v>216000</v>
      </c>
      <c r="F161" s="276">
        <v>216000</v>
      </c>
      <c r="G161" s="276">
        <v>0</v>
      </c>
      <c r="H161" s="728">
        <f t="shared" si="24"/>
        <v>0</v>
      </c>
      <c r="I161" s="1"/>
    </row>
    <row r="162" spans="1:11" x14ac:dyDescent="0.25">
      <c r="A162" s="287" t="s">
        <v>98</v>
      </c>
      <c r="B162" s="492" t="s">
        <v>274</v>
      </c>
      <c r="C162" s="276">
        <v>112000</v>
      </c>
      <c r="D162" s="276">
        <v>112000</v>
      </c>
      <c r="E162" s="276">
        <v>112000</v>
      </c>
      <c r="F162" s="276">
        <v>112000</v>
      </c>
      <c r="G162" s="276">
        <v>0</v>
      </c>
      <c r="H162" s="728">
        <f t="shared" si="24"/>
        <v>0</v>
      </c>
      <c r="I162" s="27"/>
    </row>
    <row r="163" spans="1:11" x14ac:dyDescent="0.25">
      <c r="A163" s="289" t="s">
        <v>111</v>
      </c>
      <c r="B163" s="290" t="s">
        <v>337</v>
      </c>
      <c r="C163" s="282">
        <v>55000</v>
      </c>
      <c r="D163" s="282">
        <v>55000</v>
      </c>
      <c r="E163" s="282">
        <v>55000</v>
      </c>
      <c r="F163" s="282">
        <v>55000</v>
      </c>
      <c r="G163" s="276">
        <v>0</v>
      </c>
      <c r="H163" s="728">
        <f t="shared" si="24"/>
        <v>0</v>
      </c>
      <c r="I163" s="27"/>
    </row>
    <row r="164" spans="1:11" x14ac:dyDescent="0.25">
      <c r="A164" s="289" t="s">
        <v>111</v>
      </c>
      <c r="B164" s="290" t="s">
        <v>477</v>
      </c>
      <c r="C164" s="282">
        <v>196100</v>
      </c>
      <c r="D164" s="709">
        <f>196100-7590</f>
        <v>188510</v>
      </c>
      <c r="E164" s="282">
        <f>196100-7590</f>
        <v>188510</v>
      </c>
      <c r="F164" s="282">
        <f>196100-7590</f>
        <v>188510</v>
      </c>
      <c r="G164" s="276">
        <v>0</v>
      </c>
      <c r="H164" s="728">
        <f t="shared" si="24"/>
        <v>0</v>
      </c>
      <c r="I164" s="1"/>
    </row>
    <row r="165" spans="1:11" x14ac:dyDescent="0.25">
      <c r="A165" s="284" t="s">
        <v>111</v>
      </c>
      <c r="B165" s="283" t="s">
        <v>330</v>
      </c>
      <c r="C165" s="270">
        <v>30000</v>
      </c>
      <c r="D165" s="270">
        <v>30000</v>
      </c>
      <c r="E165" s="270">
        <v>30000</v>
      </c>
      <c r="F165" s="270">
        <v>30000</v>
      </c>
      <c r="G165" s="276">
        <v>0</v>
      </c>
      <c r="H165" s="728">
        <f t="shared" si="24"/>
        <v>0</v>
      </c>
      <c r="I165" s="1"/>
    </row>
    <row r="166" spans="1:11" x14ac:dyDescent="0.25">
      <c r="A166" s="289" t="s">
        <v>113</v>
      </c>
      <c r="B166" s="290" t="s">
        <v>329</v>
      </c>
      <c r="C166" s="282">
        <v>15000</v>
      </c>
      <c r="D166" s="282">
        <v>15000</v>
      </c>
      <c r="E166" s="282">
        <v>15000</v>
      </c>
      <c r="F166" s="282">
        <v>15000</v>
      </c>
      <c r="G166" s="276">
        <v>0</v>
      </c>
      <c r="H166" s="728">
        <f t="shared" si="24"/>
        <v>0</v>
      </c>
      <c r="I166" s="1"/>
    </row>
    <row r="167" spans="1:11" x14ac:dyDescent="0.25">
      <c r="A167" s="289" t="s">
        <v>113</v>
      </c>
      <c r="B167" s="283" t="s">
        <v>302</v>
      </c>
      <c r="C167" s="282">
        <v>0</v>
      </c>
      <c r="D167" s="282">
        <v>0</v>
      </c>
      <c r="E167" s="282">
        <v>0</v>
      </c>
      <c r="F167" s="282">
        <v>0</v>
      </c>
      <c r="G167" s="276">
        <v>0</v>
      </c>
      <c r="H167" s="728">
        <v>0</v>
      </c>
      <c r="I167" s="1"/>
    </row>
    <row r="168" spans="1:11" x14ac:dyDescent="0.25">
      <c r="A168" s="284" t="s">
        <v>113</v>
      </c>
      <c r="B168" s="283" t="s">
        <v>325</v>
      </c>
      <c r="C168" s="270">
        <v>412400</v>
      </c>
      <c r="D168" s="270">
        <v>412400</v>
      </c>
      <c r="E168" s="753">
        <f>412400+40756</f>
        <v>453156</v>
      </c>
      <c r="F168" s="270">
        <f>412400+40756</f>
        <v>453156</v>
      </c>
      <c r="G168" s="276">
        <v>0</v>
      </c>
      <c r="H168" s="728">
        <f t="shared" si="24"/>
        <v>0</v>
      </c>
      <c r="I168" s="27"/>
    </row>
    <row r="169" spans="1:11" ht="15.75" customHeight="1" x14ac:dyDescent="0.25">
      <c r="A169" s="292" t="s">
        <v>122</v>
      </c>
      <c r="B169" s="265" t="s">
        <v>478</v>
      </c>
      <c r="C169" s="276">
        <v>245000</v>
      </c>
      <c r="D169" s="276">
        <v>245000</v>
      </c>
      <c r="E169" s="276">
        <v>245000</v>
      </c>
      <c r="F169" s="276">
        <v>245000</v>
      </c>
      <c r="G169" s="276">
        <v>0</v>
      </c>
      <c r="H169" s="728">
        <f t="shared" si="24"/>
        <v>0</v>
      </c>
      <c r="I169" s="1"/>
    </row>
    <row r="170" spans="1:11" ht="15.75" thickBot="1" x14ac:dyDescent="0.3">
      <c r="A170" s="286" t="s">
        <v>124</v>
      </c>
      <c r="B170" s="712" t="s">
        <v>292</v>
      </c>
      <c r="C170" s="273">
        <v>1129200</v>
      </c>
      <c r="D170" s="273">
        <v>1129200</v>
      </c>
      <c r="E170" s="273">
        <v>1129200</v>
      </c>
      <c r="F170" s="273">
        <v>1129200</v>
      </c>
      <c r="G170" s="273">
        <v>0</v>
      </c>
      <c r="H170" s="728">
        <f t="shared" si="24"/>
        <v>0</v>
      </c>
      <c r="I170" s="1"/>
    </row>
    <row r="171" spans="1:11" ht="15" customHeight="1" x14ac:dyDescent="0.25">
      <c r="A171" s="294"/>
      <c r="B171" s="295"/>
      <c r="C171" s="296"/>
      <c r="D171" s="296"/>
      <c r="E171" s="296"/>
      <c r="F171" s="296"/>
      <c r="G171" s="296"/>
      <c r="H171" s="728"/>
      <c r="I171" s="1"/>
    </row>
    <row r="172" spans="1:11" x14ac:dyDescent="0.25">
      <c r="A172" s="297"/>
      <c r="B172" s="298"/>
      <c r="C172" s="299"/>
      <c r="D172" s="299"/>
      <c r="E172" s="299"/>
      <c r="F172" s="299"/>
      <c r="G172" s="299"/>
      <c r="H172" s="728"/>
      <c r="I172" s="1"/>
    </row>
    <row r="173" spans="1:11" ht="18.75" thickBot="1" x14ac:dyDescent="0.3">
      <c r="A173" s="880" t="s">
        <v>168</v>
      </c>
      <c r="B173" s="881"/>
      <c r="C173" s="881"/>
      <c r="D173" s="881"/>
      <c r="E173" s="881"/>
      <c r="F173" s="881"/>
      <c r="G173" s="881"/>
      <c r="H173" s="728"/>
      <c r="I173" s="1"/>
    </row>
    <row r="174" spans="1:11" ht="26.25" thickBot="1" x14ac:dyDescent="0.3">
      <c r="A174" s="876" t="s">
        <v>1</v>
      </c>
      <c r="B174" s="877"/>
      <c r="C174" s="387" t="s">
        <v>467</v>
      </c>
      <c r="D174" s="387" t="s">
        <v>465</v>
      </c>
      <c r="E174" s="387" t="s">
        <v>483</v>
      </c>
      <c r="F174" s="387" t="s">
        <v>500</v>
      </c>
      <c r="G174" s="387" t="s">
        <v>466</v>
      </c>
      <c r="H174" s="728"/>
      <c r="I174" s="27"/>
    </row>
    <row r="175" spans="1:11" ht="18" customHeight="1" thickBot="1" x14ac:dyDescent="0.3">
      <c r="A175" s="410" t="s">
        <v>169</v>
      </c>
      <c r="B175" s="411"/>
      <c r="C175" s="412">
        <f>SUM(C176:C187)</f>
        <v>571286</v>
      </c>
      <c r="D175" s="412">
        <f>SUM(D176:D187)</f>
        <v>638913</v>
      </c>
      <c r="E175" s="412">
        <f>SUM(E176:E187)</f>
        <v>638913</v>
      </c>
      <c r="F175" s="412">
        <f>SUM(F176:F187)</f>
        <v>638913</v>
      </c>
      <c r="G175" s="412">
        <f>SUM(G176:G187)</f>
        <v>21168</v>
      </c>
      <c r="H175" s="728">
        <f t="shared" si="24"/>
        <v>3.3131271393757836E-2</v>
      </c>
      <c r="I175" s="27">
        <f>D175-C175</f>
        <v>67627</v>
      </c>
      <c r="J175" s="27">
        <f>E175-D175</f>
        <v>0</v>
      </c>
      <c r="K175" s="27">
        <f>F175-E175</f>
        <v>0</v>
      </c>
    </row>
    <row r="176" spans="1:11" ht="15.6" customHeight="1" x14ac:dyDescent="0.25">
      <c r="A176" s="378">
        <v>453</v>
      </c>
      <c r="B176" s="379" t="s">
        <v>255</v>
      </c>
      <c r="C176" s="380">
        <f>10000+4000</f>
        <v>14000</v>
      </c>
      <c r="D176" s="704">
        <f>10000+4000+3781-160</f>
        <v>17621</v>
      </c>
      <c r="E176" s="380">
        <f>10000+4000+3781-160</f>
        <v>17621</v>
      </c>
      <c r="F176" s="380">
        <f>10000+4000+3781-160</f>
        <v>17621</v>
      </c>
      <c r="G176" s="380">
        <v>15790</v>
      </c>
      <c r="H176" s="728">
        <f t="shared" si="24"/>
        <v>0.8960898927416151</v>
      </c>
      <c r="I176" s="27"/>
    </row>
    <row r="177" spans="1:13" x14ac:dyDescent="0.25">
      <c r="A177" s="403">
        <v>453</v>
      </c>
      <c r="B177" s="404" t="s">
        <v>254</v>
      </c>
      <c r="C177" s="64">
        <v>2000</v>
      </c>
      <c r="D177" s="64">
        <v>2000</v>
      </c>
      <c r="E177" s="64">
        <v>2000</v>
      </c>
      <c r="F177" s="64">
        <v>2000</v>
      </c>
      <c r="G177" s="64">
        <v>165</v>
      </c>
      <c r="H177" s="728">
        <f t="shared" si="24"/>
        <v>8.2500000000000004E-2</v>
      </c>
      <c r="I177" s="27"/>
    </row>
    <row r="178" spans="1:13" x14ac:dyDescent="0.25">
      <c r="A178" s="700">
        <v>453</v>
      </c>
      <c r="B178" s="377" t="s">
        <v>256</v>
      </c>
      <c r="C178" s="701">
        <v>2500</v>
      </c>
      <c r="D178" s="702">
        <f>2500-2500</f>
        <v>0</v>
      </c>
      <c r="E178" s="701">
        <f>2500-2500</f>
        <v>0</v>
      </c>
      <c r="F178" s="701">
        <f>2500-2500</f>
        <v>0</v>
      </c>
      <c r="G178" s="484">
        <v>0</v>
      </c>
      <c r="H178" s="728">
        <v>0</v>
      </c>
      <c r="I178" s="27"/>
    </row>
    <row r="179" spans="1:13" x14ac:dyDescent="0.25">
      <c r="A179" s="403">
        <v>453</v>
      </c>
      <c r="B179" s="404" t="s">
        <v>472</v>
      </c>
      <c r="C179" s="64">
        <v>0</v>
      </c>
      <c r="D179" s="689">
        <v>3211</v>
      </c>
      <c r="E179" s="64">
        <v>3211</v>
      </c>
      <c r="F179" s="64">
        <v>3211</v>
      </c>
      <c r="G179" s="64">
        <v>3211</v>
      </c>
      <c r="H179" s="728">
        <f t="shared" si="24"/>
        <v>1</v>
      </c>
      <c r="I179" s="27"/>
    </row>
    <row r="180" spans="1:13" x14ac:dyDescent="0.25">
      <c r="A180" s="403">
        <v>453</v>
      </c>
      <c r="B180" s="404" t="s">
        <v>289</v>
      </c>
      <c r="C180" s="64">
        <v>1500</v>
      </c>
      <c r="D180" s="689">
        <f>1500+502</f>
        <v>2002</v>
      </c>
      <c r="E180" s="64">
        <f>1500+502</f>
        <v>2002</v>
      </c>
      <c r="F180" s="64">
        <f>1500+502</f>
        <v>2002</v>
      </c>
      <c r="G180" s="64">
        <v>2002</v>
      </c>
      <c r="H180" s="728">
        <f t="shared" si="24"/>
        <v>1</v>
      </c>
      <c r="I180" s="27"/>
    </row>
    <row r="181" spans="1:13" ht="15.75" thickBot="1" x14ac:dyDescent="0.3">
      <c r="A181" s="303">
        <v>453</v>
      </c>
      <c r="B181" s="304" t="s">
        <v>473</v>
      </c>
      <c r="C181" s="305">
        <v>0</v>
      </c>
      <c r="D181" s="690">
        <f>383</f>
        <v>383</v>
      </c>
      <c r="E181" s="305">
        <f>383</f>
        <v>383</v>
      </c>
      <c r="F181" s="305">
        <f>383</f>
        <v>383</v>
      </c>
      <c r="G181" s="305">
        <v>0</v>
      </c>
      <c r="H181" s="728">
        <f t="shared" si="24"/>
        <v>0</v>
      </c>
      <c r="I181" s="703">
        <f>SUM(C176:C181)</f>
        <v>20000</v>
      </c>
      <c r="J181" s="703">
        <f>SUM(D176:D181)</f>
        <v>25217</v>
      </c>
      <c r="K181" s="703">
        <f t="shared" ref="K181" si="29">SUM(G176:G181)</f>
        <v>21168</v>
      </c>
    </row>
    <row r="182" spans="1:13" x14ac:dyDescent="0.25">
      <c r="A182" s="378">
        <v>453</v>
      </c>
      <c r="B182" s="379" t="s">
        <v>241</v>
      </c>
      <c r="C182" s="380">
        <v>886</v>
      </c>
      <c r="D182" s="380">
        <v>886</v>
      </c>
      <c r="E182" s="380">
        <v>886</v>
      </c>
      <c r="F182" s="380">
        <v>886</v>
      </c>
      <c r="G182" s="380">
        <v>0</v>
      </c>
      <c r="H182" s="728">
        <f t="shared" si="24"/>
        <v>0</v>
      </c>
      <c r="I182" s="703"/>
      <c r="J182" s="703"/>
      <c r="K182" s="703"/>
    </row>
    <row r="183" spans="1:13" x14ac:dyDescent="0.25">
      <c r="A183" s="471">
        <v>453</v>
      </c>
      <c r="B183" s="482" t="s">
        <v>291</v>
      </c>
      <c r="C183" s="472">
        <f>105400</f>
        <v>105400</v>
      </c>
      <c r="D183" s="691">
        <f>105400-7590</f>
        <v>97810</v>
      </c>
      <c r="E183" s="472">
        <f>105400-7590</f>
        <v>97810</v>
      </c>
      <c r="F183" s="472">
        <f>105400-7590</f>
        <v>97810</v>
      </c>
      <c r="G183" s="472">
        <v>0</v>
      </c>
      <c r="H183" s="728">
        <f t="shared" si="24"/>
        <v>0</v>
      </c>
      <c r="I183" s="27"/>
      <c r="J183" s="27"/>
      <c r="K183" s="27"/>
    </row>
    <row r="184" spans="1:13" x14ac:dyDescent="0.25">
      <c r="A184" s="403">
        <v>453</v>
      </c>
      <c r="B184" s="404" t="s">
        <v>293</v>
      </c>
      <c r="C184" s="64">
        <v>0</v>
      </c>
      <c r="D184" s="689">
        <f>70000</f>
        <v>70000</v>
      </c>
      <c r="E184" s="64">
        <f>70000</f>
        <v>70000</v>
      </c>
      <c r="F184" s="64">
        <f>70000</f>
        <v>70000</v>
      </c>
      <c r="G184" s="524">
        <v>0</v>
      </c>
      <c r="H184" s="728">
        <f t="shared" si="24"/>
        <v>0</v>
      </c>
      <c r="I184" s="27"/>
    </row>
    <row r="185" spans="1:13" ht="15.75" thickBot="1" x14ac:dyDescent="0.3">
      <c r="A185" s="483">
        <v>453</v>
      </c>
      <c r="B185" s="377" t="s">
        <v>304</v>
      </c>
      <c r="C185" s="484">
        <v>100000</v>
      </c>
      <c r="D185" s="484">
        <v>100000</v>
      </c>
      <c r="E185" s="484">
        <v>100000</v>
      </c>
      <c r="F185" s="484">
        <v>100000</v>
      </c>
      <c r="G185" s="484">
        <v>0</v>
      </c>
      <c r="H185" s="728">
        <f t="shared" si="24"/>
        <v>0</v>
      </c>
      <c r="I185" s="426">
        <f>SUM(C182:C185)</f>
        <v>206286</v>
      </c>
      <c r="J185" s="426">
        <f>SUM(D182:D185)</f>
        <v>268696</v>
      </c>
      <c r="K185" s="426">
        <f t="shared" ref="K185" si="30">SUM(G182:G185)</f>
        <v>0</v>
      </c>
    </row>
    <row r="186" spans="1:13" x14ac:dyDescent="0.25">
      <c r="A186" s="378">
        <v>454</v>
      </c>
      <c r="B186" s="379" t="s">
        <v>474</v>
      </c>
      <c r="C186" s="380"/>
      <c r="D186" s="380"/>
      <c r="E186" s="380"/>
      <c r="F186" s="380"/>
      <c r="G186" s="380">
        <v>0</v>
      </c>
      <c r="H186" s="728">
        <v>0</v>
      </c>
      <c r="I186" s="27"/>
      <c r="J186" s="27"/>
      <c r="K186" s="27"/>
    </row>
    <row r="187" spans="1:13" ht="15.75" thickBot="1" x14ac:dyDescent="0.3">
      <c r="A187" s="303">
        <v>454</v>
      </c>
      <c r="B187" s="304" t="s">
        <v>266</v>
      </c>
      <c r="C187" s="305">
        <f>152000+193000</f>
        <v>345000</v>
      </c>
      <c r="D187" s="305">
        <f>152000+193000</f>
        <v>345000</v>
      </c>
      <c r="E187" s="305">
        <f>152000+193000</f>
        <v>345000</v>
      </c>
      <c r="F187" s="305">
        <f>152000+193000</f>
        <v>345000</v>
      </c>
      <c r="G187" s="305">
        <v>0</v>
      </c>
      <c r="H187" s="728">
        <f t="shared" si="24"/>
        <v>0</v>
      </c>
      <c r="I187" s="27">
        <f>SUM(C186:C187)</f>
        <v>345000</v>
      </c>
      <c r="J187" s="27">
        <f>SUM(D186:D187)</f>
        <v>345000</v>
      </c>
      <c r="K187" s="27">
        <f t="shared" ref="K187" si="31">SUM(G186:G187)</f>
        <v>0</v>
      </c>
    </row>
    <row r="188" spans="1:13" ht="16.5" thickBot="1" x14ac:dyDescent="0.3">
      <c r="A188" s="410" t="s">
        <v>171</v>
      </c>
      <c r="B188" s="411"/>
      <c r="C188" s="412">
        <f>SUM(C189:C190)</f>
        <v>1090</v>
      </c>
      <c r="D188" s="412">
        <f>SUM(D189:D190)</f>
        <v>1110</v>
      </c>
      <c r="E188" s="412">
        <f>SUM(E189:E190)</f>
        <v>1110</v>
      </c>
      <c r="F188" s="412">
        <f>SUM(F189:F190)</f>
        <v>1110</v>
      </c>
      <c r="G188" s="412">
        <f>SUM(G189:G190)</f>
        <v>89</v>
      </c>
      <c r="H188" s="728">
        <f t="shared" si="24"/>
        <v>8.018018018018018E-2</v>
      </c>
      <c r="I188" s="27">
        <f>D188-C188</f>
        <v>20</v>
      </c>
      <c r="J188" s="27">
        <f>E188-D188</f>
        <v>0</v>
      </c>
      <c r="K188" s="27">
        <f>F188-E188</f>
        <v>0</v>
      </c>
      <c r="M188" s="426"/>
    </row>
    <row r="189" spans="1:13" x14ac:dyDescent="0.25">
      <c r="A189" s="308">
        <v>819</v>
      </c>
      <c r="B189" s="309" t="s">
        <v>244</v>
      </c>
      <c r="C189" s="56">
        <v>0</v>
      </c>
      <c r="D189" s="705">
        <v>20</v>
      </c>
      <c r="E189" s="56">
        <v>20</v>
      </c>
      <c r="F189" s="56">
        <v>20</v>
      </c>
      <c r="G189" s="56">
        <v>0</v>
      </c>
      <c r="H189" s="728">
        <f t="shared" si="24"/>
        <v>0</v>
      </c>
      <c r="I189" s="27"/>
      <c r="J189" s="27"/>
      <c r="K189" s="27"/>
      <c r="M189" s="426"/>
    </row>
    <row r="190" spans="1:13" ht="15.75" thickBot="1" x14ac:dyDescent="0.3">
      <c r="A190" s="310">
        <v>821</v>
      </c>
      <c r="B190" s="311" t="s">
        <v>173</v>
      </c>
      <c r="C190" s="124">
        <v>1090</v>
      </c>
      <c r="D190" s="124">
        <v>1090</v>
      </c>
      <c r="E190" s="124">
        <v>1090</v>
      </c>
      <c r="F190" s="124">
        <v>1090</v>
      </c>
      <c r="G190" s="124">
        <v>89</v>
      </c>
      <c r="H190" s="728">
        <f t="shared" si="24"/>
        <v>8.1651376146788995E-2</v>
      </c>
      <c r="I190" s="1"/>
    </row>
    <row r="191" spans="1:13" x14ac:dyDescent="0.25">
      <c r="A191" s="297"/>
      <c r="B191" s="312"/>
      <c r="C191" s="157"/>
      <c r="D191" s="157"/>
      <c r="E191" s="157"/>
      <c r="F191" s="157"/>
      <c r="G191" s="157"/>
      <c r="H191" s="157"/>
      <c r="I191" s="1"/>
    </row>
    <row r="192" spans="1:13" ht="14.25" customHeight="1" x14ac:dyDescent="0.25">
      <c r="A192" s="101"/>
      <c r="B192" s="295"/>
      <c r="C192" s="295"/>
      <c r="D192" s="295"/>
      <c r="E192" s="295"/>
      <c r="F192" s="295"/>
      <c r="G192" s="295"/>
      <c r="H192" s="295"/>
      <c r="I192" s="295"/>
    </row>
    <row r="193" spans="1:11" ht="18.75" thickBot="1" x14ac:dyDescent="0.3">
      <c r="A193" s="882" t="s">
        <v>174</v>
      </c>
      <c r="B193" s="883"/>
      <c r="C193" s="883"/>
      <c r="D193" s="883"/>
      <c r="E193" s="883"/>
      <c r="F193" s="883"/>
      <c r="G193" s="883"/>
      <c r="H193" s="729"/>
      <c r="I193" s="1"/>
    </row>
    <row r="194" spans="1:11" ht="26.25" thickBot="1" x14ac:dyDescent="0.3">
      <c r="A194" s="876" t="s">
        <v>1</v>
      </c>
      <c r="B194" s="877"/>
      <c r="C194" s="387" t="s">
        <v>467</v>
      </c>
      <c r="D194" s="387" t="s">
        <v>465</v>
      </c>
      <c r="E194" s="387" t="s">
        <v>483</v>
      </c>
      <c r="F194" s="387" t="s">
        <v>500</v>
      </c>
      <c r="G194" s="387" t="s">
        <v>466</v>
      </c>
      <c r="H194" s="730"/>
    </row>
    <row r="195" spans="1:11" ht="15.75" x14ac:dyDescent="0.25">
      <c r="A195" s="313" t="s">
        <v>175</v>
      </c>
      <c r="B195" s="29"/>
      <c r="C195" s="314">
        <f>C71</f>
        <v>2971575</v>
      </c>
      <c r="D195" s="314">
        <f>D71</f>
        <v>2971247</v>
      </c>
      <c r="E195" s="314">
        <f>E71</f>
        <v>2988357</v>
      </c>
      <c r="F195" s="314">
        <f>F71</f>
        <v>2981581</v>
      </c>
      <c r="G195" s="314">
        <f>G71</f>
        <v>371083</v>
      </c>
      <c r="H195" s="726"/>
    </row>
    <row r="196" spans="1:11" ht="15.75" x14ac:dyDescent="0.25">
      <c r="A196" s="315" t="s">
        <v>176</v>
      </c>
      <c r="B196" s="316"/>
      <c r="C196" s="317">
        <f>C136</f>
        <v>2990485</v>
      </c>
      <c r="D196" s="317">
        <f>D136</f>
        <v>2995354</v>
      </c>
      <c r="E196" s="317">
        <f>E136</f>
        <v>3012464</v>
      </c>
      <c r="F196" s="317">
        <f>F136</f>
        <v>3005688</v>
      </c>
      <c r="G196" s="317">
        <f>G136</f>
        <v>203920</v>
      </c>
      <c r="H196" s="726"/>
      <c r="I196" s="1"/>
    </row>
    <row r="197" spans="1:11" ht="15.75" x14ac:dyDescent="0.25">
      <c r="A197" s="884" t="s">
        <v>177</v>
      </c>
      <c r="B197" s="885"/>
      <c r="C197" s="318">
        <f t="shared" ref="C197:G197" si="32">C195-C196</f>
        <v>-18910</v>
      </c>
      <c r="D197" s="318">
        <f t="shared" si="32"/>
        <v>-24107</v>
      </c>
      <c r="E197" s="318">
        <f t="shared" ref="E197:F197" si="33">E195-E196</f>
        <v>-24107</v>
      </c>
      <c r="F197" s="318">
        <f t="shared" si="33"/>
        <v>-24107</v>
      </c>
      <c r="G197" s="318">
        <f t="shared" si="32"/>
        <v>167163</v>
      </c>
      <c r="H197" s="731"/>
      <c r="I197" s="27">
        <f>C197-C190</f>
        <v>-20000</v>
      </c>
      <c r="J197" s="27">
        <f>D197-D190</f>
        <v>-25197</v>
      </c>
      <c r="K197" s="27"/>
    </row>
    <row r="198" spans="1:11" ht="15.75" x14ac:dyDescent="0.25">
      <c r="A198" s="315" t="s">
        <v>178</v>
      </c>
      <c r="B198" s="18"/>
      <c r="C198" s="317">
        <f>C141</f>
        <v>2593450</v>
      </c>
      <c r="D198" s="317">
        <f>D141</f>
        <v>2523450</v>
      </c>
      <c r="E198" s="317">
        <f>E141</f>
        <v>2511270</v>
      </c>
      <c r="F198" s="317">
        <f>F141</f>
        <v>2511270</v>
      </c>
      <c r="G198" s="317">
        <f>G141</f>
        <v>0</v>
      </c>
      <c r="H198" s="726"/>
      <c r="I198" s="1"/>
    </row>
    <row r="199" spans="1:11" ht="13.9" customHeight="1" x14ac:dyDescent="0.25">
      <c r="A199" s="315" t="s">
        <v>179</v>
      </c>
      <c r="B199" s="18"/>
      <c r="C199" s="20">
        <f>C152</f>
        <v>3144736</v>
      </c>
      <c r="D199" s="20">
        <f>D152</f>
        <v>3137146</v>
      </c>
      <c r="E199" s="20">
        <f>E152</f>
        <v>3124966</v>
      </c>
      <c r="F199" s="20">
        <f>F152</f>
        <v>3124966</v>
      </c>
      <c r="G199" s="20">
        <f>G152</f>
        <v>0</v>
      </c>
      <c r="H199" s="703"/>
      <c r="I199" s="1"/>
    </row>
    <row r="200" spans="1:11" ht="16.149999999999999" customHeight="1" x14ac:dyDescent="0.25">
      <c r="A200" s="884" t="s">
        <v>180</v>
      </c>
      <c r="B200" s="885"/>
      <c r="C200" s="318">
        <f t="shared" ref="C200:G200" si="34">C198-C199</f>
        <v>-551286</v>
      </c>
      <c r="D200" s="318">
        <f t="shared" si="34"/>
        <v>-613696</v>
      </c>
      <c r="E200" s="318">
        <f t="shared" ref="E200:F200" si="35">E198-E199</f>
        <v>-613696</v>
      </c>
      <c r="F200" s="318">
        <f t="shared" si="35"/>
        <v>-613696</v>
      </c>
      <c r="G200" s="318">
        <f t="shared" si="34"/>
        <v>0</v>
      </c>
      <c r="H200" s="731"/>
      <c r="I200" s="703"/>
      <c r="J200" s="703"/>
      <c r="K200" s="703"/>
    </row>
    <row r="201" spans="1:11" ht="15.75" x14ac:dyDescent="0.25">
      <c r="A201" s="319" t="s">
        <v>181</v>
      </c>
      <c r="B201" s="320"/>
      <c r="C201" s="321">
        <f>C175</f>
        <v>571286</v>
      </c>
      <c r="D201" s="321">
        <f>D175</f>
        <v>638913</v>
      </c>
      <c r="E201" s="321">
        <f>E175</f>
        <v>638913</v>
      </c>
      <c r="F201" s="321">
        <f>F175</f>
        <v>638913</v>
      </c>
      <c r="G201" s="321">
        <f>G175</f>
        <v>21168</v>
      </c>
      <c r="H201" s="726"/>
      <c r="I201" s="1"/>
    </row>
    <row r="202" spans="1:11" ht="15.75" x14ac:dyDescent="0.25">
      <c r="A202" s="319" t="s">
        <v>182</v>
      </c>
      <c r="B202" s="320"/>
      <c r="C202" s="321">
        <f>C188</f>
        <v>1090</v>
      </c>
      <c r="D202" s="321">
        <f>D188</f>
        <v>1110</v>
      </c>
      <c r="E202" s="321">
        <f>E188</f>
        <v>1110</v>
      </c>
      <c r="F202" s="321">
        <f>F188</f>
        <v>1110</v>
      </c>
      <c r="G202" s="321">
        <f>G188</f>
        <v>89</v>
      </c>
      <c r="H202" s="726"/>
      <c r="I202" s="1"/>
    </row>
    <row r="203" spans="1:11" ht="16.5" thickBot="1" x14ac:dyDescent="0.3">
      <c r="A203" s="870" t="s">
        <v>183</v>
      </c>
      <c r="B203" s="871"/>
      <c r="C203" s="322">
        <f t="shared" ref="C203:G203" si="36">C201-C202</f>
        <v>570196</v>
      </c>
      <c r="D203" s="322">
        <f t="shared" si="36"/>
        <v>637803</v>
      </c>
      <c r="E203" s="322">
        <f t="shared" ref="E203:F203" si="37">E201-E202</f>
        <v>637803</v>
      </c>
      <c r="F203" s="322">
        <f t="shared" si="37"/>
        <v>637803</v>
      </c>
      <c r="G203" s="322">
        <f t="shared" si="36"/>
        <v>21079</v>
      </c>
      <c r="H203" s="731"/>
      <c r="I203" s="1"/>
    </row>
    <row r="204" spans="1:11" ht="30" customHeight="1" thickBot="1" x14ac:dyDescent="0.3">
      <c r="A204" s="323" t="s">
        <v>184</v>
      </c>
      <c r="B204" s="324"/>
      <c r="C204" s="325">
        <f t="shared" ref="C204:G204" si="38">C197+C200+C203</f>
        <v>0</v>
      </c>
      <c r="D204" s="325">
        <f t="shared" si="38"/>
        <v>0</v>
      </c>
      <c r="E204" s="325">
        <f t="shared" ref="E204:F204" si="39">E197+E200+E203</f>
        <v>0</v>
      </c>
      <c r="F204" s="325">
        <f t="shared" si="39"/>
        <v>0</v>
      </c>
      <c r="G204" s="325">
        <f t="shared" si="38"/>
        <v>188242</v>
      </c>
      <c r="H204" s="731"/>
      <c r="I204" s="1"/>
    </row>
    <row r="205" spans="1:11" x14ac:dyDescent="0.25">
      <c r="A205" s="1"/>
      <c r="B205" s="1"/>
      <c r="C205" s="1"/>
      <c r="D205" s="1"/>
      <c r="E205" s="1"/>
      <c r="F205" s="1"/>
      <c r="G205" s="1"/>
      <c r="H205" s="100"/>
      <c r="I205" s="1"/>
    </row>
    <row r="206" spans="1:11" x14ac:dyDescent="0.25">
      <c r="A206" s="1"/>
      <c r="B206" s="487" t="s">
        <v>267</v>
      </c>
      <c r="C206" s="488">
        <f t="shared" ref="C206:G207" si="40">C195+C198+C201</f>
        <v>6136311</v>
      </c>
      <c r="D206" s="488">
        <f t="shared" si="40"/>
        <v>6133610</v>
      </c>
      <c r="E206" s="488">
        <f t="shared" ref="E206:F206" si="41">E195+E198+E201</f>
        <v>6138540</v>
      </c>
      <c r="F206" s="488">
        <f t="shared" si="41"/>
        <v>6131764</v>
      </c>
      <c r="G206" s="488">
        <f t="shared" si="40"/>
        <v>392251</v>
      </c>
      <c r="H206" s="732"/>
      <c r="I206" s="488">
        <f t="shared" ref="I206:K207" si="42">D206-C206</f>
        <v>-2701</v>
      </c>
      <c r="J206" s="488">
        <f t="shared" si="42"/>
        <v>4930</v>
      </c>
      <c r="K206" s="488">
        <f t="shared" si="42"/>
        <v>-6776</v>
      </c>
    </row>
    <row r="207" spans="1:11" x14ac:dyDescent="0.25">
      <c r="A207" s="1"/>
      <c r="B207" s="487" t="s">
        <v>268</v>
      </c>
      <c r="C207" s="488">
        <f t="shared" si="40"/>
        <v>6136311</v>
      </c>
      <c r="D207" s="488">
        <f t="shared" si="40"/>
        <v>6133610</v>
      </c>
      <c r="E207" s="488">
        <f t="shared" ref="E207:F207" si="43">E196+E199+E202</f>
        <v>6138540</v>
      </c>
      <c r="F207" s="488">
        <f t="shared" si="43"/>
        <v>6131764</v>
      </c>
      <c r="G207" s="488">
        <f t="shared" si="40"/>
        <v>204009</v>
      </c>
      <c r="H207" s="732"/>
      <c r="I207" s="488">
        <f t="shared" si="42"/>
        <v>-2701</v>
      </c>
      <c r="J207" s="488">
        <f t="shared" si="42"/>
        <v>4930</v>
      </c>
      <c r="K207" s="488">
        <f t="shared" si="42"/>
        <v>-6776</v>
      </c>
    </row>
    <row r="208" spans="1:11" x14ac:dyDescent="0.25">
      <c r="A208" s="1"/>
      <c r="B208" s="487"/>
      <c r="C208" s="488"/>
      <c r="D208" s="488"/>
      <c r="E208" s="488"/>
      <c r="F208" s="488"/>
      <c r="G208" s="488"/>
      <c r="H208" s="732"/>
      <c r="I208" s="488"/>
      <c r="J208" s="488"/>
      <c r="K208" s="488"/>
    </row>
    <row r="209" spans="1:11" x14ac:dyDescent="0.25">
      <c r="A209" s="1"/>
      <c r="B209" s="487" t="s">
        <v>269</v>
      </c>
      <c r="C209" s="488">
        <f>C206-C70</f>
        <v>6117611</v>
      </c>
      <c r="D209" s="488">
        <f>D206-D70</f>
        <v>6114910</v>
      </c>
      <c r="E209" s="488">
        <f>E206-E70</f>
        <v>6119840</v>
      </c>
      <c r="F209" s="488">
        <f>F206-F70</f>
        <v>6113064</v>
      </c>
      <c r="G209" s="488">
        <f>G206-G70</f>
        <v>391682</v>
      </c>
      <c r="H209" s="732"/>
      <c r="I209" s="488">
        <f t="shared" ref="I209:K210" si="44">D209-C209</f>
        <v>-2701</v>
      </c>
      <c r="J209" s="488">
        <f t="shared" si="44"/>
        <v>4930</v>
      </c>
      <c r="K209" s="488">
        <f t="shared" si="44"/>
        <v>-6776</v>
      </c>
    </row>
    <row r="210" spans="1:11" ht="11.45" customHeight="1" x14ac:dyDescent="0.25">
      <c r="A210" s="1"/>
      <c r="B210" s="487" t="s">
        <v>270</v>
      </c>
      <c r="C210" s="488">
        <f>C207-C135</f>
        <v>5065211</v>
      </c>
      <c r="D210" s="488">
        <f>D207-D135</f>
        <v>5060412</v>
      </c>
      <c r="E210" s="488">
        <f>E207-E135</f>
        <v>5065342</v>
      </c>
      <c r="F210" s="488">
        <f>F207-F135</f>
        <v>5069205</v>
      </c>
      <c r="G210" s="488">
        <f>G207-G135</f>
        <v>120430</v>
      </c>
      <c r="H210" s="732"/>
      <c r="I210" s="488">
        <f t="shared" si="44"/>
        <v>-4799</v>
      </c>
      <c r="J210" s="488">
        <f t="shared" si="44"/>
        <v>4930</v>
      </c>
      <c r="K210" s="488">
        <f t="shared" si="44"/>
        <v>3863</v>
      </c>
    </row>
    <row r="211" spans="1:11" x14ac:dyDescent="0.25">
      <c r="A211" s="1"/>
      <c r="B211" s="487"/>
      <c r="C211" s="488"/>
      <c r="D211" s="488"/>
      <c r="E211" s="488"/>
      <c r="F211" s="488"/>
      <c r="G211" s="488"/>
      <c r="H211" s="732"/>
      <c r="I211" s="488"/>
      <c r="J211" s="488"/>
      <c r="K211" s="488"/>
    </row>
    <row r="212" spans="1:11" x14ac:dyDescent="0.25">
      <c r="A212" s="1"/>
      <c r="B212" s="485" t="s">
        <v>271</v>
      </c>
      <c r="C212" s="486">
        <f t="shared" ref="C212:G213" si="45">C206-C209</f>
        <v>18700</v>
      </c>
      <c r="D212" s="486">
        <f t="shared" si="45"/>
        <v>18700</v>
      </c>
      <c r="E212" s="486">
        <f t="shared" ref="E212:F212" si="46">E206-E209</f>
        <v>18700</v>
      </c>
      <c r="F212" s="486">
        <f t="shared" si="46"/>
        <v>18700</v>
      </c>
      <c r="G212" s="486">
        <f t="shared" si="45"/>
        <v>569</v>
      </c>
      <c r="H212" s="733"/>
      <c r="I212" s="488">
        <f t="shared" ref="I212:K213" si="47">D212-C212</f>
        <v>0</v>
      </c>
      <c r="J212" s="488">
        <f t="shared" si="47"/>
        <v>0</v>
      </c>
      <c r="K212" s="488">
        <f t="shared" si="47"/>
        <v>0</v>
      </c>
    </row>
    <row r="213" spans="1:11" x14ac:dyDescent="0.25">
      <c r="A213" s="100"/>
      <c r="B213" s="485" t="s">
        <v>272</v>
      </c>
      <c r="C213" s="486">
        <f t="shared" si="45"/>
        <v>1071100</v>
      </c>
      <c r="D213" s="486">
        <f t="shared" si="45"/>
        <v>1073198</v>
      </c>
      <c r="E213" s="486">
        <f t="shared" ref="E213:F213" si="48">E207-E210</f>
        <v>1073198</v>
      </c>
      <c r="F213" s="486">
        <f t="shared" si="48"/>
        <v>1062559</v>
      </c>
      <c r="G213" s="486">
        <f t="shared" si="45"/>
        <v>83579</v>
      </c>
      <c r="H213" s="486"/>
      <c r="I213" s="488">
        <f t="shared" si="47"/>
        <v>2098</v>
      </c>
      <c r="J213" s="488">
        <f t="shared" si="47"/>
        <v>0</v>
      </c>
      <c r="K213" s="488">
        <f t="shared" si="47"/>
        <v>-10639</v>
      </c>
    </row>
    <row r="214" spans="1:11" x14ac:dyDescent="0.25">
      <c r="A214" s="1"/>
      <c r="B214" s="489"/>
      <c r="C214" s="486">
        <f t="shared" ref="C214:G214" si="49">C213-C212+C204</f>
        <v>1052400</v>
      </c>
      <c r="D214" s="486">
        <f t="shared" si="49"/>
        <v>1054498</v>
      </c>
      <c r="E214" s="486">
        <f t="shared" ref="E214:F214" si="50">E213-E212+E204</f>
        <v>1054498</v>
      </c>
      <c r="F214" s="486">
        <f t="shared" si="50"/>
        <v>1043859</v>
      </c>
      <c r="G214" s="486">
        <f t="shared" si="49"/>
        <v>271252</v>
      </c>
      <c r="H214" s="486"/>
      <c r="I214" s="489"/>
      <c r="J214" s="489"/>
    </row>
    <row r="215" spans="1:11" x14ac:dyDescent="0.25">
      <c r="A215" s="1"/>
      <c r="B215" s="327" t="s">
        <v>185</v>
      </c>
      <c r="C215" s="469"/>
      <c r="D215" s="327"/>
      <c r="E215" s="327"/>
      <c r="F215" s="327"/>
      <c r="G215" s="327"/>
      <c r="H215" s="327"/>
      <c r="I215" s="1"/>
    </row>
    <row r="216" spans="1:11" x14ac:dyDescent="0.25">
      <c r="A216" s="1"/>
      <c r="B216" s="327" t="s">
        <v>295</v>
      </c>
      <c r="C216" s="523"/>
      <c r="D216" s="327"/>
      <c r="E216" s="327"/>
      <c r="F216" s="327"/>
      <c r="G216" s="327"/>
      <c r="H216" s="327"/>
      <c r="I216" s="1"/>
    </row>
    <row r="217" spans="1:11" x14ac:dyDescent="0.25">
      <c r="A217" s="1"/>
      <c r="B217" s="327"/>
      <c r="C217" s="327"/>
      <c r="D217" s="327"/>
      <c r="E217" s="327"/>
      <c r="F217" s="327"/>
      <c r="G217" s="327"/>
      <c r="H217" s="327"/>
      <c r="I217" s="1"/>
    </row>
    <row r="218" spans="1:11" x14ac:dyDescent="0.25">
      <c r="A218" s="1"/>
      <c r="B218" s="327"/>
      <c r="C218" s="327"/>
      <c r="D218" s="327"/>
      <c r="E218" s="327"/>
      <c r="F218" s="327"/>
      <c r="G218" s="327"/>
      <c r="H218" s="327"/>
      <c r="I218" s="1"/>
    </row>
    <row r="219" spans="1:11" x14ac:dyDescent="0.25">
      <c r="A219" s="1"/>
      <c r="C219" s="327"/>
      <c r="D219" s="327"/>
      <c r="E219" s="327"/>
      <c r="F219" s="327"/>
      <c r="G219" s="327"/>
      <c r="H219" s="327"/>
      <c r="I219" s="1"/>
    </row>
    <row r="220" spans="1:11" x14ac:dyDescent="0.25">
      <c r="A220" s="1"/>
      <c r="B220" s="328" t="s">
        <v>468</v>
      </c>
      <c r="C220" s="327"/>
      <c r="D220" s="327"/>
      <c r="E220" s="327"/>
      <c r="F220" s="327"/>
      <c r="G220" s="327"/>
      <c r="H220" s="327"/>
      <c r="I220" s="1"/>
    </row>
    <row r="221" spans="1:11" x14ac:dyDescent="0.25">
      <c r="A221" s="1"/>
      <c r="C221" s="327"/>
      <c r="D221" s="327"/>
      <c r="E221" s="327"/>
      <c r="F221" s="327"/>
      <c r="G221" s="327"/>
      <c r="H221" s="327"/>
      <c r="I221" s="1"/>
    </row>
    <row r="222" spans="1:11" x14ac:dyDescent="0.25">
      <c r="A222" s="1"/>
      <c r="B222" s="327" t="s">
        <v>530</v>
      </c>
      <c r="C222" s="327"/>
      <c r="D222" s="327"/>
      <c r="E222" s="327"/>
      <c r="F222" s="327"/>
      <c r="G222" s="327"/>
      <c r="H222" s="327"/>
      <c r="I222" s="1"/>
    </row>
    <row r="223" spans="1:11" x14ac:dyDescent="0.25">
      <c r="A223" s="1"/>
      <c r="B223" s="327" t="s">
        <v>531</v>
      </c>
      <c r="C223" s="327"/>
      <c r="D223" s="327"/>
      <c r="E223" s="327"/>
      <c r="F223" s="327"/>
      <c r="G223" s="327"/>
      <c r="H223" s="327"/>
      <c r="I223" s="1"/>
    </row>
    <row r="224" spans="1:11" x14ac:dyDescent="0.25">
      <c r="A224" s="1"/>
      <c r="B224" s="327"/>
      <c r="C224" s="327"/>
      <c r="D224" s="327"/>
      <c r="E224" s="327"/>
      <c r="F224" s="327"/>
      <c r="G224" s="327"/>
      <c r="H224" s="327"/>
      <c r="I224" s="1"/>
    </row>
    <row r="225" spans="1:9" x14ac:dyDescent="0.25">
      <c r="A225" s="1"/>
      <c r="B225" s="329" t="s">
        <v>361</v>
      </c>
      <c r="C225" s="327"/>
      <c r="D225" s="327"/>
      <c r="E225" s="327"/>
      <c r="F225" s="327"/>
      <c r="G225" s="327"/>
      <c r="H225" s="327"/>
      <c r="I225" s="1"/>
    </row>
    <row r="226" spans="1:9" x14ac:dyDescent="0.25">
      <c r="A226" s="1"/>
      <c r="B226" s="329" t="s">
        <v>362</v>
      </c>
      <c r="C226" s="327"/>
      <c r="D226" s="327"/>
      <c r="E226" s="327"/>
      <c r="F226" s="327"/>
      <c r="G226" s="327"/>
      <c r="H226" s="327"/>
      <c r="I226" s="1"/>
    </row>
    <row r="227" spans="1:9" x14ac:dyDescent="0.25">
      <c r="A227" s="1"/>
      <c r="B227" s="329"/>
      <c r="C227" s="327"/>
      <c r="D227" s="327"/>
      <c r="E227" s="327"/>
      <c r="F227" s="327"/>
      <c r="G227" s="327"/>
      <c r="H227" s="327"/>
      <c r="I227" s="1"/>
    </row>
    <row r="228" spans="1:9" x14ac:dyDescent="0.25">
      <c r="A228" s="1"/>
      <c r="B228" s="329" t="s">
        <v>532</v>
      </c>
      <c r="C228" s="327"/>
      <c r="D228" s="327"/>
      <c r="E228" s="327"/>
      <c r="F228" s="327"/>
      <c r="G228" s="327"/>
      <c r="H228" s="327"/>
      <c r="I228" s="1"/>
    </row>
    <row r="229" spans="1:9" x14ac:dyDescent="0.25">
      <c r="A229" s="1"/>
      <c r="B229" s="326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326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326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326"/>
      <c r="C232" s="1"/>
      <c r="D232" s="1"/>
      <c r="E232" s="1"/>
      <c r="F232" s="1"/>
      <c r="G232" s="1"/>
      <c r="H232" s="1"/>
      <c r="I232" s="1"/>
    </row>
    <row r="233" spans="1:9" x14ac:dyDescent="0.25">
      <c r="I233" s="1"/>
    </row>
  </sheetData>
  <mergeCells count="24">
    <mergeCell ref="A134:B134"/>
    <mergeCell ref="A1:G1"/>
    <mergeCell ref="A2:B2"/>
    <mergeCell ref="A3:B3"/>
    <mergeCell ref="A11:B11"/>
    <mergeCell ref="A67:B67"/>
    <mergeCell ref="A69:B69"/>
    <mergeCell ref="A70:B70"/>
    <mergeCell ref="A74:G74"/>
    <mergeCell ref="A75:B75"/>
    <mergeCell ref="A91:B91"/>
    <mergeCell ref="A131:B131"/>
    <mergeCell ref="A203:B203"/>
    <mergeCell ref="A135:B135"/>
    <mergeCell ref="A139:G139"/>
    <mergeCell ref="A140:B140"/>
    <mergeCell ref="A141:B141"/>
    <mergeCell ref="A152:B152"/>
    <mergeCell ref="A173:G173"/>
    <mergeCell ref="A174:B174"/>
    <mergeCell ref="A193:G193"/>
    <mergeCell ref="A194:B194"/>
    <mergeCell ref="A197:B197"/>
    <mergeCell ref="A200:B200"/>
  </mergeCells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headerFooter>
    <oddHeader xml:space="preserve">&amp;CRozpočet obce Heľpa na rok 2025
1. zmena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075EA-6E3B-4A5C-B871-D1E57EA8B2AE}">
  <sheetPr>
    <pageSetUpPr fitToPage="1"/>
  </sheetPr>
  <dimension ref="A1:O232"/>
  <sheetViews>
    <sheetView zoomScale="124" zoomScaleNormal="124" workbookViewId="0">
      <selection sqref="A1:E1"/>
    </sheetView>
  </sheetViews>
  <sheetFormatPr defaultRowHeight="15" x14ac:dyDescent="0.25"/>
  <cols>
    <col min="1" max="1" width="6.42578125" customWidth="1"/>
    <col min="2" max="2" width="46.7109375" customWidth="1"/>
    <col min="3" max="5" width="12.7109375" customWidth="1"/>
    <col min="6" max="6" width="7.42578125" customWidth="1"/>
    <col min="7" max="7" width="10.85546875" customWidth="1"/>
  </cols>
  <sheetData>
    <row r="1" spans="1:15" ht="18.75" thickBot="1" x14ac:dyDescent="0.3">
      <c r="A1" s="888" t="s">
        <v>0</v>
      </c>
      <c r="B1" s="889"/>
      <c r="C1" s="889"/>
      <c r="D1" s="889"/>
      <c r="E1" s="889"/>
      <c r="F1" s="725"/>
      <c r="G1" s="1"/>
    </row>
    <row r="2" spans="1:15" ht="46.5" customHeight="1" thickBot="1" x14ac:dyDescent="0.3">
      <c r="A2" s="890" t="s">
        <v>1</v>
      </c>
      <c r="B2" s="891"/>
      <c r="C2" s="387" t="s">
        <v>467</v>
      </c>
      <c r="D2" s="387" t="s">
        <v>465</v>
      </c>
      <c r="E2" s="387" t="s">
        <v>466</v>
      </c>
      <c r="F2" s="727" t="s">
        <v>479</v>
      </c>
      <c r="G2" s="1"/>
    </row>
    <row r="3" spans="1:15" ht="15.75" thickBot="1" x14ac:dyDescent="0.3">
      <c r="A3" s="892" t="s">
        <v>4</v>
      </c>
      <c r="B3" s="893"/>
      <c r="C3" s="2">
        <f t="shared" ref="C3:E3" si="0">SUM(C4:C10)</f>
        <v>1338200</v>
      </c>
      <c r="D3" s="2">
        <f t="shared" ref="D3" si="1">SUM(D4:D10)</f>
        <v>1338200</v>
      </c>
      <c r="E3" s="2">
        <f t="shared" si="0"/>
        <v>148648</v>
      </c>
      <c r="F3" s="728">
        <f>E3/D3</f>
        <v>0.11108055597070692</v>
      </c>
      <c r="G3" s="1"/>
    </row>
    <row r="4" spans="1:15" ht="15.75" thickBot="1" x14ac:dyDescent="0.3">
      <c r="A4" s="3">
        <v>111</v>
      </c>
      <c r="B4" s="120" t="s">
        <v>5</v>
      </c>
      <c r="C4" s="6">
        <v>1227300</v>
      </c>
      <c r="D4" s="6">
        <v>1227300</v>
      </c>
      <c r="E4" s="6">
        <v>128620</v>
      </c>
      <c r="F4" s="728">
        <f t="shared" ref="F4:F67" si="2">E4/D4</f>
        <v>0.10479915261142345</v>
      </c>
      <c r="G4" s="1"/>
    </row>
    <row r="5" spans="1:15" ht="15.75" thickBot="1" x14ac:dyDescent="0.3">
      <c r="A5" s="7">
        <v>121</v>
      </c>
      <c r="B5" s="332" t="s">
        <v>6</v>
      </c>
      <c r="C5" s="11">
        <v>61200</v>
      </c>
      <c r="D5" s="11">
        <v>61200</v>
      </c>
      <c r="E5" s="11">
        <v>6549</v>
      </c>
      <c r="F5" s="728">
        <f t="shared" si="2"/>
        <v>0.10700980392156863</v>
      </c>
      <c r="G5" s="1"/>
    </row>
    <row r="6" spans="1:15" x14ac:dyDescent="0.25">
      <c r="A6" s="12">
        <v>133</v>
      </c>
      <c r="B6" s="333" t="s">
        <v>7</v>
      </c>
      <c r="C6" s="16">
        <v>2000</v>
      </c>
      <c r="D6" s="16">
        <v>2000</v>
      </c>
      <c r="E6" s="16">
        <v>560</v>
      </c>
      <c r="F6" s="728">
        <f t="shared" si="2"/>
        <v>0.28000000000000003</v>
      </c>
      <c r="G6" s="1"/>
    </row>
    <row r="7" spans="1:15" x14ac:dyDescent="0.25">
      <c r="A7" s="17">
        <v>133</v>
      </c>
      <c r="B7" s="334" t="s">
        <v>8</v>
      </c>
      <c r="C7" s="21">
        <v>200</v>
      </c>
      <c r="D7" s="21">
        <v>200</v>
      </c>
      <c r="E7" s="21">
        <v>0</v>
      </c>
      <c r="F7" s="728">
        <f t="shared" si="2"/>
        <v>0</v>
      </c>
      <c r="G7" s="1"/>
    </row>
    <row r="8" spans="1:15" x14ac:dyDescent="0.25">
      <c r="A8" s="17">
        <v>133</v>
      </c>
      <c r="B8" s="334" t="s">
        <v>9</v>
      </c>
      <c r="C8" s="21">
        <v>6000</v>
      </c>
      <c r="D8" s="21">
        <v>6000</v>
      </c>
      <c r="E8" s="21">
        <v>252</v>
      </c>
      <c r="F8" s="728">
        <f t="shared" si="2"/>
        <v>4.2000000000000003E-2</v>
      </c>
      <c r="G8" s="1"/>
    </row>
    <row r="9" spans="1:15" x14ac:dyDescent="0.25">
      <c r="A9" s="17">
        <v>133</v>
      </c>
      <c r="B9" s="334" t="s">
        <v>10</v>
      </c>
      <c r="C9" s="21">
        <v>6500</v>
      </c>
      <c r="D9" s="21">
        <v>6500</v>
      </c>
      <c r="E9" s="21">
        <v>106</v>
      </c>
      <c r="F9" s="728">
        <f t="shared" si="2"/>
        <v>1.6307692307692308E-2</v>
      </c>
      <c r="G9" s="1"/>
    </row>
    <row r="10" spans="1:15" ht="15.75" thickBot="1" x14ac:dyDescent="0.3">
      <c r="A10" s="22">
        <v>133</v>
      </c>
      <c r="B10" s="335" t="s">
        <v>11</v>
      </c>
      <c r="C10" s="26">
        <v>35000</v>
      </c>
      <c r="D10" s="26">
        <v>35000</v>
      </c>
      <c r="E10" s="26">
        <v>12561</v>
      </c>
      <c r="F10" s="728">
        <f t="shared" si="2"/>
        <v>0.35888571428571431</v>
      </c>
      <c r="G10" s="27">
        <f>SUM(D6:D10)</f>
        <v>49700</v>
      </c>
      <c r="H10" s="27">
        <f>SUM(E6:E10)</f>
        <v>13479</v>
      </c>
      <c r="I10" s="27"/>
      <c r="J10" s="27"/>
      <c r="K10" s="27"/>
      <c r="L10" s="27"/>
      <c r="M10" s="27"/>
    </row>
    <row r="11" spans="1:15" ht="15.75" thickBot="1" x14ac:dyDescent="0.3">
      <c r="A11" s="892" t="s">
        <v>12</v>
      </c>
      <c r="B11" s="893"/>
      <c r="C11" s="336">
        <f>SUM(C12:C30)</f>
        <v>247720</v>
      </c>
      <c r="D11" s="336">
        <f>SUM(D12:D30)</f>
        <v>247720</v>
      </c>
      <c r="E11" s="336">
        <f>SUM(E12:E30)</f>
        <v>13528</v>
      </c>
      <c r="F11" s="728">
        <f t="shared" si="2"/>
        <v>5.4610043597610208E-2</v>
      </c>
      <c r="G11" s="1"/>
    </row>
    <row r="12" spans="1:15" x14ac:dyDescent="0.25">
      <c r="A12" s="28">
        <v>212</v>
      </c>
      <c r="B12" s="29" t="s">
        <v>13</v>
      </c>
      <c r="C12" s="32">
        <v>3032</v>
      </c>
      <c r="D12" s="692">
        <f>3032-20+127</f>
        <v>3139</v>
      </c>
      <c r="E12" s="32">
        <v>75</v>
      </c>
      <c r="F12" s="728">
        <f t="shared" si="2"/>
        <v>2.3892959541255178E-2</v>
      </c>
      <c r="G12" s="1"/>
    </row>
    <row r="13" spans="1:15" x14ac:dyDescent="0.25">
      <c r="A13" s="17">
        <v>212</v>
      </c>
      <c r="B13" s="18" t="s">
        <v>14</v>
      </c>
      <c r="C13" s="21">
        <v>1000</v>
      </c>
      <c r="D13" s="21">
        <v>1000</v>
      </c>
      <c r="E13" s="21">
        <v>40</v>
      </c>
      <c r="F13" s="728">
        <f t="shared" si="2"/>
        <v>0.04</v>
      </c>
      <c r="G13" s="27"/>
    </row>
    <row r="14" spans="1:15" x14ac:dyDescent="0.25">
      <c r="A14" s="12">
        <v>212</v>
      </c>
      <c r="B14" s="13" t="s">
        <v>15</v>
      </c>
      <c r="C14" s="82">
        <v>3425</v>
      </c>
      <c r="D14" s="82">
        <v>3425</v>
      </c>
      <c r="E14" s="82">
        <v>336</v>
      </c>
      <c r="F14" s="728">
        <f t="shared" si="2"/>
        <v>9.8102189781021892E-2</v>
      </c>
      <c r="G14" s="1"/>
    </row>
    <row r="15" spans="1:15" x14ac:dyDescent="0.25">
      <c r="A15" s="17">
        <v>212</v>
      </c>
      <c r="B15" s="18" t="s">
        <v>16</v>
      </c>
      <c r="C15" s="21">
        <v>19463</v>
      </c>
      <c r="D15" s="693">
        <f>19463+129-236</f>
        <v>19356</v>
      </c>
      <c r="E15" s="21">
        <v>1912</v>
      </c>
      <c r="F15" s="728">
        <f t="shared" si="2"/>
        <v>9.8780739822277336E-2</v>
      </c>
      <c r="G15" s="27"/>
    </row>
    <row r="16" spans="1:15" ht="15.75" thickBot="1" x14ac:dyDescent="0.3">
      <c r="A16" s="35">
        <v>212</v>
      </c>
      <c r="B16" s="36" t="s">
        <v>17</v>
      </c>
      <c r="C16" s="39">
        <v>100</v>
      </c>
      <c r="D16" s="39">
        <v>100</v>
      </c>
      <c r="E16" s="39">
        <v>0</v>
      </c>
      <c r="F16" s="728">
        <f t="shared" si="2"/>
        <v>0</v>
      </c>
      <c r="G16" s="426">
        <f>SUM(D12:D16)</f>
        <v>27020</v>
      </c>
      <c r="H16" s="426">
        <f>SUM(E12:E16)</f>
        <v>2363</v>
      </c>
      <c r="I16" s="426"/>
      <c r="J16" s="426"/>
      <c r="K16" s="426"/>
      <c r="L16" s="426"/>
      <c r="M16" s="426"/>
      <c r="N16" s="27"/>
      <c r="O16" s="426"/>
    </row>
    <row r="17" spans="1:15" ht="15.75" thickBot="1" x14ac:dyDescent="0.3">
      <c r="A17" s="7">
        <v>221</v>
      </c>
      <c r="B17" s="8" t="s">
        <v>18</v>
      </c>
      <c r="C17" s="41">
        <v>7200</v>
      </c>
      <c r="D17" s="41">
        <v>7200</v>
      </c>
      <c r="E17" s="41">
        <v>576</v>
      </c>
      <c r="F17" s="728">
        <f t="shared" si="2"/>
        <v>0.08</v>
      </c>
      <c r="G17" s="1"/>
    </row>
    <row r="18" spans="1:15" ht="15.75" thickBot="1" x14ac:dyDescent="0.3">
      <c r="A18" s="35">
        <v>222</v>
      </c>
      <c r="B18" s="36" t="s">
        <v>19</v>
      </c>
      <c r="C18" s="39">
        <v>0</v>
      </c>
      <c r="D18" s="39">
        <v>0</v>
      </c>
      <c r="E18" s="39">
        <v>0</v>
      </c>
      <c r="F18" s="728">
        <v>0</v>
      </c>
      <c r="G18" s="1"/>
    </row>
    <row r="19" spans="1:15" x14ac:dyDescent="0.25">
      <c r="A19" s="12">
        <v>223</v>
      </c>
      <c r="B19" s="13" t="s">
        <v>20</v>
      </c>
      <c r="C19" s="16">
        <v>900</v>
      </c>
      <c r="D19" s="16">
        <v>900</v>
      </c>
      <c r="E19" s="16">
        <v>11</v>
      </c>
      <c r="F19" s="728">
        <f t="shared" si="2"/>
        <v>1.2222222222222223E-2</v>
      </c>
      <c r="G19" s="1"/>
    </row>
    <row r="20" spans="1:15" x14ac:dyDescent="0.25">
      <c r="A20" s="17">
        <v>223</v>
      </c>
      <c r="B20" s="18" t="s">
        <v>21</v>
      </c>
      <c r="C20" s="21">
        <v>25000</v>
      </c>
      <c r="D20" s="21">
        <v>25000</v>
      </c>
      <c r="E20" s="21">
        <v>1835</v>
      </c>
      <c r="F20" s="728">
        <f t="shared" si="2"/>
        <v>7.3400000000000007E-2</v>
      </c>
      <c r="G20" s="1"/>
    </row>
    <row r="21" spans="1:15" x14ac:dyDescent="0.25">
      <c r="A21" s="17">
        <v>223</v>
      </c>
      <c r="B21" s="18" t="s">
        <v>22</v>
      </c>
      <c r="C21" s="21">
        <v>100</v>
      </c>
      <c r="D21" s="21">
        <v>100</v>
      </c>
      <c r="E21" s="21">
        <v>0</v>
      </c>
      <c r="F21" s="728">
        <f t="shared" si="2"/>
        <v>0</v>
      </c>
      <c r="G21" s="1"/>
    </row>
    <row r="22" spans="1:15" x14ac:dyDescent="0.25">
      <c r="A22" s="17">
        <v>223</v>
      </c>
      <c r="B22" s="18" t="s">
        <v>290</v>
      </c>
      <c r="C22" s="21">
        <v>3000</v>
      </c>
      <c r="D22" s="21">
        <v>3000</v>
      </c>
      <c r="E22" s="21">
        <v>0</v>
      </c>
      <c r="F22" s="728">
        <f t="shared" si="2"/>
        <v>0</v>
      </c>
      <c r="G22" s="1"/>
    </row>
    <row r="23" spans="1:15" x14ac:dyDescent="0.25">
      <c r="A23" s="17">
        <v>223</v>
      </c>
      <c r="B23" s="18" t="s">
        <v>23</v>
      </c>
      <c r="C23" s="21">
        <v>2000</v>
      </c>
      <c r="D23" s="21">
        <v>2000</v>
      </c>
      <c r="E23" s="21">
        <v>0</v>
      </c>
      <c r="F23" s="728">
        <f t="shared" si="2"/>
        <v>0</v>
      </c>
      <c r="G23" s="1"/>
    </row>
    <row r="24" spans="1:15" x14ac:dyDescent="0.25">
      <c r="A24" s="17">
        <v>223</v>
      </c>
      <c r="B24" s="18" t="s">
        <v>24</v>
      </c>
      <c r="C24" s="21">
        <v>1000</v>
      </c>
      <c r="D24" s="21">
        <v>1000</v>
      </c>
      <c r="E24" s="21">
        <v>100</v>
      </c>
      <c r="F24" s="728">
        <f t="shared" si="2"/>
        <v>0.1</v>
      </c>
      <c r="G24" s="1"/>
    </row>
    <row r="25" spans="1:15" x14ac:dyDescent="0.25">
      <c r="A25" s="17">
        <v>223</v>
      </c>
      <c r="B25" s="18" t="s">
        <v>25</v>
      </c>
      <c r="C25" s="21">
        <v>46000</v>
      </c>
      <c r="D25" s="21">
        <v>46000</v>
      </c>
      <c r="E25" s="21">
        <v>681</v>
      </c>
      <c r="F25" s="728">
        <f t="shared" si="2"/>
        <v>1.4804347826086956E-2</v>
      </c>
      <c r="G25" s="1"/>
    </row>
    <row r="26" spans="1:15" x14ac:dyDescent="0.25">
      <c r="A26" s="17">
        <v>223</v>
      </c>
      <c r="B26" s="18" t="s">
        <v>26</v>
      </c>
      <c r="C26" s="21">
        <v>61000</v>
      </c>
      <c r="D26" s="21">
        <v>61000</v>
      </c>
      <c r="E26" s="21">
        <v>4697</v>
      </c>
      <c r="F26" s="728">
        <f t="shared" si="2"/>
        <v>7.6999999999999999E-2</v>
      </c>
      <c r="G26" s="1"/>
    </row>
    <row r="27" spans="1:15" x14ac:dyDescent="0.25">
      <c r="A27" s="17">
        <v>223</v>
      </c>
      <c r="B27" s="18" t="s">
        <v>28</v>
      </c>
      <c r="C27" s="21">
        <v>2100</v>
      </c>
      <c r="D27" s="21">
        <v>2100</v>
      </c>
      <c r="E27" s="21">
        <v>238</v>
      </c>
      <c r="F27" s="728">
        <f t="shared" si="2"/>
        <v>0.11333333333333333</v>
      </c>
      <c r="G27" s="1"/>
    </row>
    <row r="28" spans="1:15" x14ac:dyDescent="0.25">
      <c r="A28" s="17">
        <v>223</v>
      </c>
      <c r="B28" s="18" t="s">
        <v>214</v>
      </c>
      <c r="C28" s="21">
        <v>1300</v>
      </c>
      <c r="D28" s="21">
        <v>1300</v>
      </c>
      <c r="E28" s="21">
        <v>0</v>
      </c>
      <c r="F28" s="728">
        <f t="shared" si="2"/>
        <v>0</v>
      </c>
      <c r="G28" s="1"/>
    </row>
    <row r="29" spans="1:15" x14ac:dyDescent="0.25">
      <c r="A29" s="43">
        <v>223</v>
      </c>
      <c r="B29" s="44" t="s">
        <v>29</v>
      </c>
      <c r="C29" s="46">
        <v>71000</v>
      </c>
      <c r="D29" s="46">
        <v>71000</v>
      </c>
      <c r="E29" s="46">
        <v>3027</v>
      </c>
      <c r="F29" s="728">
        <f t="shared" si="2"/>
        <v>4.2633802816901406E-2</v>
      </c>
      <c r="G29" s="27"/>
    </row>
    <row r="30" spans="1:15" ht="15.75" thickBot="1" x14ac:dyDescent="0.3">
      <c r="A30" s="22">
        <v>223</v>
      </c>
      <c r="B30" s="23" t="s">
        <v>30</v>
      </c>
      <c r="C30" s="79">
        <v>100</v>
      </c>
      <c r="D30" s="79">
        <v>100</v>
      </c>
      <c r="E30" s="48">
        <v>0</v>
      </c>
      <c r="F30" s="728">
        <f t="shared" si="2"/>
        <v>0</v>
      </c>
      <c r="G30" s="27">
        <f>SUM(D19:D30)</f>
        <v>213500</v>
      </c>
      <c r="H30" s="27">
        <f>SUM(E19:E30)</f>
        <v>10589</v>
      </c>
      <c r="I30" s="27"/>
      <c r="J30" s="27"/>
      <c r="K30" s="27"/>
      <c r="L30" s="27"/>
      <c r="M30" s="27"/>
      <c r="N30" s="426"/>
      <c r="O30" s="426"/>
    </row>
    <row r="31" spans="1:15" ht="15.75" thickBot="1" x14ac:dyDescent="0.3">
      <c r="A31" s="585" t="s">
        <v>31</v>
      </c>
      <c r="B31" s="586"/>
      <c r="C31" s="2">
        <f t="shared" ref="C31:E31" si="3">SUM(C32)</f>
        <v>50</v>
      </c>
      <c r="D31" s="2">
        <f t="shared" si="3"/>
        <v>50</v>
      </c>
      <c r="E31" s="2">
        <f t="shared" si="3"/>
        <v>1</v>
      </c>
      <c r="F31" s="728">
        <f t="shared" si="2"/>
        <v>0.02</v>
      </c>
      <c r="G31" s="27">
        <f>SUM(D17:D30)</f>
        <v>220700</v>
      </c>
      <c r="H31" s="27">
        <f>SUM(E17:E30)</f>
        <v>11165</v>
      </c>
    </row>
    <row r="32" spans="1:15" ht="15.75" thickBot="1" x14ac:dyDescent="0.3">
      <c r="A32" s="51">
        <v>240</v>
      </c>
      <c r="B32" s="47" t="s">
        <v>32</v>
      </c>
      <c r="C32" s="38">
        <v>50</v>
      </c>
      <c r="D32" s="38">
        <v>50</v>
      </c>
      <c r="E32" s="38">
        <v>1</v>
      </c>
      <c r="F32" s="728">
        <f t="shared" si="2"/>
        <v>0.02</v>
      </c>
      <c r="G32" s="1"/>
    </row>
    <row r="33" spans="1:9" ht="15.75" thickBot="1" x14ac:dyDescent="0.3">
      <c r="A33" s="585" t="s">
        <v>33</v>
      </c>
      <c r="B33" s="586"/>
      <c r="C33" s="336">
        <f>SUM(C34:C38)</f>
        <v>60240</v>
      </c>
      <c r="D33" s="336">
        <f>SUM(D34:D38)</f>
        <v>60255</v>
      </c>
      <c r="E33" s="336">
        <f>SUM(E34:E38)</f>
        <v>17729</v>
      </c>
      <c r="F33" s="728">
        <f t="shared" si="2"/>
        <v>0.29423284374740688</v>
      </c>
      <c r="G33" s="1"/>
    </row>
    <row r="34" spans="1:9" x14ac:dyDescent="0.25">
      <c r="A34" s="57">
        <v>292</v>
      </c>
      <c r="B34" s="58" t="s">
        <v>36</v>
      </c>
      <c r="C34" s="61">
        <v>10000</v>
      </c>
      <c r="D34" s="695">
        <f>10000+4250</f>
        <v>14250</v>
      </c>
      <c r="E34" s="61">
        <v>14231</v>
      </c>
      <c r="F34" s="728">
        <f t="shared" si="2"/>
        <v>0.9986666666666667</v>
      </c>
      <c r="G34" s="1"/>
    </row>
    <row r="35" spans="1:9" x14ac:dyDescent="0.25">
      <c r="A35" s="57">
        <v>292</v>
      </c>
      <c r="B35" s="58" t="s">
        <v>37</v>
      </c>
      <c r="C35" s="60">
        <v>500</v>
      </c>
      <c r="D35" s="60">
        <v>500</v>
      </c>
      <c r="E35" s="60">
        <v>29</v>
      </c>
      <c r="F35" s="728">
        <f t="shared" si="2"/>
        <v>5.8000000000000003E-2</v>
      </c>
      <c r="G35" s="1"/>
    </row>
    <row r="36" spans="1:9" x14ac:dyDescent="0.25">
      <c r="A36" s="57">
        <v>292</v>
      </c>
      <c r="B36" s="18" t="s">
        <v>38</v>
      </c>
      <c r="C36" s="64">
        <v>380</v>
      </c>
      <c r="D36" s="689">
        <f>380+15</f>
        <v>395</v>
      </c>
      <c r="E36" s="64">
        <v>0</v>
      </c>
      <c r="F36" s="728">
        <f t="shared" si="2"/>
        <v>0</v>
      </c>
      <c r="G36" s="1"/>
    </row>
    <row r="37" spans="1:9" x14ac:dyDescent="0.25">
      <c r="A37" s="57">
        <v>292</v>
      </c>
      <c r="B37" s="58" t="s">
        <v>188</v>
      </c>
      <c r="C37" s="60">
        <f>49730-C36</f>
        <v>49350</v>
      </c>
      <c r="D37" s="694">
        <f>49730+15-4250-D36</f>
        <v>45100</v>
      </c>
      <c r="E37" s="60">
        <v>3469</v>
      </c>
      <c r="F37" s="728">
        <f t="shared" si="2"/>
        <v>7.6917960088691797E-2</v>
      </c>
      <c r="G37" s="27">
        <f>SUM(D36:D37)</f>
        <v>45495</v>
      </c>
      <c r="H37" s="27">
        <f>SUM(E36:E37)</f>
        <v>3469</v>
      </c>
      <c r="I37" s="27"/>
    </row>
    <row r="38" spans="1:9" ht="15.75" thickBot="1" x14ac:dyDescent="0.3">
      <c r="A38" s="57">
        <v>292</v>
      </c>
      <c r="B38" s="58" t="s">
        <v>260</v>
      </c>
      <c r="C38" s="60">
        <v>10</v>
      </c>
      <c r="D38" s="60">
        <v>10</v>
      </c>
      <c r="E38" s="60">
        <v>0</v>
      </c>
      <c r="F38" s="728">
        <f t="shared" si="2"/>
        <v>0</v>
      </c>
      <c r="G38" s="1"/>
    </row>
    <row r="39" spans="1:9" ht="15.75" thickBot="1" x14ac:dyDescent="0.3">
      <c r="A39" s="65" t="s">
        <v>39</v>
      </c>
      <c r="B39" s="340"/>
      <c r="C39" s="336">
        <f>SUM(C40:C62)</f>
        <v>1306665</v>
      </c>
      <c r="D39" s="336">
        <f>SUM(D40:D62)</f>
        <v>1306322</v>
      </c>
      <c r="E39" s="336">
        <f>SUM(E40:E62)</f>
        <v>190608</v>
      </c>
      <c r="F39" s="728">
        <f t="shared" si="2"/>
        <v>0.1459119573887602</v>
      </c>
      <c r="G39" s="1"/>
    </row>
    <row r="40" spans="1:9" x14ac:dyDescent="0.25">
      <c r="A40" s="67">
        <v>311</v>
      </c>
      <c r="B40" s="341" t="s">
        <v>40</v>
      </c>
      <c r="C40" s="68">
        <v>0</v>
      </c>
      <c r="D40" s="68">
        <v>0</v>
      </c>
      <c r="E40" s="68">
        <v>0</v>
      </c>
      <c r="F40" s="728">
        <v>0</v>
      </c>
      <c r="G40" s="1"/>
    </row>
    <row r="41" spans="1:9" x14ac:dyDescent="0.25">
      <c r="A41" s="67">
        <v>312</v>
      </c>
      <c r="B41" s="334" t="s">
        <v>279</v>
      </c>
      <c r="C41" s="70">
        <v>69225</v>
      </c>
      <c r="D41" s="70">
        <v>69225</v>
      </c>
      <c r="E41" s="70">
        <v>49246</v>
      </c>
      <c r="F41" s="728">
        <f t="shared" si="2"/>
        <v>0.71139039364391476</v>
      </c>
      <c r="G41" s="1"/>
    </row>
    <row r="42" spans="1:9" x14ac:dyDescent="0.25">
      <c r="A42" s="71">
        <v>312</v>
      </c>
      <c r="B42" s="334" t="s">
        <v>193</v>
      </c>
      <c r="C42" s="16">
        <f>62400+500</f>
        <v>62900</v>
      </c>
      <c r="D42" s="16">
        <f>62400+500</f>
        <v>62900</v>
      </c>
      <c r="E42" s="16">
        <v>44584</v>
      </c>
      <c r="F42" s="728">
        <f t="shared" si="2"/>
        <v>0.70880763116057233</v>
      </c>
      <c r="G42" s="1"/>
    </row>
    <row r="43" spans="1:9" x14ac:dyDescent="0.25">
      <c r="A43" s="71">
        <v>312</v>
      </c>
      <c r="B43" s="334" t="s">
        <v>194</v>
      </c>
      <c r="C43" s="16">
        <v>500</v>
      </c>
      <c r="D43" s="16">
        <v>500</v>
      </c>
      <c r="E43" s="16">
        <v>60</v>
      </c>
      <c r="F43" s="728">
        <f t="shared" si="2"/>
        <v>0.12</v>
      </c>
      <c r="G43" s="27"/>
    </row>
    <row r="44" spans="1:9" x14ac:dyDescent="0.25">
      <c r="A44" s="71">
        <v>312</v>
      </c>
      <c r="B44" s="114" t="s">
        <v>41</v>
      </c>
      <c r="C44" s="73">
        <v>0</v>
      </c>
      <c r="D44" s="696">
        <f>57+660</f>
        <v>717</v>
      </c>
      <c r="E44" s="73">
        <v>56</v>
      </c>
      <c r="F44" s="728">
        <f t="shared" si="2"/>
        <v>7.8103207810320777E-2</v>
      </c>
      <c r="G44" s="27"/>
    </row>
    <row r="45" spans="1:9" x14ac:dyDescent="0.25">
      <c r="A45" s="83">
        <v>312</v>
      </c>
      <c r="B45" s="114" t="s">
        <v>336</v>
      </c>
      <c r="C45" s="501">
        <v>5000</v>
      </c>
      <c r="D45" s="34">
        <v>5000</v>
      </c>
      <c r="E45" s="501">
        <v>0</v>
      </c>
      <c r="F45" s="728">
        <f t="shared" si="2"/>
        <v>0</v>
      </c>
      <c r="G45" s="27"/>
      <c r="H45" s="426"/>
    </row>
    <row r="46" spans="1:9" x14ac:dyDescent="0.25">
      <c r="A46" s="83">
        <v>312</v>
      </c>
      <c r="B46" s="114" t="s">
        <v>344</v>
      </c>
      <c r="C46" s="501">
        <v>9680</v>
      </c>
      <c r="D46" s="501">
        <v>9680</v>
      </c>
      <c r="E46" s="501">
        <v>0</v>
      </c>
      <c r="F46" s="728">
        <f t="shared" si="2"/>
        <v>0</v>
      </c>
      <c r="G46" s="27"/>
      <c r="H46" s="426"/>
    </row>
    <row r="47" spans="1:9" x14ac:dyDescent="0.25">
      <c r="A47" s="83">
        <v>312</v>
      </c>
      <c r="B47" s="114" t="s">
        <v>345</v>
      </c>
      <c r="C47" s="501"/>
      <c r="D47" s="501"/>
      <c r="E47" s="501">
        <v>0</v>
      </c>
      <c r="F47" s="728">
        <v>0</v>
      </c>
      <c r="G47" s="27"/>
      <c r="H47" s="426"/>
    </row>
    <row r="48" spans="1:9" x14ac:dyDescent="0.25">
      <c r="A48" s="476">
        <v>312</v>
      </c>
      <c r="B48" s="155" t="s">
        <v>346</v>
      </c>
      <c r="C48" s="561">
        <v>1450</v>
      </c>
      <c r="D48" s="561">
        <v>1450</v>
      </c>
      <c r="E48" s="561">
        <v>0</v>
      </c>
      <c r="F48" s="728">
        <f t="shared" si="2"/>
        <v>0</v>
      </c>
      <c r="G48" s="27"/>
      <c r="H48" s="426"/>
    </row>
    <row r="49" spans="1:9" ht="15.75" thickBot="1" x14ac:dyDescent="0.3">
      <c r="A49" s="74">
        <v>312</v>
      </c>
      <c r="B49" s="81" t="s">
        <v>43</v>
      </c>
      <c r="C49" s="75">
        <v>50</v>
      </c>
      <c r="D49" s="75">
        <v>50</v>
      </c>
      <c r="E49" s="75">
        <v>0</v>
      </c>
      <c r="F49" s="728">
        <f t="shared" si="2"/>
        <v>0</v>
      </c>
      <c r="G49" s="1"/>
    </row>
    <row r="50" spans="1:9" ht="15.75" thickBot="1" x14ac:dyDescent="0.3">
      <c r="A50" s="330">
        <v>312</v>
      </c>
      <c r="B50" s="342" t="s">
        <v>273</v>
      </c>
      <c r="C50" s="331">
        <v>4000</v>
      </c>
      <c r="D50" s="331">
        <v>4000</v>
      </c>
      <c r="E50" s="331">
        <v>0</v>
      </c>
      <c r="F50" s="728">
        <f t="shared" si="2"/>
        <v>0</v>
      </c>
      <c r="G50" s="27"/>
    </row>
    <row r="51" spans="1:9" x14ac:dyDescent="0.25">
      <c r="A51" s="71">
        <v>312</v>
      </c>
      <c r="B51" s="84" t="s">
        <v>44</v>
      </c>
      <c r="C51" s="16">
        <v>1600</v>
      </c>
      <c r="D51" s="16">
        <v>1600</v>
      </c>
      <c r="E51" s="16">
        <v>0</v>
      </c>
      <c r="F51" s="728">
        <f t="shared" si="2"/>
        <v>0</v>
      </c>
      <c r="G51" s="1"/>
    </row>
    <row r="52" spans="1:9" ht="15.75" thickBot="1" x14ac:dyDescent="0.3">
      <c r="A52" s="77">
        <v>312</v>
      </c>
      <c r="B52" s="161" t="s">
        <v>46</v>
      </c>
      <c r="C52" s="79">
        <f>350+5600</f>
        <v>5950</v>
      </c>
      <c r="D52" s="79">
        <f>350+5600</f>
        <v>5950</v>
      </c>
      <c r="E52" s="79">
        <v>0</v>
      </c>
      <c r="F52" s="728">
        <f t="shared" si="2"/>
        <v>0</v>
      </c>
      <c r="G52" s="1"/>
    </row>
    <row r="53" spans="1:9" x14ac:dyDescent="0.25">
      <c r="A53" s="71">
        <v>312</v>
      </c>
      <c r="B53" s="84" t="s">
        <v>347</v>
      </c>
      <c r="C53" s="16">
        <v>0</v>
      </c>
      <c r="D53" s="16">
        <v>0</v>
      </c>
      <c r="E53" s="16">
        <v>0</v>
      </c>
      <c r="F53" s="728">
        <v>0</v>
      </c>
      <c r="G53" s="1"/>
    </row>
    <row r="54" spans="1:9" ht="15.75" thickBot="1" x14ac:dyDescent="0.3">
      <c r="A54" s="74">
        <v>312</v>
      </c>
      <c r="B54" s="81" t="s">
        <v>48</v>
      </c>
      <c r="C54" s="75">
        <v>0</v>
      </c>
      <c r="D54" s="75">
        <v>0</v>
      </c>
      <c r="E54" s="75">
        <v>0</v>
      </c>
      <c r="F54" s="728">
        <v>0</v>
      </c>
      <c r="G54" s="1"/>
    </row>
    <row r="55" spans="1:9" x14ac:dyDescent="0.25">
      <c r="A55" s="71">
        <v>312</v>
      </c>
      <c r="B55" s="333" t="s">
        <v>49</v>
      </c>
      <c r="C55" s="82">
        <f>4800+810+40</f>
        <v>5650</v>
      </c>
      <c r="D55" s="697">
        <f>5650-10-10</f>
        <v>5630</v>
      </c>
      <c r="E55" s="82">
        <v>0</v>
      </c>
      <c r="F55" s="728">
        <f t="shared" si="2"/>
        <v>0</v>
      </c>
      <c r="G55" s="27"/>
      <c r="H55" s="27"/>
      <c r="I55" s="27"/>
    </row>
    <row r="56" spans="1:9" x14ac:dyDescent="0.25">
      <c r="A56" s="83">
        <v>312</v>
      </c>
      <c r="B56" s="343" t="s">
        <v>50</v>
      </c>
      <c r="C56" s="21">
        <f>7050+300+110</f>
        <v>7460</v>
      </c>
      <c r="D56" s="693">
        <f>7460+70</f>
        <v>7530</v>
      </c>
      <c r="E56" s="21">
        <v>0</v>
      </c>
      <c r="F56" s="728">
        <f t="shared" si="2"/>
        <v>0</v>
      </c>
      <c r="G56" s="27"/>
      <c r="H56" s="27"/>
      <c r="I56" s="27"/>
    </row>
    <row r="57" spans="1:9" x14ac:dyDescent="0.25">
      <c r="A57" s="83">
        <v>312</v>
      </c>
      <c r="B57" s="344" t="s">
        <v>308</v>
      </c>
      <c r="C57" s="33">
        <v>161700</v>
      </c>
      <c r="D57" s="698">
        <f>161700+3</f>
        <v>161703</v>
      </c>
      <c r="E57" s="33">
        <v>13475</v>
      </c>
      <c r="F57" s="728">
        <f t="shared" si="2"/>
        <v>8.3331787289042253E-2</v>
      </c>
      <c r="G57" s="27"/>
      <c r="H57" s="27"/>
      <c r="I57" s="27"/>
    </row>
    <row r="58" spans="1:9" x14ac:dyDescent="0.25">
      <c r="A58" s="71">
        <v>312</v>
      </c>
      <c r="B58" s="114" t="s">
        <v>249</v>
      </c>
      <c r="C58" s="16">
        <v>190000</v>
      </c>
      <c r="D58" s="16">
        <v>190000</v>
      </c>
      <c r="E58" s="16">
        <v>13386</v>
      </c>
      <c r="F58" s="728">
        <f t="shared" si="2"/>
        <v>7.0452631578947364E-2</v>
      </c>
      <c r="G58" s="27"/>
    </row>
    <row r="59" spans="1:9" ht="15.75" thickBot="1" x14ac:dyDescent="0.3">
      <c r="A59" s="77">
        <v>312</v>
      </c>
      <c r="B59" s="161" t="s">
        <v>51</v>
      </c>
      <c r="C59" s="79">
        <v>58200</v>
      </c>
      <c r="D59" s="79">
        <v>58200</v>
      </c>
      <c r="E59" s="79">
        <v>14491</v>
      </c>
      <c r="F59" s="728">
        <f t="shared" si="2"/>
        <v>0.24898625429553264</v>
      </c>
      <c r="G59" s="27"/>
    </row>
    <row r="60" spans="1:9" x14ac:dyDescent="0.25">
      <c r="A60" s="71">
        <v>315</v>
      </c>
      <c r="B60" s="76" t="s">
        <v>47</v>
      </c>
      <c r="C60" s="16">
        <v>3000</v>
      </c>
      <c r="D60" s="16">
        <v>3000</v>
      </c>
      <c r="E60" s="16">
        <v>0</v>
      </c>
      <c r="F60" s="728">
        <f t="shared" si="2"/>
        <v>0</v>
      </c>
      <c r="G60" s="1"/>
    </row>
    <row r="61" spans="1:9" ht="15.75" thickBot="1" x14ac:dyDescent="0.3">
      <c r="A61" s="77">
        <v>315</v>
      </c>
      <c r="B61" s="78" t="s">
        <v>236</v>
      </c>
      <c r="C61" s="79">
        <v>300</v>
      </c>
      <c r="D61" s="79">
        <v>300</v>
      </c>
      <c r="E61" s="79">
        <v>0</v>
      </c>
      <c r="F61" s="728">
        <f t="shared" si="2"/>
        <v>0</v>
      </c>
      <c r="G61" s="27">
        <f>SUM(C60:C61)</f>
        <v>3300</v>
      </c>
    </row>
    <row r="62" spans="1:9" ht="15.75" thickBot="1" x14ac:dyDescent="0.3">
      <c r="A62" s="514">
        <v>312</v>
      </c>
      <c r="B62" s="515" t="s">
        <v>307</v>
      </c>
      <c r="C62" s="519">
        <v>720000</v>
      </c>
      <c r="D62" s="724">
        <f>720000-1806+693</f>
        <v>718887</v>
      </c>
      <c r="E62" s="519">
        <v>55310</v>
      </c>
      <c r="F62" s="728">
        <f t="shared" si="2"/>
        <v>7.6938378354317161E-2</v>
      </c>
      <c r="G62" s="27"/>
      <c r="H62" s="27"/>
      <c r="I62" s="27"/>
    </row>
    <row r="63" spans="1:9" ht="21" customHeight="1" thickBot="1" x14ac:dyDescent="0.3">
      <c r="A63" s="85" t="s">
        <v>52</v>
      </c>
      <c r="B63" s="345"/>
      <c r="C63" s="358">
        <f>SUM(C3+C11+C31+C33+C39)</f>
        <v>2952875</v>
      </c>
      <c r="D63" s="358">
        <f>SUM(D3+D11+D31+D33+D39)</f>
        <v>2952547</v>
      </c>
      <c r="E63" s="358">
        <f>SUM(E3+E11+E31+E33+E39)</f>
        <v>370514</v>
      </c>
      <c r="F63" s="728">
        <f t="shared" si="2"/>
        <v>0.12548961964026314</v>
      </c>
      <c r="G63" s="27">
        <f>D63-C63</f>
        <v>-328</v>
      </c>
    </row>
    <row r="64" spans="1:9" x14ac:dyDescent="0.25">
      <c r="A64" s="87" t="s">
        <v>53</v>
      </c>
      <c r="B64" s="88" t="s">
        <v>54</v>
      </c>
      <c r="C64" s="89">
        <f>1500</f>
        <v>1500</v>
      </c>
      <c r="D64" s="89">
        <f>1500</f>
        <v>1500</v>
      </c>
      <c r="E64" s="89">
        <v>0</v>
      </c>
      <c r="F64" s="728">
        <f t="shared" si="2"/>
        <v>0</v>
      </c>
      <c r="G64" s="1"/>
    </row>
    <row r="65" spans="1:7" ht="15.75" thickBot="1" x14ac:dyDescent="0.3">
      <c r="A65" s="90" t="s">
        <v>53</v>
      </c>
      <c r="B65" s="88" t="s">
        <v>55</v>
      </c>
      <c r="C65" s="91">
        <v>3600</v>
      </c>
      <c r="D65" s="91">
        <v>3600</v>
      </c>
      <c r="E65" s="91">
        <v>364</v>
      </c>
      <c r="F65" s="728">
        <f t="shared" si="2"/>
        <v>0.10111111111111111</v>
      </c>
      <c r="G65" s="1"/>
    </row>
    <row r="66" spans="1:7" ht="19.899999999999999" customHeight="1" thickBot="1" x14ac:dyDescent="0.3">
      <c r="A66" s="894" t="s">
        <v>57</v>
      </c>
      <c r="B66" s="895"/>
      <c r="C66" s="95">
        <f>SUM(C64:C65)</f>
        <v>5100</v>
      </c>
      <c r="D66" s="95">
        <f>SUM(D64:D65)</f>
        <v>5100</v>
      </c>
      <c r="E66" s="95">
        <f>SUM(E64:E65)</f>
        <v>364</v>
      </c>
      <c r="F66" s="728">
        <f t="shared" si="2"/>
        <v>7.1372549019607837E-2</v>
      </c>
      <c r="G66" s="27">
        <f>D66-C66</f>
        <v>0</v>
      </c>
    </row>
    <row r="67" spans="1:7" ht="16.5" thickBot="1" x14ac:dyDescent="0.3">
      <c r="A67" s="96" t="s">
        <v>53</v>
      </c>
      <c r="B67" s="97" t="s">
        <v>58</v>
      </c>
      <c r="C67" s="418">
        <v>13600</v>
      </c>
      <c r="D67" s="418">
        <v>13600</v>
      </c>
      <c r="E67" s="418">
        <v>205</v>
      </c>
      <c r="F67" s="728">
        <f t="shared" si="2"/>
        <v>1.5073529411764706E-2</v>
      </c>
      <c r="G67" s="103"/>
    </row>
    <row r="68" spans="1:7" ht="21" customHeight="1" thickBot="1" x14ac:dyDescent="0.3">
      <c r="A68" s="894" t="s">
        <v>217</v>
      </c>
      <c r="B68" s="895"/>
      <c r="C68" s="414">
        <f>SUM(C67:C67)</f>
        <v>13600</v>
      </c>
      <c r="D68" s="414">
        <f>SUM(D67:D67)</f>
        <v>13600</v>
      </c>
      <c r="E68" s="414">
        <f>SUM(E67:E67)</f>
        <v>205</v>
      </c>
      <c r="F68" s="728">
        <f t="shared" ref="F68:F131" si="4">E68/D68</f>
        <v>1.5073529411764706E-2</v>
      </c>
      <c r="G68" s="27">
        <f>D68-C68</f>
        <v>0</v>
      </c>
    </row>
    <row r="69" spans="1:7" ht="19.5" customHeight="1" thickBot="1" x14ac:dyDescent="0.3">
      <c r="A69" s="896" t="s">
        <v>59</v>
      </c>
      <c r="B69" s="897"/>
      <c r="C69" s="99">
        <f>C66+C68</f>
        <v>18700</v>
      </c>
      <c r="D69" s="99">
        <f>D66+D68</f>
        <v>18700</v>
      </c>
      <c r="E69" s="99">
        <f>E66+E68</f>
        <v>569</v>
      </c>
      <c r="F69" s="728">
        <f t="shared" si="4"/>
        <v>3.0427807486631014E-2</v>
      </c>
      <c r="G69" s="27">
        <f>D69-C69</f>
        <v>0</v>
      </c>
    </row>
    <row r="70" spans="1:7" ht="30.75" customHeight="1" thickBot="1" x14ac:dyDescent="0.3">
      <c r="A70" s="85" t="s">
        <v>60</v>
      </c>
      <c r="B70" s="66"/>
      <c r="C70" s="86">
        <f>C63+C69</f>
        <v>2971575</v>
      </c>
      <c r="D70" s="86">
        <f>D63+D69</f>
        <v>2971247</v>
      </c>
      <c r="E70" s="86">
        <f>E63+E69</f>
        <v>371083</v>
      </c>
      <c r="F70" s="728">
        <f t="shared" si="4"/>
        <v>0.12489133350408095</v>
      </c>
      <c r="G70" s="27">
        <f>D70-C70</f>
        <v>-328</v>
      </c>
    </row>
    <row r="71" spans="1:7" x14ac:dyDescent="0.25">
      <c r="A71" s="1"/>
      <c r="B71" s="1"/>
      <c r="C71" s="100"/>
      <c r="D71" s="100"/>
      <c r="E71" s="100"/>
      <c r="F71" s="728"/>
      <c r="G71" s="1"/>
    </row>
    <row r="72" spans="1:7" ht="15.75" x14ac:dyDescent="0.25">
      <c r="A72" s="101"/>
      <c r="B72" s="102"/>
      <c r="C72" s="103"/>
      <c r="D72" s="103"/>
      <c r="E72" s="103"/>
      <c r="F72" s="728"/>
      <c r="G72" s="1"/>
    </row>
    <row r="73" spans="1:7" ht="18.75" thickBot="1" x14ac:dyDescent="0.3">
      <c r="A73" s="898" t="s">
        <v>61</v>
      </c>
      <c r="B73" s="899"/>
      <c r="C73" s="899"/>
      <c r="D73" s="899"/>
      <c r="E73" s="899"/>
      <c r="F73" s="728"/>
      <c r="G73" s="1"/>
    </row>
    <row r="74" spans="1:7" ht="36" customHeight="1" thickBot="1" x14ac:dyDescent="0.3">
      <c r="A74" s="876" t="s">
        <v>1</v>
      </c>
      <c r="B74" s="900"/>
      <c r="C74" s="387" t="s">
        <v>467</v>
      </c>
      <c r="D74" s="387" t="s">
        <v>465</v>
      </c>
      <c r="E74" s="387" t="s">
        <v>466</v>
      </c>
      <c r="F74" s="728"/>
      <c r="G74" s="1"/>
    </row>
    <row r="75" spans="1:7" ht="15.75" thickBot="1" x14ac:dyDescent="0.3">
      <c r="A75" s="104" t="s">
        <v>62</v>
      </c>
      <c r="B75" s="105"/>
      <c r="C75" s="108">
        <f t="shared" ref="C75:E75" si="5">SUM(C76:C80)</f>
        <v>317110</v>
      </c>
      <c r="D75" s="108">
        <f t="shared" ref="D75" si="6">SUM(D76:D80)</f>
        <v>317090</v>
      </c>
      <c r="E75" s="108">
        <f t="shared" si="5"/>
        <v>21907</v>
      </c>
      <c r="F75" s="728">
        <f t="shared" si="4"/>
        <v>6.9087640732914943E-2</v>
      </c>
      <c r="G75" s="1"/>
    </row>
    <row r="76" spans="1:7" x14ac:dyDescent="0.25">
      <c r="A76" s="109" t="s">
        <v>63</v>
      </c>
      <c r="B76" s="84" t="s">
        <v>64</v>
      </c>
      <c r="C76" s="56">
        <v>155310</v>
      </c>
      <c r="D76" s="56">
        <v>155310</v>
      </c>
      <c r="E76" s="56">
        <v>6395</v>
      </c>
      <c r="F76" s="728">
        <f t="shared" si="4"/>
        <v>4.1175713089949134E-2</v>
      </c>
      <c r="G76" s="1"/>
    </row>
    <row r="77" spans="1:7" x14ac:dyDescent="0.25">
      <c r="A77" s="113" t="s">
        <v>65</v>
      </c>
      <c r="B77" s="114" t="s">
        <v>66</v>
      </c>
      <c r="C77" s="61">
        <v>91700</v>
      </c>
      <c r="D77" s="61">
        <v>91700</v>
      </c>
      <c r="E77" s="61">
        <v>9870</v>
      </c>
      <c r="F77" s="728">
        <f t="shared" si="4"/>
        <v>0.10763358778625955</v>
      </c>
      <c r="G77" s="1"/>
    </row>
    <row r="78" spans="1:7" x14ac:dyDescent="0.25">
      <c r="A78" s="113" t="s">
        <v>67</v>
      </c>
      <c r="B78" s="114" t="s">
        <v>68</v>
      </c>
      <c r="C78" s="61">
        <v>5200</v>
      </c>
      <c r="D78" s="61">
        <v>5200</v>
      </c>
      <c r="E78" s="61">
        <v>0</v>
      </c>
      <c r="F78" s="728">
        <f t="shared" si="4"/>
        <v>0</v>
      </c>
      <c r="G78" s="1"/>
    </row>
    <row r="79" spans="1:7" x14ac:dyDescent="0.25">
      <c r="A79" s="117" t="s">
        <v>69</v>
      </c>
      <c r="B79" s="114" t="s">
        <v>70</v>
      </c>
      <c r="C79" s="61">
        <v>64900</v>
      </c>
      <c r="D79" s="695">
        <f>64900-10-10</f>
        <v>64880</v>
      </c>
      <c r="E79" s="61">
        <v>5642</v>
      </c>
      <c r="F79" s="728">
        <f t="shared" si="4"/>
        <v>8.6960542540073987E-2</v>
      </c>
      <c r="G79" s="1"/>
    </row>
    <row r="80" spans="1:7" ht="15.75" thickBot="1" x14ac:dyDescent="0.3">
      <c r="A80" s="119" t="s">
        <v>71</v>
      </c>
      <c r="B80" s="120" t="s">
        <v>196</v>
      </c>
      <c r="C80" s="124">
        <v>0</v>
      </c>
      <c r="D80" s="124">
        <v>0</v>
      </c>
      <c r="E80" s="124">
        <v>0</v>
      </c>
      <c r="F80" s="728">
        <v>0</v>
      </c>
      <c r="G80" s="1"/>
    </row>
    <row r="81" spans="1:7" ht="15.75" thickBot="1" x14ac:dyDescent="0.3">
      <c r="A81" s="125" t="s">
        <v>72</v>
      </c>
      <c r="B81" s="126"/>
      <c r="C81" s="108">
        <f t="shared" ref="C81:E81" si="7">SUM(C82)</f>
        <v>2670</v>
      </c>
      <c r="D81" s="108">
        <f t="shared" si="7"/>
        <v>2685</v>
      </c>
      <c r="E81" s="108">
        <f t="shared" si="7"/>
        <v>0</v>
      </c>
      <c r="F81" s="728">
        <f t="shared" si="4"/>
        <v>0</v>
      </c>
      <c r="G81" s="1"/>
    </row>
    <row r="82" spans="1:7" ht="15.75" thickBot="1" x14ac:dyDescent="0.3">
      <c r="A82" s="127" t="s">
        <v>73</v>
      </c>
      <c r="B82" s="102" t="s">
        <v>219</v>
      </c>
      <c r="C82" s="130">
        <v>2670</v>
      </c>
      <c r="D82" s="713">
        <f>2670+15</f>
        <v>2685</v>
      </c>
      <c r="E82" s="130">
        <v>0</v>
      </c>
      <c r="F82" s="728">
        <f t="shared" si="4"/>
        <v>0</v>
      </c>
      <c r="G82" s="1"/>
    </row>
    <row r="83" spans="1:7" ht="15.75" thickBot="1" x14ac:dyDescent="0.3">
      <c r="A83" s="125" t="s">
        <v>74</v>
      </c>
      <c r="B83" s="126"/>
      <c r="C83" s="108">
        <f t="shared" ref="C83:E83" si="8">SUM(C84:C85)</f>
        <v>96625</v>
      </c>
      <c r="D83" s="108">
        <f t="shared" ref="D83" si="9">SUM(D84:D85)</f>
        <v>97008</v>
      </c>
      <c r="E83" s="108">
        <f t="shared" si="8"/>
        <v>192</v>
      </c>
      <c r="F83" s="728">
        <f t="shared" si="4"/>
        <v>1.9792182088075212E-3</v>
      </c>
      <c r="G83" s="1"/>
    </row>
    <row r="84" spans="1:7" x14ac:dyDescent="0.25">
      <c r="A84" s="131" t="s">
        <v>75</v>
      </c>
      <c r="B84" s="132" t="s">
        <v>76</v>
      </c>
      <c r="C84" s="135">
        <v>17600</v>
      </c>
      <c r="D84" s="135">
        <v>17600</v>
      </c>
      <c r="E84" s="135">
        <v>43</v>
      </c>
      <c r="F84" s="728">
        <f t="shared" si="4"/>
        <v>2.4431818181818183E-3</v>
      </c>
      <c r="G84" s="1"/>
    </row>
    <row r="85" spans="1:7" ht="15.75" thickBot="1" x14ac:dyDescent="0.3">
      <c r="A85" s="136" t="s">
        <v>77</v>
      </c>
      <c r="B85" s="137" t="s">
        <v>78</v>
      </c>
      <c r="C85" s="124">
        <v>79025</v>
      </c>
      <c r="D85" s="714">
        <f>79025+383</f>
        <v>79408</v>
      </c>
      <c r="E85" s="124">
        <v>149</v>
      </c>
      <c r="F85" s="728">
        <f t="shared" si="4"/>
        <v>1.876385250856337E-3</v>
      </c>
      <c r="G85" s="1"/>
    </row>
    <row r="86" spans="1:7" ht="15.75" thickBot="1" x14ac:dyDescent="0.3">
      <c r="A86" s="104" t="s">
        <v>79</v>
      </c>
      <c r="B86" s="140"/>
      <c r="C86" s="108">
        <f t="shared" ref="C86:E86" si="10">SUM(C87:C89)</f>
        <v>122230</v>
      </c>
      <c r="D86" s="108">
        <f t="shared" ref="D86" si="11">SUM(D87:D89)</f>
        <v>122300</v>
      </c>
      <c r="E86" s="108">
        <f t="shared" si="10"/>
        <v>7241</v>
      </c>
      <c r="F86" s="728">
        <f t="shared" si="4"/>
        <v>5.9206868356500408E-2</v>
      </c>
      <c r="G86" s="1"/>
    </row>
    <row r="87" spans="1:7" x14ac:dyDescent="0.25">
      <c r="A87" s="141" t="s">
        <v>80</v>
      </c>
      <c r="B87" s="142" t="s">
        <v>81</v>
      </c>
      <c r="C87" s="55">
        <v>44750</v>
      </c>
      <c r="D87" s="55">
        <v>44750</v>
      </c>
      <c r="E87" s="55">
        <v>1625</v>
      </c>
      <c r="F87" s="728">
        <f t="shared" si="4"/>
        <v>3.6312849162011177E-2</v>
      </c>
      <c r="G87" s="1"/>
    </row>
    <row r="88" spans="1:7" x14ac:dyDescent="0.25">
      <c r="A88" s="117" t="s">
        <v>82</v>
      </c>
      <c r="B88" s="114" t="s">
        <v>83</v>
      </c>
      <c r="C88" s="60">
        <v>39680</v>
      </c>
      <c r="D88" s="694">
        <f>39680+70</f>
        <v>39750</v>
      </c>
      <c r="E88" s="60">
        <v>764</v>
      </c>
      <c r="F88" s="728">
        <f t="shared" si="4"/>
        <v>1.9220125786163521E-2</v>
      </c>
      <c r="G88" s="1"/>
    </row>
    <row r="89" spans="1:7" ht="15.75" thickBot="1" x14ac:dyDescent="0.3">
      <c r="A89" s="117" t="s">
        <v>84</v>
      </c>
      <c r="B89" s="114" t="s">
        <v>85</v>
      </c>
      <c r="C89" s="60">
        <v>37800</v>
      </c>
      <c r="D89" s="60">
        <v>37800</v>
      </c>
      <c r="E89" s="60">
        <v>4852</v>
      </c>
      <c r="F89" s="728">
        <f t="shared" si="4"/>
        <v>0.12835978835978837</v>
      </c>
      <c r="G89" s="1"/>
    </row>
    <row r="90" spans="1:7" ht="15.75" thickBot="1" x14ac:dyDescent="0.3">
      <c r="A90" s="901" t="s">
        <v>86</v>
      </c>
      <c r="B90" s="902"/>
      <c r="C90" s="108">
        <f t="shared" ref="C90:E90" si="12">SUM(C91:C94)</f>
        <v>148830</v>
      </c>
      <c r="D90" s="108">
        <f t="shared" ref="D90" si="13">SUM(D91:D94)</f>
        <v>148830</v>
      </c>
      <c r="E90" s="108">
        <f t="shared" si="12"/>
        <v>6323</v>
      </c>
      <c r="F90" s="728">
        <f t="shared" si="4"/>
        <v>4.2484714103339379E-2</v>
      </c>
      <c r="G90" s="1"/>
    </row>
    <row r="91" spans="1:7" x14ac:dyDescent="0.25">
      <c r="A91" s="149" t="s">
        <v>87</v>
      </c>
      <c r="B91" s="150" t="s">
        <v>88</v>
      </c>
      <c r="C91" s="135">
        <v>95830</v>
      </c>
      <c r="D91" s="135">
        <v>95830</v>
      </c>
      <c r="E91" s="135">
        <v>5708</v>
      </c>
      <c r="F91" s="728">
        <f t="shared" si="4"/>
        <v>5.9563810915162267E-2</v>
      </c>
      <c r="G91" s="1"/>
    </row>
    <row r="92" spans="1:7" x14ac:dyDescent="0.25">
      <c r="A92" s="117" t="s">
        <v>89</v>
      </c>
      <c r="B92" s="114" t="s">
        <v>90</v>
      </c>
      <c r="C92" s="148">
        <v>39000</v>
      </c>
      <c r="D92" s="148">
        <v>39000</v>
      </c>
      <c r="E92" s="148">
        <v>379</v>
      </c>
      <c r="F92" s="728">
        <f t="shared" si="4"/>
        <v>9.7179487179487184E-3</v>
      </c>
      <c r="G92" s="1"/>
    </row>
    <row r="93" spans="1:7" x14ac:dyDescent="0.25">
      <c r="A93" s="127" t="s">
        <v>91</v>
      </c>
      <c r="B93" s="155" t="s">
        <v>92</v>
      </c>
      <c r="C93" s="159">
        <v>2000</v>
      </c>
      <c r="D93" s="159">
        <v>2000</v>
      </c>
      <c r="E93" s="159">
        <v>0</v>
      </c>
      <c r="F93" s="728">
        <f t="shared" si="4"/>
        <v>0</v>
      </c>
      <c r="G93" s="1"/>
    </row>
    <row r="94" spans="1:7" ht="15.75" thickBot="1" x14ac:dyDescent="0.3">
      <c r="A94" s="160" t="s">
        <v>93</v>
      </c>
      <c r="B94" s="161" t="s">
        <v>94</v>
      </c>
      <c r="C94" s="170">
        <v>12000</v>
      </c>
      <c r="D94" s="170">
        <v>12000</v>
      </c>
      <c r="E94" s="164">
        <v>236</v>
      </c>
      <c r="F94" s="728">
        <f t="shared" si="4"/>
        <v>1.9666666666666666E-2</v>
      </c>
      <c r="G94" s="1"/>
    </row>
    <row r="95" spans="1:7" ht="15.75" thickBot="1" x14ac:dyDescent="0.3">
      <c r="A95" s="104" t="s">
        <v>95</v>
      </c>
      <c r="B95" s="140"/>
      <c r="C95" s="106">
        <f t="shared" ref="C95:E95" si="14">SUM(C96:C99)</f>
        <v>222450</v>
      </c>
      <c r="D95" s="106">
        <f t="shared" ref="D95" si="15">SUM(D96:D99)</f>
        <v>222450</v>
      </c>
      <c r="E95" s="106">
        <f t="shared" si="14"/>
        <v>8451</v>
      </c>
      <c r="F95" s="728">
        <f t="shared" si="4"/>
        <v>3.7990559676331762E-2</v>
      </c>
      <c r="G95" s="1"/>
    </row>
    <row r="96" spans="1:7" x14ac:dyDescent="0.25">
      <c r="A96" s="141" t="s">
        <v>96</v>
      </c>
      <c r="B96" s="84" t="s">
        <v>97</v>
      </c>
      <c r="C96" s="112">
        <v>168170</v>
      </c>
      <c r="D96" s="112">
        <v>168170</v>
      </c>
      <c r="E96" s="112">
        <v>7154</v>
      </c>
      <c r="F96" s="728">
        <f t="shared" si="4"/>
        <v>4.2540286614735093E-2</v>
      </c>
      <c r="G96" s="1"/>
    </row>
    <row r="97" spans="1:9" x14ac:dyDescent="0.25">
      <c r="A97" s="141" t="s">
        <v>301</v>
      </c>
      <c r="B97" s="84" t="s">
        <v>321</v>
      </c>
      <c r="C97" s="112">
        <v>1580</v>
      </c>
      <c r="D97" s="112">
        <v>1580</v>
      </c>
      <c r="E97" s="112">
        <v>0</v>
      </c>
      <c r="F97" s="728">
        <f t="shared" si="4"/>
        <v>0</v>
      </c>
      <c r="G97" s="1"/>
    </row>
    <row r="98" spans="1:9" x14ac:dyDescent="0.25">
      <c r="A98" s="166" t="s">
        <v>98</v>
      </c>
      <c r="B98" s="114" t="s">
        <v>99</v>
      </c>
      <c r="C98" s="148">
        <v>35700</v>
      </c>
      <c r="D98" s="148">
        <v>35700</v>
      </c>
      <c r="E98" s="148">
        <v>366</v>
      </c>
      <c r="F98" s="728">
        <f t="shared" si="4"/>
        <v>1.0252100840336134E-2</v>
      </c>
      <c r="G98" s="1"/>
    </row>
    <row r="99" spans="1:9" ht="15.75" thickBot="1" x14ac:dyDescent="0.3">
      <c r="A99" s="167" t="s">
        <v>100</v>
      </c>
      <c r="B99" s="161" t="s">
        <v>101</v>
      </c>
      <c r="C99" s="170">
        <v>17000</v>
      </c>
      <c r="D99" s="170">
        <v>17000</v>
      </c>
      <c r="E99" s="170">
        <v>931</v>
      </c>
      <c r="F99" s="728">
        <f t="shared" si="4"/>
        <v>5.4764705882352945E-2</v>
      </c>
      <c r="G99" s="1"/>
    </row>
    <row r="100" spans="1:9" ht="15.75" thickBot="1" x14ac:dyDescent="0.3">
      <c r="A100" s="171" t="s">
        <v>102</v>
      </c>
      <c r="B100" s="172"/>
      <c r="C100" s="173">
        <f>SUM(C101:C103)</f>
        <v>850</v>
      </c>
      <c r="D100" s="173">
        <f>SUM(D101:D103)</f>
        <v>850</v>
      </c>
      <c r="E100" s="173">
        <f>SUM(E101:E103)</f>
        <v>0</v>
      </c>
      <c r="F100" s="728">
        <f t="shared" si="4"/>
        <v>0</v>
      </c>
      <c r="G100" s="1"/>
    </row>
    <row r="101" spans="1:9" x14ac:dyDescent="0.25">
      <c r="A101" s="131" t="s">
        <v>103</v>
      </c>
      <c r="B101" s="150" t="s">
        <v>104</v>
      </c>
      <c r="C101" s="177">
        <v>100</v>
      </c>
      <c r="D101" s="177">
        <v>100</v>
      </c>
      <c r="E101" s="177">
        <v>0</v>
      </c>
      <c r="F101" s="728">
        <f t="shared" si="4"/>
        <v>0</v>
      </c>
      <c r="G101" s="1"/>
    </row>
    <row r="102" spans="1:9" x14ac:dyDescent="0.25">
      <c r="A102" s="166" t="s">
        <v>105</v>
      </c>
      <c r="B102" s="114" t="s">
        <v>106</v>
      </c>
      <c r="C102" s="180">
        <v>100</v>
      </c>
      <c r="D102" s="180">
        <v>100</v>
      </c>
      <c r="E102" s="180">
        <v>0</v>
      </c>
      <c r="F102" s="728">
        <f t="shared" si="4"/>
        <v>0</v>
      </c>
      <c r="G102" s="1"/>
    </row>
    <row r="103" spans="1:9" ht="15.75" thickBot="1" x14ac:dyDescent="0.3">
      <c r="A103" s="720" t="s">
        <v>107</v>
      </c>
      <c r="B103" s="721" t="s">
        <v>108</v>
      </c>
      <c r="C103" s="208">
        <v>650</v>
      </c>
      <c r="D103" s="208">
        <v>650</v>
      </c>
      <c r="E103" s="208">
        <v>0</v>
      </c>
      <c r="F103" s="728">
        <f t="shared" si="4"/>
        <v>0</v>
      </c>
      <c r="G103" s="1"/>
    </row>
    <row r="104" spans="1:9" ht="15.75" thickBot="1" x14ac:dyDescent="0.3">
      <c r="A104" s="722" t="s">
        <v>110</v>
      </c>
      <c r="B104" s="105"/>
      <c r="C104" s="106">
        <f t="shared" ref="C104:E104" si="16">SUM(C105:C109)</f>
        <v>131700</v>
      </c>
      <c r="D104" s="106">
        <f t="shared" ref="D104" si="17">SUM(D105:D109)</f>
        <v>131700</v>
      </c>
      <c r="E104" s="106">
        <f t="shared" si="16"/>
        <v>7762</v>
      </c>
      <c r="F104" s="728">
        <f t="shared" si="4"/>
        <v>5.8936977980258161E-2</v>
      </c>
      <c r="G104" s="1"/>
    </row>
    <row r="105" spans="1:9" x14ac:dyDescent="0.25">
      <c r="A105" s="149" t="s">
        <v>111</v>
      </c>
      <c r="B105" s="150" t="s">
        <v>112</v>
      </c>
      <c r="C105" s="135">
        <v>40000</v>
      </c>
      <c r="D105" s="135">
        <v>40000</v>
      </c>
      <c r="E105" s="135">
        <v>5677</v>
      </c>
      <c r="F105" s="728">
        <f t="shared" si="4"/>
        <v>0.141925</v>
      </c>
      <c r="G105" s="1"/>
    </row>
    <row r="106" spans="1:9" x14ac:dyDescent="0.25">
      <c r="A106" s="192" t="s">
        <v>113</v>
      </c>
      <c r="B106" s="193" t="s">
        <v>114</v>
      </c>
      <c r="C106" s="55">
        <v>61600</v>
      </c>
      <c r="D106" s="55">
        <v>61600</v>
      </c>
      <c r="E106" s="55">
        <v>2059</v>
      </c>
      <c r="F106" s="728">
        <f t="shared" si="4"/>
        <v>3.3425324675324677E-2</v>
      </c>
      <c r="G106" s="1"/>
    </row>
    <row r="107" spans="1:9" x14ac:dyDescent="0.25">
      <c r="A107" s="192" t="s">
        <v>115</v>
      </c>
      <c r="B107" s="84" t="s">
        <v>116</v>
      </c>
      <c r="C107" s="55">
        <v>5900</v>
      </c>
      <c r="D107" s="55">
        <v>5900</v>
      </c>
      <c r="E107" s="55">
        <v>26</v>
      </c>
      <c r="F107" s="728">
        <f t="shared" si="4"/>
        <v>4.4067796610169491E-3</v>
      </c>
      <c r="G107" s="1"/>
    </row>
    <row r="108" spans="1:9" x14ac:dyDescent="0.25">
      <c r="A108" s="192" t="s">
        <v>117</v>
      </c>
      <c r="B108" s="84" t="s">
        <v>118</v>
      </c>
      <c r="C108" s="55">
        <v>22400</v>
      </c>
      <c r="D108" s="55">
        <v>22400</v>
      </c>
      <c r="E108" s="55">
        <v>0</v>
      </c>
      <c r="F108" s="728">
        <f t="shared" si="4"/>
        <v>0</v>
      </c>
      <c r="G108" s="1"/>
    </row>
    <row r="109" spans="1:9" ht="15.75" thickBot="1" x14ac:dyDescent="0.3">
      <c r="A109" s="160" t="s">
        <v>119</v>
      </c>
      <c r="B109" s="161" t="s">
        <v>120</v>
      </c>
      <c r="C109" s="182">
        <v>1800</v>
      </c>
      <c r="D109" s="182">
        <v>1800</v>
      </c>
      <c r="E109" s="182">
        <v>0</v>
      </c>
      <c r="F109" s="728">
        <f t="shared" si="4"/>
        <v>0</v>
      </c>
      <c r="G109" s="1"/>
    </row>
    <row r="110" spans="1:9" ht="15.75" thickBot="1" x14ac:dyDescent="0.3">
      <c r="A110" s="125" t="s">
        <v>121</v>
      </c>
      <c r="B110" s="126"/>
      <c r="C110" s="106">
        <f t="shared" ref="C110:D110" si="18">SUM(C111:C118)</f>
        <v>394150</v>
      </c>
      <c r="D110" s="106">
        <f t="shared" si="18"/>
        <v>393973</v>
      </c>
      <c r="E110" s="106">
        <f>SUM(E111:E118)</f>
        <v>26530</v>
      </c>
      <c r="F110" s="728">
        <f t="shared" si="4"/>
        <v>6.7339640026093162E-2</v>
      </c>
      <c r="G110" s="1"/>
      <c r="H110" s="27"/>
      <c r="I110" s="27"/>
    </row>
    <row r="111" spans="1:9" x14ac:dyDescent="0.25">
      <c r="A111" s="196" t="s">
        <v>122</v>
      </c>
      <c r="B111" s="197" t="s">
        <v>123</v>
      </c>
      <c r="C111" s="201">
        <v>200400</v>
      </c>
      <c r="D111" s="715">
        <f>200400+3</f>
        <v>200403</v>
      </c>
      <c r="E111" s="201">
        <v>13758</v>
      </c>
      <c r="F111" s="728">
        <f t="shared" si="4"/>
        <v>6.86516668912142E-2</v>
      </c>
      <c r="G111" s="1"/>
    </row>
    <row r="112" spans="1:9" x14ac:dyDescent="0.25">
      <c r="A112" s="578" t="s">
        <v>124</v>
      </c>
      <c r="B112" s="142" t="s">
        <v>340</v>
      </c>
      <c r="C112" s="56">
        <v>0</v>
      </c>
      <c r="D112" s="56">
        <v>0</v>
      </c>
      <c r="E112" s="56">
        <v>0</v>
      </c>
      <c r="F112" s="728">
        <v>0</v>
      </c>
      <c r="G112" s="1"/>
    </row>
    <row r="113" spans="1:12" x14ac:dyDescent="0.25">
      <c r="A113" s="202" t="s">
        <v>125</v>
      </c>
      <c r="B113" s="203" t="s">
        <v>126</v>
      </c>
      <c r="C113" s="61">
        <v>6500</v>
      </c>
      <c r="D113" s="61">
        <v>6500</v>
      </c>
      <c r="E113" s="61">
        <v>792</v>
      </c>
      <c r="F113" s="728">
        <f t="shared" si="4"/>
        <v>0.12184615384615384</v>
      </c>
      <c r="G113" s="1"/>
    </row>
    <row r="114" spans="1:12" x14ac:dyDescent="0.25">
      <c r="A114" s="202" t="s">
        <v>127</v>
      </c>
      <c r="B114" s="203" t="s">
        <v>128</v>
      </c>
      <c r="C114" s="61">
        <v>36200</v>
      </c>
      <c r="D114" s="61">
        <v>36200</v>
      </c>
      <c r="E114" s="61">
        <v>2513</v>
      </c>
      <c r="F114" s="728">
        <f t="shared" si="4"/>
        <v>6.9419889502762427E-2</v>
      </c>
      <c r="G114" s="1"/>
    </row>
    <row r="115" spans="1:12" x14ac:dyDescent="0.25">
      <c r="A115" s="202" t="s">
        <v>129</v>
      </c>
      <c r="B115" s="203" t="s">
        <v>130</v>
      </c>
      <c r="C115" s="60">
        <v>53850</v>
      </c>
      <c r="D115" s="60">
        <v>53850</v>
      </c>
      <c r="E115" s="60">
        <v>2877</v>
      </c>
      <c r="F115" s="728">
        <f t="shared" si="4"/>
        <v>5.3426183844011141E-2</v>
      </c>
      <c r="G115" s="1"/>
      <c r="H115" s="381"/>
      <c r="I115" s="381"/>
      <c r="L115" s="475"/>
    </row>
    <row r="116" spans="1:12" x14ac:dyDescent="0.25">
      <c r="A116" s="202" t="s">
        <v>131</v>
      </c>
      <c r="B116" s="203" t="s">
        <v>195</v>
      </c>
      <c r="C116" s="60">
        <v>94600</v>
      </c>
      <c r="D116" s="694">
        <f>94600-160</f>
        <v>94440</v>
      </c>
      <c r="E116" s="60">
        <v>6348</v>
      </c>
      <c r="F116" s="728">
        <f t="shared" si="4"/>
        <v>6.7217280813214736E-2</v>
      </c>
      <c r="G116" s="27">
        <f>SUM(C114:C116)</f>
        <v>184650</v>
      </c>
      <c r="H116" s="27">
        <f t="shared" ref="H116:I116" si="19">SUM(D114:D116)</f>
        <v>184490</v>
      </c>
      <c r="I116" s="27">
        <f t="shared" si="19"/>
        <v>11738</v>
      </c>
    </row>
    <row r="117" spans="1:12" x14ac:dyDescent="0.25">
      <c r="A117" s="204" t="s">
        <v>132</v>
      </c>
      <c r="B117" s="203" t="s">
        <v>309</v>
      </c>
      <c r="C117" s="208">
        <v>1300</v>
      </c>
      <c r="D117" s="208">
        <v>1300</v>
      </c>
      <c r="E117" s="208">
        <v>242</v>
      </c>
      <c r="F117" s="728">
        <f t="shared" si="4"/>
        <v>0.18615384615384614</v>
      </c>
      <c r="G117" s="1"/>
    </row>
    <row r="118" spans="1:12" ht="15.75" thickBot="1" x14ac:dyDescent="0.3">
      <c r="A118" s="202" t="s">
        <v>133</v>
      </c>
      <c r="B118" s="203" t="s">
        <v>207</v>
      </c>
      <c r="C118" s="208">
        <v>1300</v>
      </c>
      <c r="D118" s="723">
        <f>1300-20</f>
        <v>1280</v>
      </c>
      <c r="E118" s="208">
        <v>0</v>
      </c>
      <c r="F118" s="728">
        <f t="shared" si="4"/>
        <v>0</v>
      </c>
      <c r="G118" s="1"/>
    </row>
    <row r="119" spans="1:12" ht="15.75" thickBot="1" x14ac:dyDescent="0.3">
      <c r="A119" s="104" t="s">
        <v>134</v>
      </c>
      <c r="B119" s="105"/>
      <c r="C119" s="108">
        <f t="shared" ref="C119:E119" si="20">SUM(C120:C124)</f>
        <v>482770</v>
      </c>
      <c r="D119" s="108">
        <f t="shared" ref="D119" si="21">SUM(D120:D124)</f>
        <v>485270</v>
      </c>
      <c r="E119" s="108">
        <f t="shared" si="20"/>
        <v>41935</v>
      </c>
      <c r="F119" s="728">
        <f t="shared" si="4"/>
        <v>8.641580975539391E-2</v>
      </c>
      <c r="G119" s="1"/>
    </row>
    <row r="120" spans="1:12" x14ac:dyDescent="0.25">
      <c r="A120" s="192" t="s">
        <v>135</v>
      </c>
      <c r="B120" s="84" t="s">
        <v>220</v>
      </c>
      <c r="C120" s="55">
        <v>392070</v>
      </c>
      <c r="D120" s="716">
        <f>392070-1998</f>
        <v>390072</v>
      </c>
      <c r="E120" s="55">
        <v>24171</v>
      </c>
      <c r="F120" s="728">
        <f t="shared" si="4"/>
        <v>6.1965483295391623E-2</v>
      </c>
      <c r="G120" s="1"/>
    </row>
    <row r="121" spans="1:12" x14ac:dyDescent="0.25">
      <c r="A121" s="192" t="s">
        <v>136</v>
      </c>
      <c r="B121" s="84" t="s">
        <v>137</v>
      </c>
      <c r="C121" s="55">
        <v>73400</v>
      </c>
      <c r="D121" s="716">
        <f>73400+3781</f>
        <v>77181</v>
      </c>
      <c r="E121" s="55">
        <v>16551</v>
      </c>
      <c r="F121" s="728">
        <f t="shared" si="4"/>
        <v>0.21444396937070004</v>
      </c>
      <c r="G121" s="1"/>
    </row>
    <row r="122" spans="1:12" x14ac:dyDescent="0.25">
      <c r="A122" s="117" t="s">
        <v>138</v>
      </c>
      <c r="B122" s="114" t="s">
        <v>139</v>
      </c>
      <c r="C122" s="60">
        <v>16300</v>
      </c>
      <c r="D122" s="694">
        <f>16300+717</f>
        <v>17017</v>
      </c>
      <c r="E122" s="60">
        <v>1213</v>
      </c>
      <c r="F122" s="728">
        <f t="shared" si="4"/>
        <v>7.128165951695363E-2</v>
      </c>
      <c r="G122" s="1"/>
    </row>
    <row r="123" spans="1:12" x14ac:dyDescent="0.25">
      <c r="A123" s="117" t="s">
        <v>140</v>
      </c>
      <c r="B123" s="114" t="s">
        <v>141</v>
      </c>
      <c r="C123" s="60">
        <v>500</v>
      </c>
      <c r="D123" s="60">
        <v>500</v>
      </c>
      <c r="E123" s="60">
        <v>0</v>
      </c>
      <c r="F123" s="728">
        <f t="shared" si="4"/>
        <v>0</v>
      </c>
      <c r="G123" s="1"/>
    </row>
    <row r="124" spans="1:12" ht="15.75" thickBot="1" x14ac:dyDescent="0.3">
      <c r="A124" s="160" t="s">
        <v>142</v>
      </c>
      <c r="B124" s="161" t="s">
        <v>143</v>
      </c>
      <c r="C124" s="182">
        <v>500</v>
      </c>
      <c r="D124" s="182">
        <v>500</v>
      </c>
      <c r="E124" s="182">
        <v>0</v>
      </c>
      <c r="F124" s="728">
        <f t="shared" si="4"/>
        <v>0</v>
      </c>
      <c r="G124" s="1"/>
      <c r="H124" s="27"/>
      <c r="I124" s="27"/>
    </row>
    <row r="125" spans="1:12" ht="24.75" customHeight="1" thickBot="1" x14ac:dyDescent="0.3">
      <c r="A125" s="209" t="s">
        <v>144</v>
      </c>
      <c r="B125" s="172"/>
      <c r="C125" s="212">
        <f>SUM(C75+C81+C83+C86+C90+C95+C100+C104+C110+C119)</f>
        <v>1919385</v>
      </c>
      <c r="D125" s="212">
        <f>SUM(D75+D81+D83+D86+D90+D95+D100+D104+D110+D119)</f>
        <v>1922156</v>
      </c>
      <c r="E125" s="212">
        <f>SUM(E75+E81+E83+E86+E90+E95+E100+E104+E110+E119)</f>
        <v>120341</v>
      </c>
      <c r="F125" s="728">
        <f t="shared" si="4"/>
        <v>6.2607301384487002E-2</v>
      </c>
      <c r="G125" s="27">
        <f>D125-C125</f>
        <v>2771</v>
      </c>
      <c r="H125" s="27"/>
      <c r="I125" s="27"/>
    </row>
    <row r="126" spans="1:12" x14ac:dyDescent="0.25">
      <c r="A126" s="502" t="s">
        <v>124</v>
      </c>
      <c r="B126" s="213" t="s">
        <v>341</v>
      </c>
      <c r="C126" s="216">
        <f>C62</f>
        <v>720000</v>
      </c>
      <c r="D126" s="715">
        <f>D62+D178</f>
        <v>722098</v>
      </c>
      <c r="E126" s="216">
        <f>E62</f>
        <v>55310</v>
      </c>
      <c r="F126" s="728">
        <f t="shared" si="4"/>
        <v>7.6596251478331198E-2</v>
      </c>
      <c r="G126" s="1"/>
      <c r="H126" s="27"/>
      <c r="I126" s="27"/>
    </row>
    <row r="127" spans="1:12" ht="15.75" thickBot="1" x14ac:dyDescent="0.3">
      <c r="A127" s="717" t="s">
        <v>124</v>
      </c>
      <c r="B127" s="718" t="s">
        <v>145</v>
      </c>
      <c r="C127" s="719">
        <f>C64</f>
        <v>1500</v>
      </c>
      <c r="D127" s="719">
        <f>D64</f>
        <v>1500</v>
      </c>
      <c r="E127" s="719">
        <f>E64</f>
        <v>0</v>
      </c>
      <c r="F127" s="728">
        <f t="shared" si="4"/>
        <v>0</v>
      </c>
      <c r="G127" s="27">
        <f>SUM(D126:D127)</f>
        <v>723598</v>
      </c>
      <c r="H127" s="27">
        <f>SUM(E126:E127)</f>
        <v>55310</v>
      </c>
    </row>
    <row r="128" spans="1:12" x14ac:dyDescent="0.25">
      <c r="A128" s="226" t="s">
        <v>125</v>
      </c>
      <c r="B128" s="227" t="s">
        <v>148</v>
      </c>
      <c r="C128" s="230">
        <v>34400</v>
      </c>
      <c r="D128" s="230">
        <v>34400</v>
      </c>
      <c r="E128" s="230">
        <v>2867</v>
      </c>
      <c r="F128" s="728">
        <f t="shared" si="4"/>
        <v>8.3343023255813956E-2</v>
      </c>
      <c r="G128" s="27"/>
    </row>
    <row r="129" spans="1:8" ht="15.75" thickBot="1" x14ac:dyDescent="0.3">
      <c r="A129" s="217" t="s">
        <v>125</v>
      </c>
      <c r="B129" s="218" t="s">
        <v>149</v>
      </c>
      <c r="C129" s="221">
        <f>C65</f>
        <v>3600</v>
      </c>
      <c r="D129" s="221">
        <f>D65</f>
        <v>3600</v>
      </c>
      <c r="E129" s="221">
        <f>E65</f>
        <v>364</v>
      </c>
      <c r="F129" s="728">
        <f t="shared" si="4"/>
        <v>0.10111111111111111</v>
      </c>
      <c r="G129" s="27">
        <f>SUM(D128:D129)</f>
        <v>38000</v>
      </c>
      <c r="H129" s="27">
        <f>SUM(E128:E129)</f>
        <v>3231</v>
      </c>
    </row>
    <row r="130" spans="1:8" ht="15.75" thickBot="1" x14ac:dyDescent="0.3">
      <c r="A130" s="903" t="s">
        <v>150</v>
      </c>
      <c r="B130" s="904"/>
      <c r="C130" s="233">
        <f>SUM(C126:C129)</f>
        <v>759500</v>
      </c>
      <c r="D130" s="233">
        <f>SUM(D126:D129)</f>
        <v>761598</v>
      </c>
      <c r="E130" s="233">
        <f>SUM(E126:E129)</f>
        <v>58541</v>
      </c>
      <c r="F130" s="728">
        <f t="shared" si="4"/>
        <v>7.6866010677549043E-2</v>
      </c>
      <c r="G130" s="27">
        <f>D130-C130</f>
        <v>2098</v>
      </c>
    </row>
    <row r="131" spans="1:8" x14ac:dyDescent="0.25">
      <c r="A131" s="234" t="s">
        <v>125</v>
      </c>
      <c r="B131" s="235" t="s">
        <v>151</v>
      </c>
      <c r="C131" s="238">
        <v>298000</v>
      </c>
      <c r="D131" s="238">
        <v>298000</v>
      </c>
      <c r="E131" s="238">
        <v>24833</v>
      </c>
      <c r="F131" s="728">
        <f t="shared" si="4"/>
        <v>8.3332214765100665E-2</v>
      </c>
      <c r="G131" s="1"/>
    </row>
    <row r="132" spans="1:8" ht="15.75" thickBot="1" x14ac:dyDescent="0.3">
      <c r="A132" s="239" t="s">
        <v>125</v>
      </c>
      <c r="B132" s="240" t="s">
        <v>152</v>
      </c>
      <c r="C132" s="89">
        <f>C67</f>
        <v>13600</v>
      </c>
      <c r="D132" s="89">
        <f>D67</f>
        <v>13600</v>
      </c>
      <c r="E132" s="89">
        <f>E67</f>
        <v>205</v>
      </c>
      <c r="F132" s="728">
        <f t="shared" ref="F132:F189" si="22">E132/D132</f>
        <v>1.5073529411764706E-2</v>
      </c>
      <c r="G132" s="1"/>
    </row>
    <row r="133" spans="1:8" ht="15.75" thickBot="1" x14ac:dyDescent="0.3">
      <c r="A133" s="886" t="s">
        <v>153</v>
      </c>
      <c r="B133" s="887"/>
      <c r="C133" s="245">
        <f>SUM(C131:C132)</f>
        <v>311600</v>
      </c>
      <c r="D133" s="245">
        <f>SUM(D131:D132)</f>
        <v>311600</v>
      </c>
      <c r="E133" s="245">
        <f>SUM(E131:E132)</f>
        <v>25038</v>
      </c>
      <c r="F133" s="728">
        <f t="shared" si="22"/>
        <v>8.0353016688061621E-2</v>
      </c>
      <c r="G133" s="27">
        <f>D133-C133</f>
        <v>0</v>
      </c>
    </row>
    <row r="134" spans="1:8" ht="22.5" customHeight="1" thickBot="1" x14ac:dyDescent="0.3">
      <c r="A134" s="872" t="s">
        <v>154</v>
      </c>
      <c r="B134" s="873"/>
      <c r="C134" s="248">
        <f>C130+C133</f>
        <v>1071100</v>
      </c>
      <c r="D134" s="248">
        <f>D130+D133</f>
        <v>1073198</v>
      </c>
      <c r="E134" s="248">
        <f>E130+E133</f>
        <v>83579</v>
      </c>
      <c r="F134" s="728">
        <f t="shared" si="22"/>
        <v>7.7878452997489744E-2</v>
      </c>
      <c r="G134" s="27">
        <f>D134-C134</f>
        <v>2098</v>
      </c>
    </row>
    <row r="135" spans="1:8" ht="27.75" customHeight="1" thickBot="1" x14ac:dyDescent="0.3">
      <c r="A135" s="249" t="s">
        <v>155</v>
      </c>
      <c r="B135" s="140"/>
      <c r="C135" s="252">
        <f>C125+C134</f>
        <v>2990485</v>
      </c>
      <c r="D135" s="252">
        <f>D125+D134</f>
        <v>2995354</v>
      </c>
      <c r="E135" s="252">
        <f>E125+E134</f>
        <v>203920</v>
      </c>
      <c r="F135" s="728">
        <f t="shared" si="22"/>
        <v>6.8078764646849754E-2</v>
      </c>
      <c r="G135" s="27">
        <f>D135-C135</f>
        <v>4869</v>
      </c>
    </row>
    <row r="136" spans="1:8" x14ac:dyDescent="0.25">
      <c r="A136" s="1"/>
      <c r="B136" s="1"/>
      <c r="C136" s="1"/>
      <c r="D136" s="1"/>
      <c r="E136" s="1"/>
      <c r="F136" s="728"/>
      <c r="G136" s="1"/>
    </row>
    <row r="137" spans="1:8" x14ac:dyDescent="0.25">
      <c r="A137" s="1"/>
      <c r="B137" s="1"/>
      <c r="C137" s="1"/>
      <c r="D137" s="1"/>
      <c r="E137" s="1"/>
      <c r="F137" s="728"/>
      <c r="G137" s="1"/>
    </row>
    <row r="138" spans="1:8" ht="18.75" thickBot="1" x14ac:dyDescent="0.3">
      <c r="A138" s="874" t="s">
        <v>156</v>
      </c>
      <c r="B138" s="875"/>
      <c r="C138" s="875"/>
      <c r="D138" s="875"/>
      <c r="E138" s="875"/>
      <c r="F138" s="728"/>
      <c r="G138" s="1"/>
    </row>
    <row r="139" spans="1:8" ht="38.25" customHeight="1" thickBot="1" x14ac:dyDescent="0.3">
      <c r="A139" s="876" t="s">
        <v>1</v>
      </c>
      <c r="B139" s="877"/>
      <c r="C139" s="387" t="s">
        <v>467</v>
      </c>
      <c r="D139" s="387" t="s">
        <v>465</v>
      </c>
      <c r="E139" s="387" t="s">
        <v>466</v>
      </c>
      <c r="F139" s="728"/>
      <c r="G139" s="1"/>
    </row>
    <row r="140" spans="1:8" ht="16.5" thickBot="1" x14ac:dyDescent="0.3">
      <c r="A140" s="878" t="s">
        <v>157</v>
      </c>
      <c r="B140" s="879"/>
      <c r="C140" s="253">
        <f>SUM(C141:C150)</f>
        <v>2593450</v>
      </c>
      <c r="D140" s="253">
        <f>SUM(D141:D150)</f>
        <v>2523450</v>
      </c>
      <c r="E140" s="253">
        <f>SUM(E141:E150)</f>
        <v>0</v>
      </c>
      <c r="F140" s="728">
        <f t="shared" si="22"/>
        <v>0</v>
      </c>
      <c r="G140" s="27">
        <f>D140-C140</f>
        <v>-70000</v>
      </c>
    </row>
    <row r="141" spans="1:8" ht="15.75" thickBot="1" x14ac:dyDescent="0.3">
      <c r="A141" s="77">
        <v>233</v>
      </c>
      <c r="B141" s="311" t="s">
        <v>158</v>
      </c>
      <c r="C141" s="255">
        <v>3000</v>
      </c>
      <c r="D141" s="255">
        <v>3000</v>
      </c>
      <c r="E141" s="255">
        <v>0</v>
      </c>
      <c r="F141" s="728">
        <f t="shared" si="22"/>
        <v>0</v>
      </c>
      <c r="G141" s="1"/>
    </row>
    <row r="142" spans="1:8" x14ac:dyDescent="0.25">
      <c r="A142" s="261">
        <v>322</v>
      </c>
      <c r="B142" s="264" t="s">
        <v>356</v>
      </c>
      <c r="C142" s="260">
        <v>145000</v>
      </c>
      <c r="D142" s="260">
        <v>145000</v>
      </c>
      <c r="E142" s="699">
        <v>0</v>
      </c>
      <c r="F142" s="728">
        <f t="shared" si="22"/>
        <v>0</v>
      </c>
      <c r="G142" s="1"/>
    </row>
    <row r="143" spans="1:8" x14ac:dyDescent="0.25">
      <c r="A143" s="261">
        <v>322</v>
      </c>
      <c r="B143" s="76" t="s">
        <v>355</v>
      </c>
      <c r="C143" s="263">
        <v>430000</v>
      </c>
      <c r="D143" s="263">
        <v>430000</v>
      </c>
      <c r="E143" s="263">
        <v>0</v>
      </c>
      <c r="F143" s="728">
        <f t="shared" si="22"/>
        <v>0</v>
      </c>
      <c r="G143" s="1"/>
    </row>
    <row r="144" spans="1:8" x14ac:dyDescent="0.25">
      <c r="A144" s="261">
        <v>322</v>
      </c>
      <c r="B144" s="84" t="s">
        <v>348</v>
      </c>
      <c r="C144" s="263">
        <v>138200</v>
      </c>
      <c r="D144" s="263">
        <v>138200</v>
      </c>
      <c r="E144" s="260">
        <v>0</v>
      </c>
      <c r="F144" s="728">
        <f t="shared" si="22"/>
        <v>0</v>
      </c>
      <c r="G144" s="1"/>
    </row>
    <row r="145" spans="1:8" x14ac:dyDescent="0.25">
      <c r="A145" s="261">
        <v>322</v>
      </c>
      <c r="B145" s="76" t="s">
        <v>353</v>
      </c>
      <c r="C145" s="263">
        <v>1146000</v>
      </c>
      <c r="D145" s="263">
        <v>1146000</v>
      </c>
      <c r="E145" s="260">
        <v>0</v>
      </c>
      <c r="F145" s="728">
        <f t="shared" si="22"/>
        <v>0</v>
      </c>
      <c r="G145" s="1"/>
    </row>
    <row r="146" spans="1:8" x14ac:dyDescent="0.25">
      <c r="A146" s="258">
        <v>322</v>
      </c>
      <c r="B146" s="72" t="s">
        <v>352</v>
      </c>
      <c r="C146" s="260">
        <v>379400</v>
      </c>
      <c r="D146" s="260">
        <v>379400</v>
      </c>
      <c r="E146" s="260">
        <v>0</v>
      </c>
      <c r="F146" s="728">
        <f t="shared" si="22"/>
        <v>0</v>
      </c>
      <c r="G146" s="1"/>
    </row>
    <row r="147" spans="1:8" x14ac:dyDescent="0.25">
      <c r="A147" s="258">
        <v>322</v>
      </c>
      <c r="B147" s="72" t="s">
        <v>351</v>
      </c>
      <c r="C147" s="257">
        <v>50000</v>
      </c>
      <c r="D147" s="257">
        <v>50000</v>
      </c>
      <c r="E147" s="260">
        <v>0</v>
      </c>
      <c r="F147" s="728">
        <f t="shared" si="22"/>
        <v>0</v>
      </c>
      <c r="G147" s="1"/>
    </row>
    <row r="148" spans="1:8" x14ac:dyDescent="0.25">
      <c r="A148" s="258">
        <v>322</v>
      </c>
      <c r="B148" s="114" t="s">
        <v>349</v>
      </c>
      <c r="C148" s="257">
        <v>196500</v>
      </c>
      <c r="D148" s="257">
        <v>196500</v>
      </c>
      <c r="E148" s="260">
        <v>0</v>
      </c>
      <c r="F148" s="728">
        <f t="shared" si="22"/>
        <v>0</v>
      </c>
      <c r="G148" s="1"/>
    </row>
    <row r="149" spans="1:8" x14ac:dyDescent="0.25">
      <c r="A149" s="258">
        <v>322</v>
      </c>
      <c r="B149" s="264" t="s">
        <v>286</v>
      </c>
      <c r="C149" s="257">
        <v>70000</v>
      </c>
      <c r="D149" s="688">
        <f>70000-70000</f>
        <v>0</v>
      </c>
      <c r="E149" s="260">
        <v>0</v>
      </c>
      <c r="F149" s="728">
        <v>0</v>
      </c>
      <c r="G149" s="1"/>
    </row>
    <row r="150" spans="1:8" ht="15.75" thickBot="1" x14ac:dyDescent="0.3">
      <c r="A150" s="506">
        <v>322</v>
      </c>
      <c r="B150" s="522" t="s">
        <v>287</v>
      </c>
      <c r="C150" s="257">
        <f>140750-105400</f>
        <v>35350</v>
      </c>
      <c r="D150" s="257">
        <f>140750-105400</f>
        <v>35350</v>
      </c>
      <c r="E150" s="260">
        <v>0</v>
      </c>
      <c r="F150" s="728">
        <f t="shared" si="22"/>
        <v>0</v>
      </c>
      <c r="G150" s="27">
        <f>SUM(D142:D150)</f>
        <v>2520450</v>
      </c>
      <c r="H150" s="27">
        <f>SUM(E142:E150)</f>
        <v>0</v>
      </c>
    </row>
    <row r="151" spans="1:8" ht="16.5" thickBot="1" x14ac:dyDescent="0.3">
      <c r="A151" s="878" t="s">
        <v>161</v>
      </c>
      <c r="B151" s="879"/>
      <c r="C151" s="253">
        <f>SUM(C152:C169)</f>
        <v>3144736</v>
      </c>
      <c r="D151" s="253">
        <f t="shared" ref="D151:E151" si="23">SUM(D152:D169)</f>
        <v>3137146</v>
      </c>
      <c r="E151" s="253">
        <f t="shared" si="23"/>
        <v>0</v>
      </c>
      <c r="F151" s="728">
        <f t="shared" si="22"/>
        <v>0</v>
      </c>
      <c r="G151" s="27">
        <f>D151-C151</f>
        <v>-7590</v>
      </c>
      <c r="H151" s="27"/>
    </row>
    <row r="152" spans="1:8" x14ac:dyDescent="0.25">
      <c r="A152" s="710" t="s">
        <v>82</v>
      </c>
      <c r="B152" s="711" t="s">
        <v>200</v>
      </c>
      <c r="C152" s="268">
        <v>30000</v>
      </c>
      <c r="D152" s="268">
        <v>30000</v>
      </c>
      <c r="E152" s="268">
        <v>0</v>
      </c>
      <c r="F152" s="728">
        <f t="shared" si="22"/>
        <v>0</v>
      </c>
      <c r="G152" s="27"/>
    </row>
    <row r="153" spans="1:8" x14ac:dyDescent="0.25">
      <c r="A153" s="275" t="s">
        <v>82</v>
      </c>
      <c r="B153" s="265" t="s">
        <v>163</v>
      </c>
      <c r="C153" s="276">
        <v>1500</v>
      </c>
      <c r="D153" s="276">
        <v>1500</v>
      </c>
      <c r="E153" s="276">
        <v>0</v>
      </c>
      <c r="F153" s="728">
        <f t="shared" si="22"/>
        <v>0</v>
      </c>
      <c r="G153" s="1"/>
    </row>
    <row r="154" spans="1:8" x14ac:dyDescent="0.25">
      <c r="A154" s="280" t="s">
        <v>87</v>
      </c>
      <c r="B154" s="556" t="s">
        <v>332</v>
      </c>
      <c r="C154" s="282">
        <v>151200</v>
      </c>
      <c r="D154" s="282">
        <v>151200</v>
      </c>
      <c r="E154" s="276">
        <v>0</v>
      </c>
      <c r="F154" s="728">
        <f t="shared" si="22"/>
        <v>0</v>
      </c>
      <c r="G154" s="1"/>
    </row>
    <row r="155" spans="1:8" x14ac:dyDescent="0.25">
      <c r="A155" s="280" t="s">
        <v>89</v>
      </c>
      <c r="B155" s="281" t="s">
        <v>333</v>
      </c>
      <c r="C155" s="270">
        <v>100000</v>
      </c>
      <c r="D155" s="270">
        <v>100000</v>
      </c>
      <c r="E155" s="276">
        <v>0</v>
      </c>
      <c r="F155" s="728">
        <f t="shared" si="22"/>
        <v>0</v>
      </c>
      <c r="G155" s="1"/>
    </row>
    <row r="156" spans="1:8" x14ac:dyDescent="0.25">
      <c r="A156" s="706" t="s">
        <v>93</v>
      </c>
      <c r="B156" s="707" t="s">
        <v>350</v>
      </c>
      <c r="C156" s="270">
        <v>196500</v>
      </c>
      <c r="D156" s="270">
        <v>196500</v>
      </c>
      <c r="E156" s="276">
        <v>0</v>
      </c>
      <c r="F156" s="728">
        <f t="shared" si="22"/>
        <v>0</v>
      </c>
      <c r="G156" s="1"/>
    </row>
    <row r="157" spans="1:8" x14ac:dyDescent="0.25">
      <c r="A157" s="706" t="s">
        <v>164</v>
      </c>
      <c r="B157" s="708" t="s">
        <v>165</v>
      </c>
      <c r="C157" s="270">
        <v>23000</v>
      </c>
      <c r="D157" s="270">
        <v>23000</v>
      </c>
      <c r="E157" s="276">
        <v>0</v>
      </c>
      <c r="F157" s="728">
        <f t="shared" si="22"/>
        <v>0</v>
      </c>
      <c r="G157" s="1"/>
    </row>
    <row r="158" spans="1:8" x14ac:dyDescent="0.25">
      <c r="A158" s="287" t="s">
        <v>96</v>
      </c>
      <c r="B158" s="285" t="s">
        <v>475</v>
      </c>
      <c r="C158" s="270">
        <v>10000</v>
      </c>
      <c r="D158" s="270">
        <v>10000</v>
      </c>
      <c r="E158" s="276">
        <v>0</v>
      </c>
      <c r="F158" s="728">
        <f t="shared" si="22"/>
        <v>0</v>
      </c>
      <c r="G158" s="27"/>
    </row>
    <row r="159" spans="1:8" x14ac:dyDescent="0.25">
      <c r="A159" s="284" t="s">
        <v>96</v>
      </c>
      <c r="B159" s="493" t="s">
        <v>357</v>
      </c>
      <c r="C159" s="270">
        <v>221836</v>
      </c>
      <c r="D159" s="270">
        <v>221836</v>
      </c>
      <c r="E159" s="276">
        <v>0</v>
      </c>
      <c r="F159" s="728">
        <f t="shared" si="22"/>
        <v>0</v>
      </c>
      <c r="G159" s="1"/>
    </row>
    <row r="160" spans="1:8" x14ac:dyDescent="0.25">
      <c r="A160" s="287" t="s">
        <v>301</v>
      </c>
      <c r="B160" s="530" t="s">
        <v>476</v>
      </c>
      <c r="C160" s="276">
        <v>216000</v>
      </c>
      <c r="D160" s="276">
        <v>216000</v>
      </c>
      <c r="E160" s="276">
        <v>0</v>
      </c>
      <c r="F160" s="728">
        <f t="shared" si="22"/>
        <v>0</v>
      </c>
      <c r="G160" s="1"/>
    </row>
    <row r="161" spans="1:7" x14ac:dyDescent="0.25">
      <c r="A161" s="287" t="s">
        <v>98</v>
      </c>
      <c r="B161" s="492" t="s">
        <v>274</v>
      </c>
      <c r="C161" s="276">
        <v>112000</v>
      </c>
      <c r="D161" s="276">
        <v>112000</v>
      </c>
      <c r="E161" s="276">
        <v>0</v>
      </c>
      <c r="F161" s="728">
        <f t="shared" si="22"/>
        <v>0</v>
      </c>
      <c r="G161" s="27"/>
    </row>
    <row r="162" spans="1:7" x14ac:dyDescent="0.25">
      <c r="A162" s="289" t="s">
        <v>111</v>
      </c>
      <c r="B162" s="290" t="s">
        <v>337</v>
      </c>
      <c r="C162" s="282">
        <v>55000</v>
      </c>
      <c r="D162" s="282">
        <v>55000</v>
      </c>
      <c r="E162" s="276">
        <v>0</v>
      </c>
      <c r="F162" s="728">
        <f t="shared" si="22"/>
        <v>0</v>
      </c>
      <c r="G162" s="27"/>
    </row>
    <row r="163" spans="1:7" x14ac:dyDescent="0.25">
      <c r="A163" s="289" t="s">
        <v>111</v>
      </c>
      <c r="B163" s="290" t="s">
        <v>477</v>
      </c>
      <c r="C163" s="282">
        <v>196100</v>
      </c>
      <c r="D163" s="709">
        <f>196100-7590</f>
        <v>188510</v>
      </c>
      <c r="E163" s="276">
        <v>0</v>
      </c>
      <c r="F163" s="728">
        <f t="shared" si="22"/>
        <v>0</v>
      </c>
      <c r="G163" s="1"/>
    </row>
    <row r="164" spans="1:7" x14ac:dyDescent="0.25">
      <c r="A164" s="284" t="s">
        <v>111</v>
      </c>
      <c r="B164" s="283" t="s">
        <v>330</v>
      </c>
      <c r="C164" s="270">
        <v>30000</v>
      </c>
      <c r="D164" s="270">
        <v>30000</v>
      </c>
      <c r="E164" s="276">
        <v>0</v>
      </c>
      <c r="F164" s="728">
        <f t="shared" si="22"/>
        <v>0</v>
      </c>
      <c r="G164" s="1"/>
    </row>
    <row r="165" spans="1:7" x14ac:dyDescent="0.25">
      <c r="A165" s="289" t="s">
        <v>113</v>
      </c>
      <c r="B165" s="290" t="s">
        <v>329</v>
      </c>
      <c r="C165" s="282">
        <v>15000</v>
      </c>
      <c r="D165" s="282">
        <v>15000</v>
      </c>
      <c r="E165" s="276">
        <v>0</v>
      </c>
      <c r="F165" s="728">
        <f t="shared" si="22"/>
        <v>0</v>
      </c>
      <c r="G165" s="1"/>
    </row>
    <row r="166" spans="1:7" x14ac:dyDescent="0.25">
      <c r="A166" s="289" t="s">
        <v>113</v>
      </c>
      <c r="B166" s="283" t="s">
        <v>302</v>
      </c>
      <c r="C166" s="282">
        <v>0</v>
      </c>
      <c r="D166" s="282">
        <v>0</v>
      </c>
      <c r="E166" s="276">
        <v>0</v>
      </c>
      <c r="F166" s="728">
        <v>0</v>
      </c>
      <c r="G166" s="1"/>
    </row>
    <row r="167" spans="1:7" x14ac:dyDescent="0.25">
      <c r="A167" s="284" t="s">
        <v>113</v>
      </c>
      <c r="B167" s="283" t="s">
        <v>325</v>
      </c>
      <c r="C167" s="270">
        <v>412400</v>
      </c>
      <c r="D167" s="270">
        <v>412400</v>
      </c>
      <c r="E167" s="276">
        <v>0</v>
      </c>
      <c r="F167" s="728">
        <f t="shared" si="22"/>
        <v>0</v>
      </c>
      <c r="G167" s="27"/>
    </row>
    <row r="168" spans="1:7" ht="15.75" customHeight="1" x14ac:dyDescent="0.25">
      <c r="A168" s="292" t="s">
        <v>122</v>
      </c>
      <c r="B168" s="265" t="s">
        <v>478</v>
      </c>
      <c r="C168" s="276">
        <v>245000</v>
      </c>
      <c r="D168" s="276">
        <v>245000</v>
      </c>
      <c r="E168" s="276">
        <v>0</v>
      </c>
      <c r="F168" s="728">
        <f t="shared" si="22"/>
        <v>0</v>
      </c>
      <c r="G168" s="1"/>
    </row>
    <row r="169" spans="1:7" ht="15.75" thickBot="1" x14ac:dyDescent="0.3">
      <c r="A169" s="286" t="s">
        <v>124</v>
      </c>
      <c r="B169" s="712" t="s">
        <v>292</v>
      </c>
      <c r="C169" s="273">
        <v>1129200</v>
      </c>
      <c r="D169" s="273">
        <v>1129200</v>
      </c>
      <c r="E169" s="273">
        <v>0</v>
      </c>
      <c r="F169" s="728">
        <f t="shared" si="22"/>
        <v>0</v>
      </c>
      <c r="G169" s="1"/>
    </row>
    <row r="170" spans="1:7" ht="15" customHeight="1" x14ac:dyDescent="0.25">
      <c r="A170" s="294"/>
      <c r="B170" s="295"/>
      <c r="C170" s="296"/>
      <c r="D170" s="296"/>
      <c r="E170" s="296"/>
      <c r="F170" s="728"/>
      <c r="G170" s="1"/>
    </row>
    <row r="171" spans="1:7" x14ac:dyDescent="0.25">
      <c r="A171" s="297"/>
      <c r="B171" s="298"/>
      <c r="C171" s="299"/>
      <c r="D171" s="299"/>
      <c r="E171" s="299"/>
      <c r="F171" s="728"/>
      <c r="G171" s="1"/>
    </row>
    <row r="172" spans="1:7" ht="18.75" thickBot="1" x14ac:dyDescent="0.3">
      <c r="A172" s="880" t="s">
        <v>168</v>
      </c>
      <c r="B172" s="881"/>
      <c r="C172" s="881"/>
      <c r="D172" s="881"/>
      <c r="E172" s="881"/>
      <c r="F172" s="728"/>
      <c r="G172" s="1"/>
    </row>
    <row r="173" spans="1:7" ht="26.25" thickBot="1" x14ac:dyDescent="0.3">
      <c r="A173" s="876" t="s">
        <v>1</v>
      </c>
      <c r="B173" s="877"/>
      <c r="C173" s="387" t="s">
        <v>467</v>
      </c>
      <c r="D173" s="387" t="s">
        <v>465</v>
      </c>
      <c r="E173" s="387" t="s">
        <v>466</v>
      </c>
      <c r="F173" s="728"/>
      <c r="G173" s="27"/>
    </row>
    <row r="174" spans="1:7" ht="18" customHeight="1" thickBot="1" x14ac:dyDescent="0.3">
      <c r="A174" s="410" t="s">
        <v>169</v>
      </c>
      <c r="B174" s="411"/>
      <c r="C174" s="412">
        <f>SUM(C175:C186)</f>
        <v>571286</v>
      </c>
      <c r="D174" s="412">
        <f>SUM(D175:D186)</f>
        <v>638913</v>
      </c>
      <c r="E174" s="412">
        <f>SUM(E175:E186)</f>
        <v>21168</v>
      </c>
      <c r="F174" s="728">
        <f t="shared" si="22"/>
        <v>3.3131271393757836E-2</v>
      </c>
      <c r="G174" s="27">
        <f>D174-C174</f>
        <v>67627</v>
      </c>
    </row>
    <row r="175" spans="1:7" ht="15.6" customHeight="1" x14ac:dyDescent="0.25">
      <c r="A175" s="378">
        <v>453</v>
      </c>
      <c r="B175" s="379" t="s">
        <v>255</v>
      </c>
      <c r="C175" s="380">
        <f>10000+4000</f>
        <v>14000</v>
      </c>
      <c r="D175" s="704">
        <f>10000+4000+3781-160</f>
        <v>17621</v>
      </c>
      <c r="E175" s="380">
        <v>15790</v>
      </c>
      <c r="F175" s="728">
        <f t="shared" si="22"/>
        <v>0.8960898927416151</v>
      </c>
      <c r="G175" s="27"/>
    </row>
    <row r="176" spans="1:7" x14ac:dyDescent="0.25">
      <c r="A176" s="403">
        <v>453</v>
      </c>
      <c r="B176" s="404" t="s">
        <v>254</v>
      </c>
      <c r="C176" s="64">
        <v>2000</v>
      </c>
      <c r="D176" s="64">
        <v>2000</v>
      </c>
      <c r="E176" s="64">
        <v>165</v>
      </c>
      <c r="F176" s="728">
        <f t="shared" si="22"/>
        <v>8.2500000000000004E-2</v>
      </c>
      <c r="G176" s="27"/>
    </row>
    <row r="177" spans="1:11" x14ac:dyDescent="0.25">
      <c r="A177" s="700">
        <v>453</v>
      </c>
      <c r="B177" s="377" t="s">
        <v>256</v>
      </c>
      <c r="C177" s="701">
        <v>2500</v>
      </c>
      <c r="D177" s="702">
        <f>2500-2500</f>
        <v>0</v>
      </c>
      <c r="E177" s="484">
        <v>0</v>
      </c>
      <c r="F177" s="728">
        <v>0</v>
      </c>
      <c r="G177" s="27"/>
    </row>
    <row r="178" spans="1:11" x14ac:dyDescent="0.25">
      <c r="A178" s="403">
        <v>453</v>
      </c>
      <c r="B178" s="404" t="s">
        <v>472</v>
      </c>
      <c r="C178" s="64">
        <v>0</v>
      </c>
      <c r="D178" s="689">
        <v>3211</v>
      </c>
      <c r="E178" s="64">
        <v>3211</v>
      </c>
      <c r="F178" s="728">
        <v>0</v>
      </c>
      <c r="G178" s="27"/>
    </row>
    <row r="179" spans="1:11" x14ac:dyDescent="0.25">
      <c r="A179" s="403">
        <v>453</v>
      </c>
      <c r="B179" s="404" t="s">
        <v>289</v>
      </c>
      <c r="C179" s="64">
        <v>1500</v>
      </c>
      <c r="D179" s="689">
        <f>1500+502</f>
        <v>2002</v>
      </c>
      <c r="E179" s="64">
        <v>2002</v>
      </c>
      <c r="F179" s="728">
        <v>0</v>
      </c>
      <c r="G179" s="27"/>
    </row>
    <row r="180" spans="1:11" ht="15.75" thickBot="1" x14ac:dyDescent="0.3">
      <c r="A180" s="303">
        <v>453</v>
      </c>
      <c r="B180" s="304" t="s">
        <v>473</v>
      </c>
      <c r="C180" s="305">
        <v>0</v>
      </c>
      <c r="D180" s="690">
        <f>383</f>
        <v>383</v>
      </c>
      <c r="E180" s="305">
        <v>0</v>
      </c>
      <c r="F180" s="728">
        <f t="shared" si="22"/>
        <v>0</v>
      </c>
      <c r="G180" s="703">
        <f>SUM(C175:C180)</f>
        <v>20000</v>
      </c>
      <c r="H180" s="703">
        <f t="shared" ref="H180:I180" si="24">SUM(D175:D180)</f>
        <v>25217</v>
      </c>
      <c r="I180" s="703">
        <f t="shared" si="24"/>
        <v>21168</v>
      </c>
    </row>
    <row r="181" spans="1:11" x14ac:dyDescent="0.25">
      <c r="A181" s="378">
        <v>453</v>
      </c>
      <c r="B181" s="379" t="s">
        <v>241</v>
      </c>
      <c r="C181" s="380">
        <v>886</v>
      </c>
      <c r="D181" s="380">
        <v>886</v>
      </c>
      <c r="E181" s="380">
        <v>0</v>
      </c>
      <c r="F181" s="728">
        <f t="shared" si="22"/>
        <v>0</v>
      </c>
      <c r="G181" s="703"/>
      <c r="H181" s="703"/>
      <c r="I181" s="703"/>
    </row>
    <row r="182" spans="1:11" x14ac:dyDescent="0.25">
      <c r="A182" s="471">
        <v>453</v>
      </c>
      <c r="B182" s="482" t="s">
        <v>291</v>
      </c>
      <c r="C182" s="472">
        <f>105400</f>
        <v>105400</v>
      </c>
      <c r="D182" s="691">
        <f>105400-7590</f>
        <v>97810</v>
      </c>
      <c r="E182" s="472">
        <v>0</v>
      </c>
      <c r="F182" s="728">
        <f t="shared" si="22"/>
        <v>0</v>
      </c>
      <c r="G182" s="27"/>
      <c r="H182" s="27"/>
      <c r="I182" s="27"/>
    </row>
    <row r="183" spans="1:11" x14ac:dyDescent="0.25">
      <c r="A183" s="403">
        <v>453</v>
      </c>
      <c r="B183" s="404" t="s">
        <v>293</v>
      </c>
      <c r="C183" s="64">
        <v>0</v>
      </c>
      <c r="D183" s="689">
        <f>70000</f>
        <v>70000</v>
      </c>
      <c r="E183" s="524">
        <v>0</v>
      </c>
      <c r="F183" s="728">
        <f t="shared" si="22"/>
        <v>0</v>
      </c>
      <c r="G183" s="27"/>
    </row>
    <row r="184" spans="1:11" ht="15.75" thickBot="1" x14ac:dyDescent="0.3">
      <c r="A184" s="483">
        <v>453</v>
      </c>
      <c r="B184" s="377" t="s">
        <v>304</v>
      </c>
      <c r="C184" s="484">
        <v>100000</v>
      </c>
      <c r="D184" s="484">
        <v>100000</v>
      </c>
      <c r="E184" s="484">
        <v>0</v>
      </c>
      <c r="F184" s="728">
        <f t="shared" si="22"/>
        <v>0</v>
      </c>
      <c r="G184" s="426">
        <f>SUM(C181:C184)</f>
        <v>206286</v>
      </c>
      <c r="H184" s="426">
        <f t="shared" ref="H184:I184" si="25">SUM(D181:D184)</f>
        <v>268696</v>
      </c>
      <c r="I184" s="426">
        <f t="shared" si="25"/>
        <v>0</v>
      </c>
    </row>
    <row r="185" spans="1:11" x14ac:dyDescent="0.25">
      <c r="A185" s="378">
        <v>454</v>
      </c>
      <c r="B185" s="379" t="s">
        <v>474</v>
      </c>
      <c r="C185" s="380"/>
      <c r="D185" s="380"/>
      <c r="E185" s="380">
        <v>0</v>
      </c>
      <c r="F185" s="728">
        <v>0</v>
      </c>
      <c r="G185" s="27"/>
      <c r="H185" s="27"/>
      <c r="I185" s="27"/>
    </row>
    <row r="186" spans="1:11" ht="15.75" thickBot="1" x14ac:dyDescent="0.3">
      <c r="A186" s="303">
        <v>454</v>
      </c>
      <c r="B186" s="304" t="s">
        <v>266</v>
      </c>
      <c r="C186" s="305">
        <f>152000+193000</f>
        <v>345000</v>
      </c>
      <c r="D186" s="305">
        <f>152000+193000</f>
        <v>345000</v>
      </c>
      <c r="E186" s="305">
        <v>0</v>
      </c>
      <c r="F186" s="728">
        <f t="shared" si="22"/>
        <v>0</v>
      </c>
      <c r="G186" s="27">
        <f>SUM(C185:C186)</f>
        <v>345000</v>
      </c>
      <c r="H186" s="27">
        <f t="shared" ref="H186:I186" si="26">SUM(D185:D186)</f>
        <v>345000</v>
      </c>
      <c r="I186" s="27">
        <f t="shared" si="26"/>
        <v>0</v>
      </c>
    </row>
    <row r="187" spans="1:11" ht="16.5" thickBot="1" x14ac:dyDescent="0.3">
      <c r="A187" s="410" t="s">
        <v>171</v>
      </c>
      <c r="B187" s="411"/>
      <c r="C187" s="412">
        <f>SUM(C188:C189)</f>
        <v>1090</v>
      </c>
      <c r="D187" s="412">
        <f>SUM(D188:D189)</f>
        <v>1110</v>
      </c>
      <c r="E187" s="412">
        <f>SUM(E188:E189)</f>
        <v>89</v>
      </c>
      <c r="F187" s="728">
        <f t="shared" si="22"/>
        <v>8.018018018018018E-2</v>
      </c>
      <c r="G187" s="27">
        <f>D187-C187</f>
        <v>20</v>
      </c>
      <c r="K187" s="426"/>
    </row>
    <row r="188" spans="1:11" x14ac:dyDescent="0.25">
      <c r="A188" s="308">
        <v>819</v>
      </c>
      <c r="B188" s="309" t="s">
        <v>244</v>
      </c>
      <c r="C188" s="56">
        <v>0</v>
      </c>
      <c r="D188" s="705">
        <v>20</v>
      </c>
      <c r="E188" s="56">
        <v>0</v>
      </c>
      <c r="F188" s="728">
        <f t="shared" si="22"/>
        <v>0</v>
      </c>
      <c r="G188" s="27"/>
      <c r="H188" s="27"/>
      <c r="I188" s="27"/>
      <c r="K188" s="426"/>
    </row>
    <row r="189" spans="1:11" ht="15.75" thickBot="1" x14ac:dyDescent="0.3">
      <c r="A189" s="310">
        <v>821</v>
      </c>
      <c r="B189" s="311" t="s">
        <v>173</v>
      </c>
      <c r="C189" s="124">
        <v>1090</v>
      </c>
      <c r="D189" s="124">
        <v>1090</v>
      </c>
      <c r="E189" s="124">
        <v>89</v>
      </c>
      <c r="F189" s="728">
        <f t="shared" si="22"/>
        <v>8.1651376146788995E-2</v>
      </c>
      <c r="G189" s="1"/>
    </row>
    <row r="190" spans="1:11" x14ac:dyDescent="0.25">
      <c r="A190" s="297"/>
      <c r="B190" s="312"/>
      <c r="C190" s="157"/>
      <c r="D190" s="157"/>
      <c r="E190" s="157"/>
      <c r="F190" s="157"/>
      <c r="G190" s="1"/>
    </row>
    <row r="191" spans="1:11" ht="14.25" customHeight="1" x14ac:dyDescent="0.25">
      <c r="A191" s="101"/>
      <c r="B191" s="295"/>
      <c r="C191" s="295"/>
      <c r="D191" s="295"/>
      <c r="E191" s="295"/>
      <c r="F191" s="295"/>
      <c r="G191" s="295"/>
    </row>
    <row r="192" spans="1:11" ht="18.75" thickBot="1" x14ac:dyDescent="0.3">
      <c r="A192" s="882" t="s">
        <v>174</v>
      </c>
      <c r="B192" s="883"/>
      <c r="C192" s="883"/>
      <c r="D192" s="883"/>
      <c r="E192" s="883"/>
      <c r="F192" s="729"/>
      <c r="G192" s="1"/>
    </row>
    <row r="193" spans="1:9" ht="26.25" thickBot="1" x14ac:dyDescent="0.3">
      <c r="A193" s="876" t="s">
        <v>1</v>
      </c>
      <c r="B193" s="877"/>
      <c r="C193" s="387" t="s">
        <v>467</v>
      </c>
      <c r="D193" s="387" t="s">
        <v>465</v>
      </c>
      <c r="E193" s="387" t="s">
        <v>466</v>
      </c>
      <c r="F193" s="730"/>
    </row>
    <row r="194" spans="1:9" ht="15.75" x14ac:dyDescent="0.25">
      <c r="A194" s="313" t="s">
        <v>175</v>
      </c>
      <c r="B194" s="29"/>
      <c r="C194" s="314">
        <f>C70</f>
        <v>2971575</v>
      </c>
      <c r="D194" s="314">
        <f>D70</f>
        <v>2971247</v>
      </c>
      <c r="E194" s="314">
        <f>E70</f>
        <v>371083</v>
      </c>
      <c r="F194" s="726"/>
    </row>
    <row r="195" spans="1:9" ht="15.75" x14ac:dyDescent="0.25">
      <c r="A195" s="315" t="s">
        <v>176</v>
      </c>
      <c r="B195" s="316"/>
      <c r="C195" s="317">
        <f>C135</f>
        <v>2990485</v>
      </c>
      <c r="D195" s="317">
        <f>D135</f>
        <v>2995354</v>
      </c>
      <c r="E195" s="317">
        <f>E135</f>
        <v>203920</v>
      </c>
      <c r="F195" s="726"/>
      <c r="G195" s="1"/>
    </row>
    <row r="196" spans="1:9" ht="15.75" x14ac:dyDescent="0.25">
      <c r="A196" s="884" t="s">
        <v>177</v>
      </c>
      <c r="B196" s="885"/>
      <c r="C196" s="318">
        <f t="shared" ref="C196:E196" si="27">C194-C195</f>
        <v>-18910</v>
      </c>
      <c r="D196" s="318">
        <f t="shared" ref="D196" si="28">D194-D195</f>
        <v>-24107</v>
      </c>
      <c r="E196" s="318">
        <f t="shared" si="27"/>
        <v>167163</v>
      </c>
      <c r="F196" s="731"/>
      <c r="G196" s="27">
        <f>C196-C189</f>
        <v>-20000</v>
      </c>
      <c r="H196" s="27">
        <f>D196-D189</f>
        <v>-25197</v>
      </c>
      <c r="I196" s="27"/>
    </row>
    <row r="197" spans="1:9" ht="15.75" x14ac:dyDescent="0.25">
      <c r="A197" s="315" t="s">
        <v>178</v>
      </c>
      <c r="B197" s="18"/>
      <c r="C197" s="317">
        <f>C140</f>
        <v>2593450</v>
      </c>
      <c r="D197" s="317">
        <f>D140</f>
        <v>2523450</v>
      </c>
      <c r="E197" s="317">
        <f>E140</f>
        <v>0</v>
      </c>
      <c r="F197" s="726"/>
      <c r="G197" s="1"/>
    </row>
    <row r="198" spans="1:9" ht="13.9" customHeight="1" x14ac:dyDescent="0.25">
      <c r="A198" s="315" t="s">
        <v>179</v>
      </c>
      <c r="B198" s="18"/>
      <c r="C198" s="20">
        <f>C151</f>
        <v>3144736</v>
      </c>
      <c r="D198" s="20">
        <f>D151</f>
        <v>3137146</v>
      </c>
      <c r="E198" s="20">
        <f>E151</f>
        <v>0</v>
      </c>
      <c r="F198" s="703"/>
      <c r="G198" s="1"/>
    </row>
    <row r="199" spans="1:9" ht="16.149999999999999" customHeight="1" x14ac:dyDescent="0.25">
      <c r="A199" s="884" t="s">
        <v>180</v>
      </c>
      <c r="B199" s="885"/>
      <c r="C199" s="318">
        <f t="shared" ref="C199:E199" si="29">C197-C198</f>
        <v>-551286</v>
      </c>
      <c r="D199" s="318">
        <f t="shared" ref="D199" si="30">D197-D198</f>
        <v>-613696</v>
      </c>
      <c r="E199" s="318">
        <f t="shared" si="29"/>
        <v>0</v>
      </c>
      <c r="F199" s="731"/>
      <c r="G199" s="703"/>
      <c r="H199" s="703"/>
      <c r="I199" s="703"/>
    </row>
    <row r="200" spans="1:9" ht="15.75" x14ac:dyDescent="0.25">
      <c r="A200" s="319" t="s">
        <v>181</v>
      </c>
      <c r="B200" s="320"/>
      <c r="C200" s="321">
        <f>C174</f>
        <v>571286</v>
      </c>
      <c r="D200" s="321">
        <f>D174</f>
        <v>638913</v>
      </c>
      <c r="E200" s="321">
        <f>E174</f>
        <v>21168</v>
      </c>
      <c r="F200" s="726"/>
      <c r="G200" s="1"/>
    </row>
    <row r="201" spans="1:9" ht="15.75" x14ac:dyDescent="0.25">
      <c r="A201" s="319" t="s">
        <v>182</v>
      </c>
      <c r="B201" s="320"/>
      <c r="C201" s="321">
        <f>C187</f>
        <v>1090</v>
      </c>
      <c r="D201" s="321">
        <f>D187</f>
        <v>1110</v>
      </c>
      <c r="E201" s="321">
        <f>E187</f>
        <v>89</v>
      </c>
      <c r="F201" s="726"/>
      <c r="G201" s="1"/>
    </row>
    <row r="202" spans="1:9" ht="16.5" thickBot="1" x14ac:dyDescent="0.3">
      <c r="A202" s="870" t="s">
        <v>183</v>
      </c>
      <c r="B202" s="871"/>
      <c r="C202" s="322">
        <f t="shared" ref="C202:E202" si="31">C200-C201</f>
        <v>570196</v>
      </c>
      <c r="D202" s="322">
        <f t="shared" ref="D202" si="32">D200-D201</f>
        <v>637803</v>
      </c>
      <c r="E202" s="322">
        <f t="shared" si="31"/>
        <v>21079</v>
      </c>
      <c r="F202" s="731"/>
      <c r="G202" s="1"/>
    </row>
    <row r="203" spans="1:9" ht="30" customHeight="1" thickBot="1" x14ac:dyDescent="0.3">
      <c r="A203" s="323" t="s">
        <v>184</v>
      </c>
      <c r="B203" s="324"/>
      <c r="C203" s="325">
        <f t="shared" ref="C203:E203" si="33">C196+C199+C202</f>
        <v>0</v>
      </c>
      <c r="D203" s="325">
        <f t="shared" ref="D203" si="34">D196+D199+D202</f>
        <v>0</v>
      </c>
      <c r="E203" s="325">
        <f t="shared" si="33"/>
        <v>188242</v>
      </c>
      <c r="F203" s="731"/>
      <c r="G203" s="1"/>
    </row>
    <row r="204" spans="1:9" x14ac:dyDescent="0.25">
      <c r="A204" s="1"/>
      <c r="B204" s="1"/>
      <c r="C204" s="1"/>
      <c r="D204" s="1"/>
      <c r="E204" s="1"/>
      <c r="F204" s="100"/>
      <c r="G204" s="1"/>
    </row>
    <row r="205" spans="1:9" x14ac:dyDescent="0.25">
      <c r="A205" s="1"/>
      <c r="B205" s="487" t="s">
        <v>267</v>
      </c>
      <c r="C205" s="488">
        <f t="shared" ref="C205:E206" si="35">C194+C197+C200</f>
        <v>6136311</v>
      </c>
      <c r="D205" s="488">
        <f t="shared" ref="D205" si="36">D194+D197+D200</f>
        <v>6133610</v>
      </c>
      <c r="E205" s="488">
        <f t="shared" si="35"/>
        <v>392251</v>
      </c>
      <c r="F205" s="732"/>
      <c r="G205" s="488">
        <f>D205-C205</f>
        <v>-2701</v>
      </c>
    </row>
    <row r="206" spans="1:9" x14ac:dyDescent="0.25">
      <c r="A206" s="1"/>
      <c r="B206" s="487" t="s">
        <v>268</v>
      </c>
      <c r="C206" s="488">
        <f t="shared" si="35"/>
        <v>6136311</v>
      </c>
      <c r="D206" s="488">
        <f t="shared" ref="D206" si="37">D195+D198+D201</f>
        <v>6133610</v>
      </c>
      <c r="E206" s="488">
        <f t="shared" si="35"/>
        <v>204009</v>
      </c>
      <c r="F206" s="732"/>
      <c r="G206" s="488">
        <f>D206-C206</f>
        <v>-2701</v>
      </c>
    </row>
    <row r="207" spans="1:9" x14ac:dyDescent="0.25">
      <c r="A207" s="1"/>
      <c r="B207" s="487"/>
      <c r="C207" s="488"/>
      <c r="D207" s="488"/>
      <c r="E207" s="488"/>
      <c r="F207" s="732"/>
      <c r="G207" s="488"/>
    </row>
    <row r="208" spans="1:9" x14ac:dyDescent="0.25">
      <c r="A208" s="1"/>
      <c r="B208" s="487" t="s">
        <v>269</v>
      </c>
      <c r="C208" s="488">
        <f>C205-C69</f>
        <v>6117611</v>
      </c>
      <c r="D208" s="488">
        <f>D205-D69</f>
        <v>6114910</v>
      </c>
      <c r="E208" s="488">
        <f>E205-E69</f>
        <v>391682</v>
      </c>
      <c r="F208" s="732"/>
      <c r="G208" s="488">
        <f>D208-C208</f>
        <v>-2701</v>
      </c>
    </row>
    <row r="209" spans="1:7" ht="11.45" customHeight="1" x14ac:dyDescent="0.25">
      <c r="A209" s="1"/>
      <c r="B209" s="487" t="s">
        <v>270</v>
      </c>
      <c r="C209" s="488">
        <f>C206-C134</f>
        <v>5065211</v>
      </c>
      <c r="D209" s="488">
        <f>D206-D134</f>
        <v>5060412</v>
      </c>
      <c r="E209" s="488">
        <f>E206-E134</f>
        <v>120430</v>
      </c>
      <c r="F209" s="732"/>
      <c r="G209" s="488">
        <f>D209-C209</f>
        <v>-4799</v>
      </c>
    </row>
    <row r="210" spans="1:7" x14ac:dyDescent="0.25">
      <c r="A210" s="1"/>
      <c r="B210" s="487"/>
      <c r="C210" s="488"/>
      <c r="D210" s="488"/>
      <c r="E210" s="488"/>
      <c r="F210" s="732"/>
      <c r="G210" s="488"/>
    </row>
    <row r="211" spans="1:7" x14ac:dyDescent="0.25">
      <c r="A211" s="1"/>
      <c r="B211" s="485" t="s">
        <v>271</v>
      </c>
      <c r="C211" s="486">
        <f t="shared" ref="C211:E212" si="38">C205-C208</f>
        <v>18700</v>
      </c>
      <c r="D211" s="486">
        <f t="shared" ref="D211" si="39">D205-D208</f>
        <v>18700</v>
      </c>
      <c r="E211" s="486">
        <f t="shared" si="38"/>
        <v>569</v>
      </c>
      <c r="F211" s="733"/>
      <c r="G211" s="488">
        <f>D211-C211</f>
        <v>0</v>
      </c>
    </row>
    <row r="212" spans="1:7" x14ac:dyDescent="0.25">
      <c r="A212" s="100"/>
      <c r="B212" s="485" t="s">
        <v>272</v>
      </c>
      <c r="C212" s="486">
        <f t="shared" si="38"/>
        <v>1071100</v>
      </c>
      <c r="D212" s="486">
        <f t="shared" ref="D212" si="40">D206-D209</f>
        <v>1073198</v>
      </c>
      <c r="E212" s="486">
        <f t="shared" si="38"/>
        <v>83579</v>
      </c>
      <c r="F212" s="486"/>
      <c r="G212" s="488">
        <f>D212-C212</f>
        <v>2098</v>
      </c>
    </row>
    <row r="213" spans="1:7" x14ac:dyDescent="0.25">
      <c r="A213" s="1"/>
      <c r="B213" s="489"/>
      <c r="C213" s="486">
        <f t="shared" ref="C213:E213" si="41">C212-C211+C203</f>
        <v>1052400</v>
      </c>
      <c r="D213" s="486">
        <f t="shared" ref="D213" si="42">D212-D211+D203</f>
        <v>1054498</v>
      </c>
      <c r="E213" s="486">
        <f t="shared" si="41"/>
        <v>271252</v>
      </c>
      <c r="F213" s="486"/>
      <c r="G213" s="489"/>
    </row>
    <row r="214" spans="1:7" x14ac:dyDescent="0.25">
      <c r="A214" s="1"/>
      <c r="B214" s="327" t="s">
        <v>185</v>
      </c>
      <c r="C214" s="469"/>
      <c r="D214" s="327"/>
      <c r="E214" s="327"/>
      <c r="F214" s="327"/>
      <c r="G214" s="1"/>
    </row>
    <row r="215" spans="1:7" x14ac:dyDescent="0.25">
      <c r="A215" s="1"/>
      <c r="B215" s="327" t="s">
        <v>295</v>
      </c>
      <c r="C215" s="523"/>
      <c r="D215" s="327"/>
      <c r="E215" s="327"/>
      <c r="F215" s="327"/>
      <c r="G215" s="1"/>
    </row>
    <row r="216" spans="1:7" x14ac:dyDescent="0.25">
      <c r="A216" s="1"/>
      <c r="B216" s="327"/>
      <c r="C216" s="327"/>
      <c r="D216" s="327"/>
      <c r="E216" s="327"/>
      <c r="F216" s="327"/>
      <c r="G216" s="1"/>
    </row>
    <row r="217" spans="1:7" x14ac:dyDescent="0.25">
      <c r="A217" s="1"/>
      <c r="B217" s="327"/>
      <c r="C217" s="327"/>
      <c r="D217" s="327"/>
      <c r="E217" s="327"/>
      <c r="F217" s="327"/>
      <c r="G217" s="1"/>
    </row>
    <row r="218" spans="1:7" x14ac:dyDescent="0.25">
      <c r="A218" s="1"/>
      <c r="C218" s="327"/>
      <c r="D218" s="327"/>
      <c r="E218" s="327"/>
      <c r="F218" s="327"/>
      <c r="G218" s="1"/>
    </row>
    <row r="219" spans="1:7" x14ac:dyDescent="0.25">
      <c r="A219" s="1"/>
      <c r="B219" s="328" t="s">
        <v>468</v>
      </c>
      <c r="C219" s="327"/>
      <c r="D219" s="327"/>
      <c r="E219" s="327"/>
      <c r="F219" s="327"/>
      <c r="G219" s="1"/>
    </row>
    <row r="220" spans="1:7" x14ac:dyDescent="0.25">
      <c r="A220" s="1"/>
      <c r="C220" s="327"/>
      <c r="D220" s="327"/>
      <c r="E220" s="327"/>
      <c r="F220" s="327"/>
      <c r="G220" s="1"/>
    </row>
    <row r="221" spans="1:7" x14ac:dyDescent="0.25">
      <c r="A221" s="1"/>
      <c r="B221" s="327" t="s">
        <v>469</v>
      </c>
      <c r="C221" s="327"/>
      <c r="D221" s="327"/>
      <c r="E221" s="327"/>
      <c r="F221" s="327"/>
      <c r="G221" s="1"/>
    </row>
    <row r="222" spans="1:7" x14ac:dyDescent="0.25">
      <c r="A222" s="1"/>
      <c r="B222" s="327" t="s">
        <v>470</v>
      </c>
      <c r="C222" s="327"/>
      <c r="D222" s="327"/>
      <c r="E222" s="327"/>
      <c r="F222" s="327"/>
      <c r="G222" s="1"/>
    </row>
    <row r="223" spans="1:7" x14ac:dyDescent="0.25">
      <c r="A223" s="1"/>
      <c r="B223" s="327"/>
      <c r="C223" s="327"/>
      <c r="D223" s="327"/>
      <c r="E223" s="327"/>
      <c r="F223" s="327"/>
      <c r="G223" s="1"/>
    </row>
    <row r="224" spans="1:7" x14ac:dyDescent="0.25">
      <c r="A224" s="1"/>
      <c r="B224" s="329" t="s">
        <v>361</v>
      </c>
      <c r="C224" s="327"/>
      <c r="D224" s="327"/>
      <c r="E224" s="327"/>
      <c r="F224" s="327"/>
      <c r="G224" s="1"/>
    </row>
    <row r="225" spans="1:7" x14ac:dyDescent="0.25">
      <c r="A225" s="1"/>
      <c r="B225" s="329" t="s">
        <v>362</v>
      </c>
      <c r="C225" s="327"/>
      <c r="D225" s="327"/>
      <c r="E225" s="327"/>
      <c r="F225" s="327"/>
      <c r="G225" s="1"/>
    </row>
    <row r="226" spans="1:7" x14ac:dyDescent="0.25">
      <c r="A226" s="1"/>
      <c r="B226" s="329"/>
      <c r="C226" s="327"/>
      <c r="D226" s="327"/>
      <c r="E226" s="327"/>
      <c r="F226" s="327"/>
      <c r="G226" s="1"/>
    </row>
    <row r="227" spans="1:7" x14ac:dyDescent="0.25">
      <c r="A227" s="1"/>
      <c r="B227" s="329" t="s">
        <v>471</v>
      </c>
      <c r="C227" s="327"/>
      <c r="D227" s="327"/>
      <c r="E227" s="327"/>
      <c r="F227" s="327"/>
      <c r="G227" s="1"/>
    </row>
    <row r="228" spans="1:7" x14ac:dyDescent="0.25">
      <c r="A228" s="1"/>
      <c r="B228" s="326"/>
      <c r="C228" s="1"/>
      <c r="D228" s="1"/>
      <c r="E228" s="1"/>
      <c r="F228" s="1"/>
      <c r="G228" s="1"/>
    </row>
    <row r="229" spans="1:7" x14ac:dyDescent="0.25">
      <c r="A229" s="1"/>
      <c r="B229" s="326"/>
      <c r="C229" s="1"/>
      <c r="D229" s="1"/>
      <c r="E229" s="1"/>
      <c r="F229" s="1"/>
      <c r="G229" s="1"/>
    </row>
    <row r="230" spans="1:7" x14ac:dyDescent="0.25">
      <c r="A230" s="1"/>
      <c r="B230" s="326"/>
      <c r="C230" s="1"/>
      <c r="D230" s="1"/>
      <c r="E230" s="1"/>
      <c r="F230" s="1"/>
      <c r="G230" s="1"/>
    </row>
    <row r="231" spans="1:7" x14ac:dyDescent="0.25">
      <c r="A231" s="1"/>
      <c r="B231" s="326"/>
      <c r="C231" s="1"/>
      <c r="D231" s="1"/>
      <c r="E231" s="1"/>
      <c r="F231" s="1"/>
      <c r="G231" s="1"/>
    </row>
    <row r="232" spans="1:7" x14ac:dyDescent="0.25">
      <c r="G232" s="1"/>
    </row>
  </sheetData>
  <mergeCells count="24">
    <mergeCell ref="A133:B133"/>
    <mergeCell ref="A1:E1"/>
    <mergeCell ref="A2:B2"/>
    <mergeCell ref="A3:B3"/>
    <mergeCell ref="A11:B11"/>
    <mergeCell ref="A66:B66"/>
    <mergeCell ref="A68:B68"/>
    <mergeCell ref="A69:B69"/>
    <mergeCell ref="A73:E73"/>
    <mergeCell ref="A74:B74"/>
    <mergeCell ref="A90:B90"/>
    <mergeCell ref="A130:B130"/>
    <mergeCell ref="A202:B202"/>
    <mergeCell ref="A134:B134"/>
    <mergeCell ref="A138:E138"/>
    <mergeCell ref="A139:B139"/>
    <mergeCell ref="A140:B140"/>
    <mergeCell ref="A151:B151"/>
    <mergeCell ref="A172:E172"/>
    <mergeCell ref="A173:B173"/>
    <mergeCell ref="A192:E192"/>
    <mergeCell ref="A193:B193"/>
    <mergeCell ref="A196:B196"/>
    <mergeCell ref="A199:B199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 xml:space="preserve">&amp;CViacročný rozpočet
na roky 2025-2027 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7"/>
  <sheetViews>
    <sheetView zoomScale="124" zoomScaleNormal="124" workbookViewId="0">
      <selection sqref="A1:N1"/>
    </sheetView>
  </sheetViews>
  <sheetFormatPr defaultRowHeight="15" x14ac:dyDescent="0.25"/>
  <cols>
    <col min="1" max="1" width="6.42578125" customWidth="1"/>
    <col min="2" max="2" width="46.7109375" customWidth="1"/>
    <col min="3" max="3" width="0.5703125" customWidth="1"/>
    <col min="4" max="4" width="0.7109375" customWidth="1"/>
    <col min="5" max="5" width="0.42578125" customWidth="1"/>
    <col min="6" max="6" width="1" customWidth="1"/>
    <col min="7" max="7" width="0.85546875" customWidth="1"/>
    <col min="8" max="14" width="12.7109375" customWidth="1"/>
    <col min="15" max="15" width="14.42578125" customWidth="1"/>
  </cols>
  <sheetData>
    <row r="1" spans="1:23" ht="18.75" thickBot="1" x14ac:dyDescent="0.3">
      <c r="A1" s="888" t="s">
        <v>0</v>
      </c>
      <c r="B1" s="889"/>
      <c r="C1" s="889"/>
      <c r="D1" s="889"/>
      <c r="E1" s="889"/>
      <c r="F1" s="889"/>
      <c r="G1" s="889"/>
      <c r="H1" s="889"/>
      <c r="I1" s="889"/>
      <c r="J1" s="889"/>
      <c r="K1" s="889"/>
      <c r="L1" s="889"/>
      <c r="M1" s="889"/>
      <c r="N1" s="889"/>
      <c r="O1" s="1"/>
    </row>
    <row r="2" spans="1:23" ht="46.5" customHeight="1" thickBot="1" x14ac:dyDescent="0.3">
      <c r="A2" s="890" t="s">
        <v>1</v>
      </c>
      <c r="B2" s="891"/>
      <c r="C2" s="385" t="s">
        <v>2</v>
      </c>
      <c r="D2" s="386" t="s">
        <v>3</v>
      </c>
      <c r="E2" s="386" t="s">
        <v>186</v>
      </c>
      <c r="F2" s="386" t="s">
        <v>201</v>
      </c>
      <c r="G2" s="470" t="s">
        <v>237</v>
      </c>
      <c r="H2" s="470" t="s">
        <v>263</v>
      </c>
      <c r="I2" s="470" t="s">
        <v>322</v>
      </c>
      <c r="J2" s="387" t="s">
        <v>326</v>
      </c>
      <c r="K2" s="387" t="s">
        <v>343</v>
      </c>
      <c r="L2" s="387" t="s">
        <v>238</v>
      </c>
      <c r="M2" s="387" t="s">
        <v>264</v>
      </c>
      <c r="N2" s="387" t="s">
        <v>305</v>
      </c>
      <c r="O2" s="1"/>
    </row>
    <row r="3" spans="1:23" ht="15.75" thickBot="1" x14ac:dyDescent="0.3">
      <c r="A3" s="892" t="s">
        <v>4</v>
      </c>
      <c r="B3" s="893"/>
      <c r="C3" s="336">
        <f t="shared" ref="C3:N3" si="0">SUM(C4:C10)</f>
        <v>1027468</v>
      </c>
      <c r="D3" s="2">
        <f t="shared" si="0"/>
        <v>1080198</v>
      </c>
      <c r="E3" s="2">
        <f t="shared" si="0"/>
        <v>1187235</v>
      </c>
      <c r="F3" s="2">
        <f t="shared" si="0"/>
        <v>1227590</v>
      </c>
      <c r="G3" s="2">
        <f t="shared" si="0"/>
        <v>1222598</v>
      </c>
      <c r="H3" s="2">
        <f t="shared" si="0"/>
        <v>1302175</v>
      </c>
      <c r="I3" s="2">
        <f t="shared" si="0"/>
        <v>1374767</v>
      </c>
      <c r="J3" s="2">
        <f t="shared" si="0"/>
        <v>1485800</v>
      </c>
      <c r="K3" s="2">
        <f t="shared" si="0"/>
        <v>1485800</v>
      </c>
      <c r="L3" s="2">
        <f t="shared" si="0"/>
        <v>1338200</v>
      </c>
      <c r="M3" s="2">
        <f t="shared" si="0"/>
        <v>1374200</v>
      </c>
      <c r="N3" s="2">
        <f t="shared" si="0"/>
        <v>1438900</v>
      </c>
      <c r="O3" s="1"/>
    </row>
    <row r="4" spans="1:23" ht="15.75" thickBot="1" x14ac:dyDescent="0.3">
      <c r="A4" s="3">
        <v>111</v>
      </c>
      <c r="B4" s="120" t="s">
        <v>5</v>
      </c>
      <c r="C4" s="4">
        <v>972038</v>
      </c>
      <c r="D4" s="5">
        <v>1022504</v>
      </c>
      <c r="E4" s="6">
        <v>1127294</v>
      </c>
      <c r="F4" s="6">
        <v>1165143</v>
      </c>
      <c r="G4" s="6">
        <v>1156712</v>
      </c>
      <c r="H4" s="6">
        <v>1229241</v>
      </c>
      <c r="I4" s="6">
        <v>1298467</v>
      </c>
      <c r="J4" s="6">
        <v>1373000</v>
      </c>
      <c r="K4" s="6">
        <v>1373000</v>
      </c>
      <c r="L4" s="6">
        <v>1227300</v>
      </c>
      <c r="M4" s="6">
        <v>1263300</v>
      </c>
      <c r="N4" s="6">
        <v>1328000</v>
      </c>
      <c r="O4" s="1"/>
    </row>
    <row r="5" spans="1:23" ht="15.75" thickBot="1" x14ac:dyDescent="0.3">
      <c r="A5" s="7">
        <v>121</v>
      </c>
      <c r="B5" s="332" t="s">
        <v>6</v>
      </c>
      <c r="C5" s="9">
        <v>31944</v>
      </c>
      <c r="D5" s="10">
        <v>32263</v>
      </c>
      <c r="E5" s="10">
        <v>32335</v>
      </c>
      <c r="F5" s="11">
        <v>34337</v>
      </c>
      <c r="G5" s="11">
        <v>34690</v>
      </c>
      <c r="H5" s="11">
        <v>39338</v>
      </c>
      <c r="I5" s="11">
        <v>41793</v>
      </c>
      <c r="J5" s="572">
        <v>60400</v>
      </c>
      <c r="K5" s="11">
        <v>60400</v>
      </c>
      <c r="L5" s="11">
        <v>61200</v>
      </c>
      <c r="M5" s="11">
        <v>61200</v>
      </c>
      <c r="N5" s="11">
        <v>61200</v>
      </c>
      <c r="O5" s="1"/>
    </row>
    <row r="6" spans="1:23" x14ac:dyDescent="0.25">
      <c r="A6" s="12">
        <v>133</v>
      </c>
      <c r="B6" s="333" t="s">
        <v>7</v>
      </c>
      <c r="C6" s="14">
        <v>894</v>
      </c>
      <c r="D6" s="15">
        <v>882</v>
      </c>
      <c r="E6" s="15">
        <v>837</v>
      </c>
      <c r="F6" s="16">
        <v>807</v>
      </c>
      <c r="G6" s="16">
        <v>771</v>
      </c>
      <c r="H6" s="16">
        <v>1052</v>
      </c>
      <c r="I6" s="16">
        <v>1013</v>
      </c>
      <c r="J6" s="371">
        <v>2000</v>
      </c>
      <c r="K6" s="16">
        <v>2000</v>
      </c>
      <c r="L6" s="16">
        <v>2000</v>
      </c>
      <c r="M6" s="16">
        <v>2000</v>
      </c>
      <c r="N6" s="16">
        <v>2000</v>
      </c>
      <c r="O6" s="1"/>
    </row>
    <row r="7" spans="1:23" x14ac:dyDescent="0.25">
      <c r="A7" s="17">
        <v>133</v>
      </c>
      <c r="B7" s="334" t="s">
        <v>8</v>
      </c>
      <c r="C7" s="19">
        <v>280</v>
      </c>
      <c r="D7" s="20">
        <v>280</v>
      </c>
      <c r="E7" s="20">
        <v>520</v>
      </c>
      <c r="F7" s="21">
        <v>160</v>
      </c>
      <c r="G7" s="21">
        <v>327</v>
      </c>
      <c r="H7" s="21">
        <v>160</v>
      </c>
      <c r="I7" s="21">
        <v>160</v>
      </c>
      <c r="J7" s="356">
        <v>400</v>
      </c>
      <c r="K7" s="21">
        <v>400</v>
      </c>
      <c r="L7" s="21">
        <v>200</v>
      </c>
      <c r="M7" s="21">
        <v>200</v>
      </c>
      <c r="N7" s="21">
        <v>200</v>
      </c>
      <c r="O7" s="1"/>
    </row>
    <row r="8" spans="1:23" x14ac:dyDescent="0.25">
      <c r="A8" s="17">
        <v>133</v>
      </c>
      <c r="B8" s="334" t="s">
        <v>9</v>
      </c>
      <c r="C8" s="19">
        <v>1454</v>
      </c>
      <c r="D8" s="20">
        <v>1587</v>
      </c>
      <c r="E8" s="20">
        <v>2465</v>
      </c>
      <c r="F8" s="21">
        <v>1486</v>
      </c>
      <c r="G8" s="21">
        <v>385</v>
      </c>
      <c r="H8" s="21">
        <v>1464</v>
      </c>
      <c r="I8" s="21">
        <v>1682</v>
      </c>
      <c r="J8" s="356">
        <v>5000</v>
      </c>
      <c r="K8" s="21">
        <v>6000</v>
      </c>
      <c r="L8" s="21">
        <v>6000</v>
      </c>
      <c r="M8" s="21">
        <v>6000</v>
      </c>
      <c r="N8" s="21">
        <v>6000</v>
      </c>
      <c r="O8" s="1"/>
    </row>
    <row r="9" spans="1:23" x14ac:dyDescent="0.25">
      <c r="A9" s="17">
        <v>133</v>
      </c>
      <c r="B9" s="334" t="s">
        <v>10</v>
      </c>
      <c r="C9" s="19">
        <v>3624</v>
      </c>
      <c r="D9" s="20">
        <v>3468</v>
      </c>
      <c r="E9" s="20">
        <v>5114</v>
      </c>
      <c r="F9" s="21">
        <v>1386</v>
      </c>
      <c r="G9" s="21">
        <v>1483</v>
      </c>
      <c r="H9" s="21">
        <v>5319</v>
      </c>
      <c r="I9" s="21">
        <v>5699</v>
      </c>
      <c r="J9" s="356">
        <v>7000</v>
      </c>
      <c r="K9" s="21">
        <v>6000</v>
      </c>
      <c r="L9" s="21">
        <v>6500</v>
      </c>
      <c r="M9" s="21">
        <v>6500</v>
      </c>
      <c r="N9" s="21">
        <v>6500</v>
      </c>
      <c r="O9" s="1"/>
    </row>
    <row r="10" spans="1:23" ht="15.75" thickBot="1" x14ac:dyDescent="0.3">
      <c r="A10" s="22">
        <v>133</v>
      </c>
      <c r="B10" s="335" t="s">
        <v>11</v>
      </c>
      <c r="C10" s="24">
        <v>17234</v>
      </c>
      <c r="D10" s="25">
        <v>19214</v>
      </c>
      <c r="E10" s="26">
        <v>18670</v>
      </c>
      <c r="F10" s="26">
        <v>24271</v>
      </c>
      <c r="G10" s="26">
        <v>28230</v>
      </c>
      <c r="H10" s="26">
        <v>25601</v>
      </c>
      <c r="I10" s="26">
        <v>25953</v>
      </c>
      <c r="J10" s="573">
        <v>38000</v>
      </c>
      <c r="K10" s="26">
        <v>38000</v>
      </c>
      <c r="L10" s="26">
        <v>35000</v>
      </c>
      <c r="M10" s="26">
        <v>35000</v>
      </c>
      <c r="N10" s="26">
        <v>35000</v>
      </c>
      <c r="O10" s="27">
        <f>SUM(H6:H10)</f>
        <v>33596</v>
      </c>
      <c r="P10" s="27">
        <f t="shared" ref="P10:U10" si="1">SUM(I6:I10)</f>
        <v>34507</v>
      </c>
      <c r="Q10" s="27">
        <f t="shared" si="1"/>
        <v>52400</v>
      </c>
      <c r="R10" s="27">
        <f t="shared" si="1"/>
        <v>52400</v>
      </c>
      <c r="S10" s="27">
        <f t="shared" si="1"/>
        <v>49700</v>
      </c>
      <c r="T10" s="27">
        <f t="shared" si="1"/>
        <v>49700</v>
      </c>
      <c r="U10" s="27">
        <f t="shared" si="1"/>
        <v>49700</v>
      </c>
    </row>
    <row r="11" spans="1:23" ht="15.75" thickBot="1" x14ac:dyDescent="0.3">
      <c r="A11" s="892" t="s">
        <v>12</v>
      </c>
      <c r="B11" s="893"/>
      <c r="C11" s="336">
        <f t="shared" ref="C11:N11" si="2">SUM(C12:C31)</f>
        <v>132648</v>
      </c>
      <c r="D11" s="336">
        <f t="shared" si="2"/>
        <v>200169</v>
      </c>
      <c r="E11" s="336">
        <f t="shared" si="2"/>
        <v>185006</v>
      </c>
      <c r="F11" s="336">
        <f t="shared" si="2"/>
        <v>130051</v>
      </c>
      <c r="G11" s="336">
        <f t="shared" si="2"/>
        <v>158058</v>
      </c>
      <c r="H11" s="336">
        <f t="shared" si="2"/>
        <v>165802</v>
      </c>
      <c r="I11" s="336">
        <f t="shared" si="2"/>
        <v>185581</v>
      </c>
      <c r="J11" s="336">
        <f t="shared" si="2"/>
        <v>246161</v>
      </c>
      <c r="K11" s="336">
        <f t="shared" si="2"/>
        <v>251594</v>
      </c>
      <c r="L11" s="336">
        <f t="shared" si="2"/>
        <v>247720</v>
      </c>
      <c r="M11" s="336">
        <f t="shared" si="2"/>
        <v>247720</v>
      </c>
      <c r="N11" s="336">
        <f t="shared" si="2"/>
        <v>247720</v>
      </c>
      <c r="O11" s="1"/>
    </row>
    <row r="12" spans="1:23" x14ac:dyDescent="0.25">
      <c r="A12" s="28">
        <v>212</v>
      </c>
      <c r="B12" s="29" t="s">
        <v>13</v>
      </c>
      <c r="C12" s="30">
        <v>2027</v>
      </c>
      <c r="D12" s="31">
        <v>2117</v>
      </c>
      <c r="E12" s="32">
        <v>2105</v>
      </c>
      <c r="F12" s="32">
        <v>1874</v>
      </c>
      <c r="G12" s="32">
        <v>1824</v>
      </c>
      <c r="H12" s="32">
        <v>1294</v>
      </c>
      <c r="I12" s="32">
        <v>2042</v>
      </c>
      <c r="J12" s="574">
        <v>2913</v>
      </c>
      <c r="K12" s="32">
        <v>2913</v>
      </c>
      <c r="L12" s="32">
        <v>3032</v>
      </c>
      <c r="M12" s="32">
        <v>3032</v>
      </c>
      <c r="N12" s="32">
        <v>3032</v>
      </c>
      <c r="O12" s="1"/>
    </row>
    <row r="13" spans="1:23" ht="15.75" thickBot="1" x14ac:dyDescent="0.3">
      <c r="A13" s="22">
        <v>212</v>
      </c>
      <c r="B13" s="23" t="s">
        <v>14</v>
      </c>
      <c r="C13" s="24">
        <v>189</v>
      </c>
      <c r="D13" s="48">
        <v>23970</v>
      </c>
      <c r="E13" s="79">
        <v>7680</v>
      </c>
      <c r="F13" s="79">
        <v>2530</v>
      </c>
      <c r="G13" s="79">
        <v>1030</v>
      </c>
      <c r="H13" s="79">
        <v>540</v>
      </c>
      <c r="I13" s="465">
        <v>490</v>
      </c>
      <c r="J13" s="465">
        <v>1000</v>
      </c>
      <c r="K13" s="79">
        <v>1000</v>
      </c>
      <c r="L13" s="79">
        <v>1000</v>
      </c>
      <c r="M13" s="79">
        <v>1000</v>
      </c>
      <c r="N13" s="79">
        <v>1000</v>
      </c>
      <c r="O13" s="27">
        <f>SUM(L12:L13)</f>
        <v>4032</v>
      </c>
    </row>
    <row r="14" spans="1:23" x14ac:dyDescent="0.25">
      <c r="A14" s="12">
        <v>212</v>
      </c>
      <c r="B14" s="13" t="s">
        <v>15</v>
      </c>
      <c r="C14" s="14">
        <v>3975</v>
      </c>
      <c r="D14" s="15">
        <v>3731</v>
      </c>
      <c r="E14" s="82">
        <v>3649</v>
      </c>
      <c r="F14" s="82">
        <v>3815</v>
      </c>
      <c r="G14" s="82">
        <v>3729</v>
      </c>
      <c r="H14" s="82">
        <v>3121</v>
      </c>
      <c r="I14" s="82">
        <v>3365</v>
      </c>
      <c r="J14" s="369">
        <v>3425</v>
      </c>
      <c r="K14" s="82">
        <v>3484</v>
      </c>
      <c r="L14" s="82">
        <v>3425</v>
      </c>
      <c r="M14" s="82">
        <v>3425</v>
      </c>
      <c r="N14" s="82">
        <v>3425</v>
      </c>
      <c r="O14" s="1"/>
    </row>
    <row r="15" spans="1:23" x14ac:dyDescent="0.25">
      <c r="A15" s="17">
        <v>212</v>
      </c>
      <c r="B15" s="18" t="s">
        <v>16</v>
      </c>
      <c r="C15" s="34">
        <v>17332</v>
      </c>
      <c r="D15" s="21">
        <v>17507</v>
      </c>
      <c r="E15" s="21">
        <v>17433</v>
      </c>
      <c r="F15" s="21">
        <v>15521</v>
      </c>
      <c r="G15" s="21">
        <v>19016</v>
      </c>
      <c r="H15" s="21">
        <v>15195</v>
      </c>
      <c r="I15" s="21">
        <v>15560</v>
      </c>
      <c r="J15" s="356">
        <v>19813</v>
      </c>
      <c r="K15" s="21">
        <v>19654</v>
      </c>
      <c r="L15" s="21">
        <v>19463</v>
      </c>
      <c r="M15" s="21">
        <v>19463</v>
      </c>
      <c r="N15" s="21">
        <v>19463</v>
      </c>
      <c r="O15" s="27"/>
    </row>
    <row r="16" spans="1:23" ht="15.75" thickBot="1" x14ac:dyDescent="0.3">
      <c r="A16" s="35">
        <v>212</v>
      </c>
      <c r="B16" s="36" t="s">
        <v>17</v>
      </c>
      <c r="C16" s="37">
        <v>5</v>
      </c>
      <c r="D16" s="38">
        <v>400</v>
      </c>
      <c r="E16" s="39">
        <v>1280</v>
      </c>
      <c r="F16" s="39">
        <v>0</v>
      </c>
      <c r="G16" s="39">
        <v>0</v>
      </c>
      <c r="H16" s="39">
        <v>0</v>
      </c>
      <c r="I16" s="39">
        <v>0</v>
      </c>
      <c r="J16" s="575">
        <v>0</v>
      </c>
      <c r="K16" s="39">
        <v>100</v>
      </c>
      <c r="L16" s="39">
        <v>100</v>
      </c>
      <c r="M16" s="39">
        <v>100</v>
      </c>
      <c r="N16" s="39">
        <v>100</v>
      </c>
      <c r="O16" s="426">
        <f>SUM(H12:H16)</f>
        <v>20150</v>
      </c>
      <c r="P16" s="426">
        <f t="shared" ref="P16:U16" si="3">SUM(I12:I16)</f>
        <v>21457</v>
      </c>
      <c r="Q16" s="426">
        <f t="shared" si="3"/>
        <v>27151</v>
      </c>
      <c r="R16" s="426">
        <f t="shared" si="3"/>
        <v>27151</v>
      </c>
      <c r="S16" s="426">
        <f t="shared" si="3"/>
        <v>27020</v>
      </c>
      <c r="T16" s="426">
        <f t="shared" si="3"/>
        <v>27020</v>
      </c>
      <c r="U16" s="426">
        <f t="shared" si="3"/>
        <v>27020</v>
      </c>
      <c r="V16" s="27"/>
      <c r="W16" s="426"/>
    </row>
    <row r="17" spans="1:23" ht="15.75" thickBot="1" x14ac:dyDescent="0.3">
      <c r="A17" s="7">
        <v>221</v>
      </c>
      <c r="B17" s="8" t="s">
        <v>18</v>
      </c>
      <c r="C17" s="9">
        <v>4093</v>
      </c>
      <c r="D17" s="40">
        <v>4796</v>
      </c>
      <c r="E17" s="41">
        <v>5069</v>
      </c>
      <c r="F17" s="41">
        <v>3283</v>
      </c>
      <c r="G17" s="41">
        <v>3292</v>
      </c>
      <c r="H17" s="41">
        <v>4693</v>
      </c>
      <c r="I17" s="41">
        <v>4328</v>
      </c>
      <c r="J17" s="576">
        <v>7200</v>
      </c>
      <c r="K17" s="41">
        <v>7200</v>
      </c>
      <c r="L17" s="41">
        <v>7200</v>
      </c>
      <c r="M17" s="41">
        <v>7200</v>
      </c>
      <c r="N17" s="41">
        <v>7200</v>
      </c>
      <c r="O17" s="1"/>
    </row>
    <row r="18" spans="1:23" ht="15.75" thickBot="1" x14ac:dyDescent="0.3">
      <c r="A18" s="35">
        <v>222</v>
      </c>
      <c r="B18" s="36" t="s">
        <v>19</v>
      </c>
      <c r="C18" s="37">
        <v>0</v>
      </c>
      <c r="D18" s="38">
        <v>90</v>
      </c>
      <c r="E18" s="39">
        <v>400</v>
      </c>
      <c r="F18" s="39">
        <v>0</v>
      </c>
      <c r="G18" s="39">
        <v>0</v>
      </c>
      <c r="H18" s="39">
        <v>200</v>
      </c>
      <c r="I18" s="39">
        <v>30</v>
      </c>
      <c r="J18" s="575">
        <v>0</v>
      </c>
      <c r="K18" s="39">
        <v>3883</v>
      </c>
      <c r="L18" s="39">
        <v>0</v>
      </c>
      <c r="M18" s="39">
        <v>0</v>
      </c>
      <c r="N18" s="39">
        <v>0</v>
      </c>
      <c r="O18" s="1"/>
    </row>
    <row r="19" spans="1:23" x14ac:dyDescent="0.25">
      <c r="A19" s="12">
        <v>223</v>
      </c>
      <c r="B19" s="13" t="s">
        <v>20</v>
      </c>
      <c r="C19" s="14">
        <v>713</v>
      </c>
      <c r="D19" s="15">
        <v>671</v>
      </c>
      <c r="E19" s="16">
        <v>503</v>
      </c>
      <c r="F19" s="16">
        <v>143</v>
      </c>
      <c r="G19" s="16">
        <v>448</v>
      </c>
      <c r="H19" s="16">
        <v>536</v>
      </c>
      <c r="I19" s="16">
        <v>550</v>
      </c>
      <c r="J19" s="371">
        <v>1000</v>
      </c>
      <c r="K19" s="16">
        <v>1000</v>
      </c>
      <c r="L19" s="16">
        <v>900</v>
      </c>
      <c r="M19" s="16">
        <v>900</v>
      </c>
      <c r="N19" s="16">
        <v>900</v>
      </c>
      <c r="O19" s="1"/>
    </row>
    <row r="20" spans="1:23" x14ac:dyDescent="0.25">
      <c r="A20" s="17">
        <v>223</v>
      </c>
      <c r="B20" s="18" t="s">
        <v>21</v>
      </c>
      <c r="C20" s="19">
        <v>16518</v>
      </c>
      <c r="D20" s="20">
        <v>17452</v>
      </c>
      <c r="E20" s="21">
        <v>15427</v>
      </c>
      <c r="F20" s="21">
        <v>15517</v>
      </c>
      <c r="G20" s="21">
        <v>15804</v>
      </c>
      <c r="H20" s="21">
        <v>17265</v>
      </c>
      <c r="I20" s="21">
        <v>16052</v>
      </c>
      <c r="J20" s="356">
        <v>21000</v>
      </c>
      <c r="K20" s="21">
        <v>21000</v>
      </c>
      <c r="L20" s="21">
        <v>25000</v>
      </c>
      <c r="M20" s="21">
        <v>25000</v>
      </c>
      <c r="N20" s="21">
        <v>25000</v>
      </c>
      <c r="O20" s="1"/>
    </row>
    <row r="21" spans="1:23" x14ac:dyDescent="0.25">
      <c r="A21" s="17">
        <v>223</v>
      </c>
      <c r="B21" s="18" t="s">
        <v>22</v>
      </c>
      <c r="C21" s="19">
        <v>0</v>
      </c>
      <c r="D21" s="20">
        <v>0</v>
      </c>
      <c r="E21" s="21">
        <v>0</v>
      </c>
      <c r="F21" s="21">
        <v>0</v>
      </c>
      <c r="G21" s="21">
        <v>0</v>
      </c>
      <c r="H21" s="21">
        <v>0</v>
      </c>
      <c r="I21" s="21">
        <v>8</v>
      </c>
      <c r="J21" s="356">
        <v>50</v>
      </c>
      <c r="K21" s="21">
        <v>100</v>
      </c>
      <c r="L21" s="21">
        <v>100</v>
      </c>
      <c r="M21" s="21">
        <v>100</v>
      </c>
      <c r="N21" s="21">
        <v>100</v>
      </c>
      <c r="O21" s="1"/>
    </row>
    <row r="22" spans="1:23" x14ac:dyDescent="0.25">
      <c r="A22" s="17">
        <v>223</v>
      </c>
      <c r="B22" s="18" t="s">
        <v>290</v>
      </c>
      <c r="C22" s="19">
        <v>34491</v>
      </c>
      <c r="D22" s="20">
        <v>32466</v>
      </c>
      <c r="E22" s="21">
        <v>31823</v>
      </c>
      <c r="F22" s="21">
        <v>630</v>
      </c>
      <c r="G22" s="21">
        <v>182</v>
      </c>
      <c r="H22" s="21">
        <v>1540</v>
      </c>
      <c r="I22" s="21">
        <v>3902</v>
      </c>
      <c r="J22" s="356">
        <v>4000</v>
      </c>
      <c r="K22" s="21">
        <v>4000</v>
      </c>
      <c r="L22" s="21">
        <v>3000</v>
      </c>
      <c r="M22" s="21">
        <v>3000</v>
      </c>
      <c r="N22" s="21">
        <v>3000</v>
      </c>
      <c r="O22" s="1"/>
    </row>
    <row r="23" spans="1:23" x14ac:dyDescent="0.25">
      <c r="A23" s="17">
        <v>223</v>
      </c>
      <c r="B23" s="18" t="s">
        <v>23</v>
      </c>
      <c r="C23" s="19">
        <v>519</v>
      </c>
      <c r="D23" s="20">
        <v>342</v>
      </c>
      <c r="E23" s="21">
        <v>255</v>
      </c>
      <c r="F23" s="21">
        <v>257</v>
      </c>
      <c r="G23" s="21">
        <v>656</v>
      </c>
      <c r="H23" s="21">
        <v>362</v>
      </c>
      <c r="I23" s="21">
        <v>322</v>
      </c>
      <c r="J23" s="356">
        <v>1000</v>
      </c>
      <c r="K23" s="21">
        <v>1000</v>
      </c>
      <c r="L23" s="21">
        <v>2000</v>
      </c>
      <c r="M23" s="21">
        <v>2000</v>
      </c>
      <c r="N23" s="21">
        <v>2000</v>
      </c>
      <c r="O23" s="1"/>
    </row>
    <row r="24" spans="1:23" x14ac:dyDescent="0.25">
      <c r="A24" s="17">
        <v>223</v>
      </c>
      <c r="B24" s="18" t="s">
        <v>24</v>
      </c>
      <c r="C24" s="19">
        <v>490</v>
      </c>
      <c r="D24" s="20">
        <v>597</v>
      </c>
      <c r="E24" s="21">
        <v>913</v>
      </c>
      <c r="F24" s="21">
        <v>1080</v>
      </c>
      <c r="G24" s="21">
        <v>730</v>
      </c>
      <c r="H24" s="21">
        <v>480</v>
      </c>
      <c r="I24" s="21">
        <v>690</v>
      </c>
      <c r="J24" s="356">
        <v>1000</v>
      </c>
      <c r="K24" s="21">
        <v>1000</v>
      </c>
      <c r="L24" s="21">
        <v>1000</v>
      </c>
      <c r="M24" s="21">
        <v>1000</v>
      </c>
      <c r="N24" s="21">
        <v>1000</v>
      </c>
      <c r="O24" s="1"/>
    </row>
    <row r="25" spans="1:23" x14ac:dyDescent="0.25">
      <c r="A25" s="17">
        <v>223</v>
      </c>
      <c r="B25" s="18" t="s">
        <v>25</v>
      </c>
      <c r="C25" s="19">
        <v>33709</v>
      </c>
      <c r="D25" s="20">
        <v>32850</v>
      </c>
      <c r="E25" s="21">
        <v>30304</v>
      </c>
      <c r="F25" s="21">
        <v>33431</v>
      </c>
      <c r="G25" s="21">
        <v>43133</v>
      </c>
      <c r="H25" s="21">
        <v>36866</v>
      </c>
      <c r="I25" s="21">
        <v>41985</v>
      </c>
      <c r="J25" s="356">
        <v>46000</v>
      </c>
      <c r="K25" s="21">
        <v>46000</v>
      </c>
      <c r="L25" s="21">
        <v>46000</v>
      </c>
      <c r="M25" s="21">
        <v>46000</v>
      </c>
      <c r="N25" s="21">
        <v>46000</v>
      </c>
      <c r="O25" s="1"/>
    </row>
    <row r="26" spans="1:23" x14ac:dyDescent="0.25">
      <c r="A26" s="17">
        <v>223</v>
      </c>
      <c r="B26" s="18" t="s">
        <v>26</v>
      </c>
      <c r="C26" s="19">
        <f>17009</f>
        <v>17009</v>
      </c>
      <c r="D26" s="20">
        <v>17553</v>
      </c>
      <c r="E26" s="21">
        <v>24783</v>
      </c>
      <c r="F26" s="21">
        <v>26360</v>
      </c>
      <c r="G26" s="21">
        <v>30450</v>
      </c>
      <c r="H26" s="21">
        <v>34393</v>
      </c>
      <c r="I26" s="21">
        <v>44768</v>
      </c>
      <c r="J26" s="356">
        <v>45000</v>
      </c>
      <c r="K26" s="21">
        <v>65800</v>
      </c>
      <c r="L26" s="21">
        <v>61000</v>
      </c>
      <c r="M26" s="21">
        <v>61000</v>
      </c>
      <c r="N26" s="21">
        <v>61000</v>
      </c>
      <c r="O26" s="1"/>
    </row>
    <row r="27" spans="1:23" x14ac:dyDescent="0.25">
      <c r="A27" s="17">
        <v>223</v>
      </c>
      <c r="B27" s="18" t="s">
        <v>27</v>
      </c>
      <c r="C27" s="19">
        <v>4</v>
      </c>
      <c r="D27" s="20">
        <v>87</v>
      </c>
      <c r="E27" s="21">
        <v>43</v>
      </c>
      <c r="F27" s="21">
        <v>27</v>
      </c>
      <c r="G27" s="21">
        <v>10</v>
      </c>
      <c r="H27" s="21">
        <v>13</v>
      </c>
      <c r="I27" s="21">
        <v>0</v>
      </c>
      <c r="J27" s="356">
        <v>60</v>
      </c>
      <c r="K27" s="21">
        <v>60</v>
      </c>
      <c r="L27" s="21">
        <v>0</v>
      </c>
      <c r="M27" s="21">
        <v>0</v>
      </c>
      <c r="N27" s="21">
        <v>0</v>
      </c>
      <c r="O27" s="27"/>
    </row>
    <row r="28" spans="1:23" x14ac:dyDescent="0.25">
      <c r="A28" s="17">
        <v>223</v>
      </c>
      <c r="B28" s="18" t="s">
        <v>28</v>
      </c>
      <c r="C28" s="19">
        <v>1568</v>
      </c>
      <c r="D28" s="42">
        <v>45540</v>
      </c>
      <c r="E28" s="45">
        <v>2057</v>
      </c>
      <c r="F28" s="20">
        <v>1746</v>
      </c>
      <c r="G28" s="21">
        <v>2040</v>
      </c>
      <c r="H28" s="21">
        <v>1902</v>
      </c>
      <c r="I28" s="21">
        <v>2313</v>
      </c>
      <c r="J28" s="356">
        <v>2100</v>
      </c>
      <c r="K28" s="21">
        <v>2300</v>
      </c>
      <c r="L28" s="21">
        <v>2100</v>
      </c>
      <c r="M28" s="21">
        <v>2100</v>
      </c>
      <c r="N28" s="21">
        <v>2100</v>
      </c>
      <c r="O28" s="1"/>
    </row>
    <row r="29" spans="1:23" x14ac:dyDescent="0.25">
      <c r="A29" s="17">
        <v>223</v>
      </c>
      <c r="B29" s="18" t="s">
        <v>214</v>
      </c>
      <c r="C29" s="19"/>
      <c r="D29" s="20">
        <v>0</v>
      </c>
      <c r="E29" s="46">
        <v>0</v>
      </c>
      <c r="F29" s="356">
        <v>0</v>
      </c>
      <c r="G29" s="21">
        <v>390</v>
      </c>
      <c r="H29" s="21">
        <v>1080</v>
      </c>
      <c r="I29" s="21">
        <v>1120</v>
      </c>
      <c r="J29" s="356">
        <v>1300</v>
      </c>
      <c r="K29" s="21">
        <v>1100</v>
      </c>
      <c r="L29" s="21">
        <v>1300</v>
      </c>
      <c r="M29" s="21">
        <v>1300</v>
      </c>
      <c r="N29" s="21">
        <v>1300</v>
      </c>
      <c r="O29" s="1"/>
    </row>
    <row r="30" spans="1:23" x14ac:dyDescent="0.25">
      <c r="A30" s="43">
        <v>223</v>
      </c>
      <c r="B30" s="44" t="s">
        <v>29</v>
      </c>
      <c r="C30" s="19">
        <v>0</v>
      </c>
      <c r="D30" s="45">
        <v>0</v>
      </c>
      <c r="E30" s="80">
        <v>41282</v>
      </c>
      <c r="F30" s="80">
        <v>23837</v>
      </c>
      <c r="G30" s="46">
        <v>35324</v>
      </c>
      <c r="H30" s="46">
        <v>46322</v>
      </c>
      <c r="I30" s="46">
        <v>48056</v>
      </c>
      <c r="J30" s="577">
        <v>85900</v>
      </c>
      <c r="K30" s="46">
        <v>66600</v>
      </c>
      <c r="L30" s="46">
        <v>71000</v>
      </c>
      <c r="M30" s="46">
        <v>71000</v>
      </c>
      <c r="N30" s="46">
        <v>71000</v>
      </c>
      <c r="O30" s="27"/>
    </row>
    <row r="31" spans="1:23" ht="15.75" thickBot="1" x14ac:dyDescent="0.3">
      <c r="A31" s="22">
        <v>223</v>
      </c>
      <c r="B31" s="23" t="s">
        <v>30</v>
      </c>
      <c r="C31" s="24">
        <v>6</v>
      </c>
      <c r="D31" s="47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65">
        <v>3400</v>
      </c>
      <c r="K31" s="48">
        <v>3400</v>
      </c>
      <c r="L31" s="79">
        <v>100</v>
      </c>
      <c r="M31" s="48">
        <v>100</v>
      </c>
      <c r="N31" s="48">
        <v>100</v>
      </c>
      <c r="O31" s="27">
        <f>SUM(H19:H31)</f>
        <v>140759</v>
      </c>
      <c r="P31" s="27">
        <f t="shared" ref="P31:U31" si="4">SUM(I19:I31)</f>
        <v>159766</v>
      </c>
      <c r="Q31" s="27">
        <f t="shared" si="4"/>
        <v>211810</v>
      </c>
      <c r="R31" s="27">
        <f t="shared" si="4"/>
        <v>213360</v>
      </c>
      <c r="S31" s="27">
        <f t="shared" si="4"/>
        <v>213500</v>
      </c>
      <c r="T31" s="27">
        <f t="shared" si="4"/>
        <v>213500</v>
      </c>
      <c r="U31" s="27">
        <f t="shared" si="4"/>
        <v>213500</v>
      </c>
      <c r="V31" s="426"/>
      <c r="W31" s="426"/>
    </row>
    <row r="32" spans="1:23" ht="15.75" thickBot="1" x14ac:dyDescent="0.3">
      <c r="A32" s="49" t="s">
        <v>31</v>
      </c>
      <c r="B32" s="50"/>
      <c r="C32" s="336">
        <f t="shared" ref="C32:N32" si="5">SUM(C33)</f>
        <v>363</v>
      </c>
      <c r="D32" s="337">
        <f t="shared" si="5"/>
        <v>258</v>
      </c>
      <c r="E32" s="2">
        <f t="shared" si="5"/>
        <v>396</v>
      </c>
      <c r="F32" s="2">
        <f t="shared" si="5"/>
        <v>52</v>
      </c>
      <c r="G32" s="2">
        <f t="shared" si="5"/>
        <v>9</v>
      </c>
      <c r="H32" s="2">
        <f t="shared" si="5"/>
        <v>11</v>
      </c>
      <c r="I32" s="2">
        <f t="shared" si="5"/>
        <v>15</v>
      </c>
      <c r="J32" s="2">
        <f t="shared" si="5"/>
        <v>50</v>
      </c>
      <c r="K32" s="2">
        <f t="shared" si="5"/>
        <v>50</v>
      </c>
      <c r="L32" s="2">
        <f t="shared" si="5"/>
        <v>50</v>
      </c>
      <c r="M32" s="2">
        <f t="shared" si="5"/>
        <v>50</v>
      </c>
      <c r="N32" s="2">
        <f t="shared" si="5"/>
        <v>50</v>
      </c>
      <c r="O32" s="1"/>
    </row>
    <row r="33" spans="1:17" ht="15.75" thickBot="1" x14ac:dyDescent="0.3">
      <c r="A33" s="51">
        <v>240</v>
      </c>
      <c r="B33" s="47" t="s">
        <v>32</v>
      </c>
      <c r="C33" s="339">
        <v>363</v>
      </c>
      <c r="D33" s="338">
        <v>258</v>
      </c>
      <c r="E33" s="38">
        <v>396</v>
      </c>
      <c r="F33" s="38">
        <v>52</v>
      </c>
      <c r="G33" s="38">
        <v>9</v>
      </c>
      <c r="H33" s="38">
        <v>11</v>
      </c>
      <c r="I33" s="38">
        <v>15</v>
      </c>
      <c r="J33" s="38">
        <v>50</v>
      </c>
      <c r="K33" s="38">
        <v>50</v>
      </c>
      <c r="L33" s="38">
        <v>50</v>
      </c>
      <c r="M33" s="38">
        <v>50</v>
      </c>
      <c r="N33" s="38">
        <v>50</v>
      </c>
      <c r="O33" s="1"/>
    </row>
    <row r="34" spans="1:17" ht="15.75" thickBot="1" x14ac:dyDescent="0.3">
      <c r="A34" s="49" t="s">
        <v>33</v>
      </c>
      <c r="B34" s="50"/>
      <c r="C34" s="336">
        <f t="shared" ref="C34:N34" si="6">SUM(C35:C41)</f>
        <v>36541</v>
      </c>
      <c r="D34" s="336">
        <f t="shared" si="6"/>
        <v>32063</v>
      </c>
      <c r="E34" s="336">
        <f t="shared" si="6"/>
        <v>24990</v>
      </c>
      <c r="F34" s="336">
        <f t="shared" si="6"/>
        <v>28915</v>
      </c>
      <c r="G34" s="336">
        <f t="shared" si="6"/>
        <v>44894</v>
      </c>
      <c r="H34" s="336">
        <f t="shared" si="6"/>
        <v>41751</v>
      </c>
      <c r="I34" s="336">
        <f t="shared" si="6"/>
        <v>42454</v>
      </c>
      <c r="J34" s="336">
        <f t="shared" si="6"/>
        <v>71070</v>
      </c>
      <c r="K34" s="336">
        <f t="shared" si="6"/>
        <v>78830</v>
      </c>
      <c r="L34" s="336">
        <f t="shared" si="6"/>
        <v>60240</v>
      </c>
      <c r="M34" s="336">
        <f t="shared" si="6"/>
        <v>60260</v>
      </c>
      <c r="N34" s="336">
        <f t="shared" si="6"/>
        <v>60280</v>
      </c>
      <c r="O34" s="1"/>
    </row>
    <row r="35" spans="1:17" x14ac:dyDescent="0.25">
      <c r="A35" s="52">
        <v>292</v>
      </c>
      <c r="B35" s="53" t="s">
        <v>34</v>
      </c>
      <c r="C35" s="54">
        <v>1054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821</v>
      </c>
      <c r="J35" s="116">
        <v>0</v>
      </c>
      <c r="K35" s="55"/>
      <c r="L35" s="55">
        <v>0</v>
      </c>
      <c r="M35" s="55"/>
      <c r="N35" s="55">
        <v>0</v>
      </c>
      <c r="O35" s="1"/>
    </row>
    <row r="36" spans="1:17" x14ac:dyDescent="0.25">
      <c r="A36" s="52">
        <v>292</v>
      </c>
      <c r="B36" s="53" t="s">
        <v>35</v>
      </c>
      <c r="C36" s="54">
        <v>326</v>
      </c>
      <c r="D36" s="56">
        <v>279</v>
      </c>
      <c r="E36" s="55">
        <v>241</v>
      </c>
      <c r="F36" s="55">
        <v>247</v>
      </c>
      <c r="G36" s="55">
        <v>152</v>
      </c>
      <c r="H36" s="55">
        <v>25</v>
      </c>
      <c r="I36" s="55">
        <v>0</v>
      </c>
      <c r="J36" s="148">
        <v>0</v>
      </c>
      <c r="K36" s="55"/>
      <c r="L36" s="55">
        <v>0</v>
      </c>
      <c r="M36" s="55">
        <v>0</v>
      </c>
      <c r="N36" s="55">
        <v>0</v>
      </c>
      <c r="O36" s="1"/>
    </row>
    <row r="37" spans="1:17" x14ac:dyDescent="0.25">
      <c r="A37" s="57">
        <v>292</v>
      </c>
      <c r="B37" s="58" t="s">
        <v>36</v>
      </c>
      <c r="C37" s="59">
        <v>1998</v>
      </c>
      <c r="D37" s="60">
        <v>3206</v>
      </c>
      <c r="E37" s="61">
        <v>2949</v>
      </c>
      <c r="F37" s="61">
        <v>441</v>
      </c>
      <c r="G37" s="61">
        <v>10988</v>
      </c>
      <c r="H37" s="61">
        <v>413</v>
      </c>
      <c r="I37" s="61">
        <v>743</v>
      </c>
      <c r="J37" s="116">
        <v>1000</v>
      </c>
      <c r="K37" s="61">
        <v>8000</v>
      </c>
      <c r="L37" s="61">
        <v>10000</v>
      </c>
      <c r="M37" s="61">
        <v>10000</v>
      </c>
      <c r="N37" s="61">
        <v>10000</v>
      </c>
      <c r="O37" s="1"/>
    </row>
    <row r="38" spans="1:17" x14ac:dyDescent="0.25">
      <c r="A38" s="57">
        <v>292</v>
      </c>
      <c r="B38" s="58" t="s">
        <v>37</v>
      </c>
      <c r="C38" s="59">
        <v>16161</v>
      </c>
      <c r="D38" s="60">
        <v>7460</v>
      </c>
      <c r="E38" s="60">
        <v>308</v>
      </c>
      <c r="F38" s="60">
        <v>19</v>
      </c>
      <c r="G38" s="60">
        <v>240</v>
      </c>
      <c r="H38" s="60">
        <v>6</v>
      </c>
      <c r="I38" s="60">
        <v>0</v>
      </c>
      <c r="J38" s="148">
        <v>500</v>
      </c>
      <c r="K38" s="60">
        <v>500</v>
      </c>
      <c r="L38" s="60">
        <v>500</v>
      </c>
      <c r="M38" s="60">
        <v>500</v>
      </c>
      <c r="N38" s="60">
        <v>500</v>
      </c>
      <c r="O38" s="1"/>
    </row>
    <row r="39" spans="1:17" x14ac:dyDescent="0.25">
      <c r="A39" s="57">
        <v>292</v>
      </c>
      <c r="B39" s="18" t="s">
        <v>38</v>
      </c>
      <c r="C39" s="62">
        <v>210</v>
      </c>
      <c r="D39" s="63">
        <v>232</v>
      </c>
      <c r="E39" s="64">
        <v>252</v>
      </c>
      <c r="F39" s="64">
        <v>280</v>
      </c>
      <c r="G39" s="64">
        <v>301</v>
      </c>
      <c r="H39" s="64">
        <v>312</v>
      </c>
      <c r="I39" s="64">
        <v>338</v>
      </c>
      <c r="J39" s="524">
        <v>350</v>
      </c>
      <c r="K39" s="64">
        <v>365</v>
      </c>
      <c r="L39" s="64">
        <v>380</v>
      </c>
      <c r="M39" s="64">
        <v>400</v>
      </c>
      <c r="N39" s="64">
        <v>420</v>
      </c>
      <c r="O39" s="1"/>
    </row>
    <row r="40" spans="1:17" x14ac:dyDescent="0.25">
      <c r="A40" s="57">
        <v>292</v>
      </c>
      <c r="B40" s="58" t="s">
        <v>188</v>
      </c>
      <c r="C40" s="59">
        <f>16422-C39</f>
        <v>16212</v>
      </c>
      <c r="D40" s="61">
        <f>21118-D39</f>
        <v>20886</v>
      </c>
      <c r="E40" s="60">
        <v>21100</v>
      </c>
      <c r="F40" s="60">
        <v>27928</v>
      </c>
      <c r="G40" s="60">
        <v>33213</v>
      </c>
      <c r="H40" s="60">
        <v>40995</v>
      </c>
      <c r="I40" s="60">
        <f>40890-I39</f>
        <v>40552</v>
      </c>
      <c r="J40" s="148">
        <v>69200</v>
      </c>
      <c r="K40" s="60">
        <v>69900</v>
      </c>
      <c r="L40" s="60">
        <f>49730-L39</f>
        <v>49350</v>
      </c>
      <c r="M40" s="60">
        <f>49750-M39</f>
        <v>49350</v>
      </c>
      <c r="N40" s="60">
        <f>49770-N39</f>
        <v>49350</v>
      </c>
      <c r="O40" s="27"/>
      <c r="P40" s="27"/>
      <c r="Q40" s="27"/>
    </row>
    <row r="41" spans="1:17" ht="15.75" thickBot="1" x14ac:dyDescent="0.3">
      <c r="A41" s="57">
        <v>292</v>
      </c>
      <c r="B41" s="58" t="s">
        <v>260</v>
      </c>
      <c r="C41" s="59">
        <v>580</v>
      </c>
      <c r="D41" s="60">
        <v>0</v>
      </c>
      <c r="E41" s="60">
        <v>140</v>
      </c>
      <c r="F41" s="60">
        <v>0</v>
      </c>
      <c r="G41" s="60">
        <v>0</v>
      </c>
      <c r="H41" s="60">
        <v>0</v>
      </c>
      <c r="I41" s="60">
        <v>0</v>
      </c>
      <c r="J41" s="148">
        <v>20</v>
      </c>
      <c r="K41" s="60">
        <v>65</v>
      </c>
      <c r="L41" s="60">
        <v>10</v>
      </c>
      <c r="M41" s="60">
        <v>10</v>
      </c>
      <c r="N41" s="60">
        <v>10</v>
      </c>
      <c r="O41" s="1"/>
    </row>
    <row r="42" spans="1:17" ht="15.75" thickBot="1" x14ac:dyDescent="0.3">
      <c r="A42" s="65" t="s">
        <v>39</v>
      </c>
      <c r="B42" s="340"/>
      <c r="C42" s="336">
        <f t="shared" ref="C42:N42" si="7">SUM(C43:C84)</f>
        <v>537043</v>
      </c>
      <c r="D42" s="359">
        <f t="shared" si="7"/>
        <v>553992</v>
      </c>
      <c r="E42" s="336">
        <f t="shared" si="7"/>
        <v>673247</v>
      </c>
      <c r="F42" s="336">
        <f t="shared" si="7"/>
        <v>814828</v>
      </c>
      <c r="G42" s="336">
        <f t="shared" si="7"/>
        <v>864949</v>
      </c>
      <c r="H42" s="336">
        <f t="shared" si="7"/>
        <v>772149</v>
      </c>
      <c r="I42" s="336">
        <f t="shared" si="7"/>
        <v>1078986</v>
      </c>
      <c r="J42" s="336">
        <f t="shared" si="7"/>
        <v>955422</v>
      </c>
      <c r="K42" s="336">
        <f t="shared" si="7"/>
        <v>1176579</v>
      </c>
      <c r="L42" s="336">
        <f t="shared" si="7"/>
        <v>1306665</v>
      </c>
      <c r="M42" s="336">
        <f t="shared" si="7"/>
        <v>1296235</v>
      </c>
      <c r="N42" s="336">
        <f t="shared" si="7"/>
        <v>1224010</v>
      </c>
      <c r="O42" s="1"/>
    </row>
    <row r="43" spans="1:17" x14ac:dyDescent="0.25">
      <c r="A43" s="67">
        <v>311</v>
      </c>
      <c r="B43" s="341" t="s">
        <v>40</v>
      </c>
      <c r="C43" s="349">
        <v>2000</v>
      </c>
      <c r="D43" s="360">
        <v>8000</v>
      </c>
      <c r="E43" s="349">
        <v>3000</v>
      </c>
      <c r="F43" s="390">
        <v>0</v>
      </c>
      <c r="G43" s="68">
        <v>0</v>
      </c>
      <c r="H43" s="68">
        <v>8000</v>
      </c>
      <c r="I43" s="68">
        <v>3000</v>
      </c>
      <c r="J43" s="68">
        <v>0</v>
      </c>
      <c r="K43" s="68">
        <v>3000</v>
      </c>
      <c r="L43" s="68">
        <v>0</v>
      </c>
      <c r="M43" s="68">
        <v>0</v>
      </c>
      <c r="N43" s="68">
        <v>0</v>
      </c>
      <c r="O43" s="1"/>
    </row>
    <row r="44" spans="1:17" x14ac:dyDescent="0.25">
      <c r="A44" s="71">
        <v>312</v>
      </c>
      <c r="B44" s="76" t="s">
        <v>202</v>
      </c>
      <c r="C44" s="350"/>
      <c r="D44" s="463">
        <v>0</v>
      </c>
      <c r="E44" s="350">
        <v>0</v>
      </c>
      <c r="F44" s="391">
        <v>8895</v>
      </c>
      <c r="G44" s="70">
        <v>0</v>
      </c>
      <c r="H44" s="70">
        <v>0</v>
      </c>
      <c r="I44" s="70">
        <v>0</v>
      </c>
      <c r="J44" s="70">
        <v>0</v>
      </c>
      <c r="K44" s="70">
        <v>0</v>
      </c>
      <c r="L44" s="70">
        <v>0</v>
      </c>
      <c r="M44" s="70">
        <v>0</v>
      </c>
      <c r="N44" s="70">
        <v>0</v>
      </c>
      <c r="O44" s="1"/>
    </row>
    <row r="45" spans="1:17" x14ac:dyDescent="0.25">
      <c r="A45" s="67">
        <v>312</v>
      </c>
      <c r="B45" s="341" t="s">
        <v>253</v>
      </c>
      <c r="C45" s="349">
        <v>2089</v>
      </c>
      <c r="D45" s="347">
        <v>2072</v>
      </c>
      <c r="E45" s="349">
        <v>6211</v>
      </c>
      <c r="F45" s="390">
        <v>3420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1"/>
    </row>
    <row r="46" spans="1:17" x14ac:dyDescent="0.25">
      <c r="A46" s="67">
        <v>312</v>
      </c>
      <c r="B46" s="341" t="s">
        <v>215</v>
      </c>
      <c r="C46" s="350"/>
      <c r="D46" s="347">
        <v>0</v>
      </c>
      <c r="E46" s="350">
        <v>0</v>
      </c>
      <c r="F46" s="391">
        <v>0</v>
      </c>
      <c r="G46" s="70">
        <v>13857</v>
      </c>
      <c r="H46" s="70">
        <v>4619</v>
      </c>
      <c r="I46" s="70">
        <v>0</v>
      </c>
      <c r="J46" s="70">
        <v>0</v>
      </c>
      <c r="K46" s="70">
        <v>0</v>
      </c>
      <c r="L46" s="70">
        <v>0</v>
      </c>
      <c r="M46" s="70">
        <v>0</v>
      </c>
      <c r="N46" s="70">
        <v>0</v>
      </c>
      <c r="O46" s="1"/>
    </row>
    <row r="47" spans="1:17" x14ac:dyDescent="0.25">
      <c r="A47" s="69">
        <v>312</v>
      </c>
      <c r="B47" s="413" t="s">
        <v>239</v>
      </c>
      <c r="C47" s="350"/>
      <c r="D47" s="347">
        <v>0</v>
      </c>
      <c r="E47" s="350">
        <v>0</v>
      </c>
      <c r="F47" s="391">
        <v>0</v>
      </c>
      <c r="G47" s="70">
        <v>0</v>
      </c>
      <c r="H47" s="70">
        <v>2881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1"/>
    </row>
    <row r="48" spans="1:17" x14ac:dyDescent="0.25">
      <c r="A48" s="69">
        <v>312</v>
      </c>
      <c r="B48" s="413" t="s">
        <v>250</v>
      </c>
      <c r="C48" s="350"/>
      <c r="D48" s="347">
        <v>0</v>
      </c>
      <c r="E48" s="350">
        <v>0</v>
      </c>
      <c r="F48" s="391">
        <v>0</v>
      </c>
      <c r="G48" s="70">
        <f>52865+150</f>
        <v>53015</v>
      </c>
      <c r="H48" s="70">
        <v>767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70">
        <v>0</v>
      </c>
      <c r="O48" s="1"/>
    </row>
    <row r="49" spans="1:16" x14ac:dyDescent="0.25">
      <c r="A49" s="67">
        <v>312</v>
      </c>
      <c r="B49" s="341" t="s">
        <v>278</v>
      </c>
      <c r="C49" s="350"/>
      <c r="D49" s="347"/>
      <c r="E49" s="350"/>
      <c r="F49" s="391">
        <v>0</v>
      </c>
      <c r="G49" s="391">
        <v>0</v>
      </c>
      <c r="H49" s="391">
        <v>0</v>
      </c>
      <c r="I49" s="391">
        <v>46784</v>
      </c>
      <c r="J49" s="391">
        <v>0</v>
      </c>
      <c r="K49" s="499">
        <v>23751</v>
      </c>
      <c r="L49" s="70">
        <v>0</v>
      </c>
      <c r="M49" s="70">
        <v>0</v>
      </c>
      <c r="N49" s="70">
        <v>0</v>
      </c>
      <c r="O49" s="1"/>
    </row>
    <row r="50" spans="1:16" x14ac:dyDescent="0.25">
      <c r="A50" s="67">
        <v>312</v>
      </c>
      <c r="B50" s="334" t="s">
        <v>279</v>
      </c>
      <c r="C50" s="350"/>
      <c r="D50" s="347"/>
      <c r="E50" s="350"/>
      <c r="F50" s="391">
        <v>0</v>
      </c>
      <c r="G50" s="391">
        <v>0</v>
      </c>
      <c r="H50" s="391">
        <v>0</v>
      </c>
      <c r="I50" s="391">
        <v>0</v>
      </c>
      <c r="J50" s="391">
        <v>0</v>
      </c>
      <c r="K50" s="500">
        <v>48100</v>
      </c>
      <c r="L50" s="70">
        <v>69225</v>
      </c>
      <c r="M50" s="70">
        <v>69225</v>
      </c>
      <c r="N50" s="70">
        <v>0</v>
      </c>
      <c r="O50" s="1"/>
    </row>
    <row r="51" spans="1:16" x14ac:dyDescent="0.25">
      <c r="A51" s="67">
        <v>312</v>
      </c>
      <c r="B51" s="341" t="s">
        <v>280</v>
      </c>
      <c r="C51" s="350"/>
      <c r="D51" s="347"/>
      <c r="E51" s="350"/>
      <c r="F51" s="391">
        <v>0</v>
      </c>
      <c r="G51" s="391">
        <v>0</v>
      </c>
      <c r="H51" s="391">
        <v>0</v>
      </c>
      <c r="I51" s="391">
        <v>37434</v>
      </c>
      <c r="J51" s="391">
        <v>28000</v>
      </c>
      <c r="K51" s="68">
        <v>13320</v>
      </c>
      <c r="L51" s="70">
        <v>0</v>
      </c>
      <c r="M51" s="70">
        <v>0</v>
      </c>
      <c r="N51" s="70">
        <v>0</v>
      </c>
      <c r="O51" s="1"/>
    </row>
    <row r="52" spans="1:16" x14ac:dyDescent="0.25">
      <c r="A52" s="476">
        <v>312</v>
      </c>
      <c r="B52" s="498" t="s">
        <v>281</v>
      </c>
      <c r="C52" s="350"/>
      <c r="D52" s="347"/>
      <c r="E52" s="350"/>
      <c r="F52" s="391">
        <v>0</v>
      </c>
      <c r="G52" s="391">
        <v>0</v>
      </c>
      <c r="H52" s="391">
        <v>0</v>
      </c>
      <c r="I52" s="391">
        <v>18200</v>
      </c>
      <c r="J52" s="391">
        <v>0</v>
      </c>
      <c r="K52" s="501">
        <v>0</v>
      </c>
      <c r="L52" s="70">
        <v>0</v>
      </c>
      <c r="M52" s="70">
        <v>0</v>
      </c>
      <c r="N52" s="70">
        <v>0</v>
      </c>
      <c r="O52" s="1"/>
    </row>
    <row r="53" spans="1:16" x14ac:dyDescent="0.25">
      <c r="A53" s="71">
        <v>312</v>
      </c>
      <c r="B53" s="334" t="s">
        <v>193</v>
      </c>
      <c r="C53" s="351">
        <v>5791</v>
      </c>
      <c r="D53" s="347">
        <v>2899</v>
      </c>
      <c r="E53" s="351">
        <v>27030</v>
      </c>
      <c r="F53" s="392">
        <v>39080</v>
      </c>
      <c r="G53" s="16">
        <v>33071</v>
      </c>
      <c r="H53" s="16">
        <v>5899</v>
      </c>
      <c r="I53" s="16">
        <v>48939</v>
      </c>
      <c r="J53" s="16">
        <v>55000</v>
      </c>
      <c r="K53" s="16">
        <v>57820</v>
      </c>
      <c r="L53" s="16">
        <f>62400+500</f>
        <v>62900</v>
      </c>
      <c r="M53" s="16">
        <f t="shared" ref="M53:N53" si="8">62400+500</f>
        <v>62900</v>
      </c>
      <c r="N53" s="16">
        <f t="shared" si="8"/>
        <v>62900</v>
      </c>
      <c r="O53" s="1"/>
    </row>
    <row r="54" spans="1:16" x14ac:dyDescent="0.25">
      <c r="A54" s="71">
        <v>312</v>
      </c>
      <c r="B54" s="334" t="s">
        <v>194</v>
      </c>
      <c r="C54" s="351">
        <v>645</v>
      </c>
      <c r="D54" s="347">
        <v>739</v>
      </c>
      <c r="E54" s="351">
        <v>227</v>
      </c>
      <c r="F54" s="392">
        <v>225</v>
      </c>
      <c r="G54" s="16">
        <v>25</v>
      </c>
      <c r="H54" s="16">
        <v>0</v>
      </c>
      <c r="I54" s="16">
        <v>480</v>
      </c>
      <c r="J54" s="16">
        <v>180</v>
      </c>
      <c r="K54" s="16">
        <v>1080</v>
      </c>
      <c r="L54" s="16">
        <v>500</v>
      </c>
      <c r="M54" s="16">
        <v>500</v>
      </c>
      <c r="N54" s="16">
        <v>500</v>
      </c>
      <c r="O54" s="27"/>
    </row>
    <row r="55" spans="1:16" x14ac:dyDescent="0.25">
      <c r="A55" s="71">
        <v>312</v>
      </c>
      <c r="B55" s="114" t="s">
        <v>41</v>
      </c>
      <c r="C55" s="352">
        <v>13737</v>
      </c>
      <c r="D55" s="347">
        <v>15058</v>
      </c>
      <c r="E55" s="14">
        <v>3305</v>
      </c>
      <c r="F55" s="393">
        <v>3082</v>
      </c>
      <c r="G55" s="73">
        <v>1195</v>
      </c>
      <c r="H55" s="73">
        <v>405</v>
      </c>
      <c r="I55" s="73">
        <v>86</v>
      </c>
      <c r="J55" s="73">
        <v>600</v>
      </c>
      <c r="K55" s="73">
        <v>710</v>
      </c>
      <c r="L55" s="73">
        <v>0</v>
      </c>
      <c r="M55" s="73">
        <v>0</v>
      </c>
      <c r="N55" s="73">
        <v>0</v>
      </c>
      <c r="O55" s="27"/>
    </row>
    <row r="56" spans="1:16" x14ac:dyDescent="0.25">
      <c r="A56" s="71">
        <v>312</v>
      </c>
      <c r="B56" s="333" t="s">
        <v>323</v>
      </c>
      <c r="C56" s="352">
        <v>0</v>
      </c>
      <c r="D56" s="347">
        <v>0</v>
      </c>
      <c r="E56" s="14">
        <v>0</v>
      </c>
      <c r="F56" s="393">
        <v>18563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1"/>
    </row>
    <row r="57" spans="1:16" x14ac:dyDescent="0.25">
      <c r="A57" s="71">
        <v>312</v>
      </c>
      <c r="B57" s="333" t="s">
        <v>282</v>
      </c>
      <c r="C57" s="352"/>
      <c r="D57" s="347"/>
      <c r="E57" s="14"/>
      <c r="F57" s="393">
        <v>0</v>
      </c>
      <c r="G57" s="393">
        <v>0</v>
      </c>
      <c r="H57" s="393">
        <v>0</v>
      </c>
      <c r="I57" s="393">
        <v>14148</v>
      </c>
      <c r="J57" s="393">
        <v>0</v>
      </c>
      <c r="K57" s="393">
        <v>0</v>
      </c>
      <c r="L57" s="73">
        <v>0</v>
      </c>
      <c r="M57" s="73">
        <v>0</v>
      </c>
      <c r="N57" s="73">
        <v>0</v>
      </c>
      <c r="O57" s="1"/>
    </row>
    <row r="58" spans="1:16" x14ac:dyDescent="0.25">
      <c r="A58" s="83">
        <v>312</v>
      </c>
      <c r="B58" s="334" t="s">
        <v>283</v>
      </c>
      <c r="C58" s="352"/>
      <c r="D58" s="347"/>
      <c r="E58" s="14"/>
      <c r="F58" s="393">
        <v>0</v>
      </c>
      <c r="G58" s="393">
        <v>0</v>
      </c>
      <c r="H58" s="393">
        <v>0</v>
      </c>
      <c r="I58" s="393">
        <v>11268</v>
      </c>
      <c r="J58" s="393">
        <v>0</v>
      </c>
      <c r="K58" s="393">
        <v>0</v>
      </c>
      <c r="L58" s="73">
        <v>0</v>
      </c>
      <c r="M58" s="73">
        <v>0</v>
      </c>
      <c r="N58" s="73">
        <v>0</v>
      </c>
      <c r="O58" s="1"/>
    </row>
    <row r="59" spans="1:16" x14ac:dyDescent="0.25">
      <c r="A59" s="71">
        <v>312</v>
      </c>
      <c r="B59" s="76" t="s">
        <v>248</v>
      </c>
      <c r="C59" s="352"/>
      <c r="D59" s="347">
        <v>0</v>
      </c>
      <c r="E59" s="14">
        <v>0</v>
      </c>
      <c r="F59" s="393">
        <v>12159</v>
      </c>
      <c r="G59" s="73">
        <f>12025+8883</f>
        <v>20908</v>
      </c>
      <c r="H59" s="73">
        <v>0</v>
      </c>
      <c r="I59" s="73">
        <v>0</v>
      </c>
      <c r="J59" s="73">
        <v>0</v>
      </c>
      <c r="K59" s="73">
        <v>0</v>
      </c>
      <c r="L59" s="73">
        <v>0</v>
      </c>
      <c r="M59" s="73">
        <v>0</v>
      </c>
      <c r="N59" s="73">
        <v>0</v>
      </c>
      <c r="O59" s="1"/>
    </row>
    <row r="60" spans="1:16" x14ac:dyDescent="0.25">
      <c r="A60" s="71">
        <v>312</v>
      </c>
      <c r="B60" s="114" t="s">
        <v>42</v>
      </c>
      <c r="C60" s="352">
        <v>0</v>
      </c>
      <c r="D60" s="347">
        <v>0</v>
      </c>
      <c r="E60" s="14">
        <v>0</v>
      </c>
      <c r="F60" s="393">
        <v>3669</v>
      </c>
      <c r="G60" s="73">
        <v>0</v>
      </c>
      <c r="H60" s="73"/>
      <c r="I60" s="73">
        <v>0</v>
      </c>
      <c r="J60" s="73">
        <v>0</v>
      </c>
      <c r="K60" s="73">
        <v>0</v>
      </c>
      <c r="L60" s="73">
        <v>0</v>
      </c>
      <c r="M60" s="73">
        <v>0</v>
      </c>
      <c r="N60" s="73">
        <v>0</v>
      </c>
      <c r="O60" s="27"/>
      <c r="P60" s="426"/>
    </row>
    <row r="61" spans="1:16" x14ac:dyDescent="0.25">
      <c r="A61" s="83">
        <v>312</v>
      </c>
      <c r="B61" s="114" t="s">
        <v>336</v>
      </c>
      <c r="C61" s="479"/>
      <c r="D61" s="581"/>
      <c r="E61" s="19"/>
      <c r="F61" s="582"/>
      <c r="G61" s="501"/>
      <c r="H61" s="501"/>
      <c r="I61" s="501"/>
      <c r="J61" s="501">
        <v>0</v>
      </c>
      <c r="K61" s="501"/>
      <c r="L61" s="501">
        <v>5000</v>
      </c>
      <c r="M61" s="501">
        <v>0</v>
      </c>
      <c r="N61" s="501">
        <v>0</v>
      </c>
      <c r="O61" s="27"/>
      <c r="P61" s="426"/>
    </row>
    <row r="62" spans="1:16" x14ac:dyDescent="0.25">
      <c r="A62" s="83">
        <v>312</v>
      </c>
      <c r="B62" s="114" t="s">
        <v>344</v>
      </c>
      <c r="C62" s="479"/>
      <c r="D62" s="581"/>
      <c r="E62" s="19"/>
      <c r="F62" s="582"/>
      <c r="G62" s="501"/>
      <c r="H62" s="501"/>
      <c r="I62" s="501"/>
      <c r="J62" s="501"/>
      <c r="K62" s="501">
        <v>9700</v>
      </c>
      <c r="L62" s="501">
        <v>9680</v>
      </c>
      <c r="M62" s="501"/>
      <c r="N62" s="501"/>
      <c r="O62" s="27"/>
      <c r="P62" s="426"/>
    </row>
    <row r="63" spans="1:16" x14ac:dyDescent="0.25">
      <c r="A63" s="83">
        <v>312</v>
      </c>
      <c r="B63" s="114" t="s">
        <v>345</v>
      </c>
      <c r="C63" s="479"/>
      <c r="D63" s="581"/>
      <c r="E63" s="19"/>
      <c r="F63" s="582"/>
      <c r="G63" s="501"/>
      <c r="H63" s="501"/>
      <c r="I63" s="501"/>
      <c r="J63" s="501"/>
      <c r="K63" s="501">
        <v>1720</v>
      </c>
      <c r="L63" s="501"/>
      <c r="M63" s="501"/>
      <c r="N63" s="501"/>
      <c r="O63" s="27"/>
      <c r="P63" s="426"/>
    </row>
    <row r="64" spans="1:16" x14ac:dyDescent="0.25">
      <c r="A64" s="476">
        <v>312</v>
      </c>
      <c r="B64" s="155" t="s">
        <v>346</v>
      </c>
      <c r="C64" s="477"/>
      <c r="D64" s="558"/>
      <c r="E64" s="559"/>
      <c r="F64" s="560"/>
      <c r="G64" s="561"/>
      <c r="H64" s="561"/>
      <c r="I64" s="561"/>
      <c r="J64" s="561"/>
      <c r="K64" s="561">
        <v>1450</v>
      </c>
      <c r="L64" s="561">
        <v>1450</v>
      </c>
      <c r="M64" s="561"/>
      <c r="N64" s="561"/>
      <c r="O64" s="27"/>
      <c r="P64" s="426"/>
    </row>
    <row r="65" spans="1:17" ht="15.75" thickBot="1" x14ac:dyDescent="0.3">
      <c r="A65" s="74">
        <v>312</v>
      </c>
      <c r="B65" s="81" t="s">
        <v>43</v>
      </c>
      <c r="C65" s="355">
        <v>0</v>
      </c>
      <c r="D65" s="400">
        <v>0</v>
      </c>
      <c r="E65" s="355">
        <v>30</v>
      </c>
      <c r="F65" s="395">
        <v>33</v>
      </c>
      <c r="G65" s="75">
        <v>1536</v>
      </c>
      <c r="H65" s="75">
        <v>37</v>
      </c>
      <c r="I65" s="75">
        <v>40</v>
      </c>
      <c r="J65" s="75">
        <v>50</v>
      </c>
      <c r="K65" s="75">
        <v>50</v>
      </c>
      <c r="L65" s="75">
        <v>50</v>
      </c>
      <c r="M65" s="75">
        <v>50</v>
      </c>
      <c r="N65" s="75">
        <v>50</v>
      </c>
      <c r="O65" s="1"/>
    </row>
    <row r="66" spans="1:17" ht="15.75" thickBot="1" x14ac:dyDescent="0.3">
      <c r="A66" s="330">
        <v>312</v>
      </c>
      <c r="B66" s="342" t="s">
        <v>273</v>
      </c>
      <c r="C66" s="353">
        <v>0</v>
      </c>
      <c r="D66" s="362">
        <v>0</v>
      </c>
      <c r="E66" s="353">
        <v>0</v>
      </c>
      <c r="F66" s="394">
        <v>4439</v>
      </c>
      <c r="G66" s="331">
        <v>4026</v>
      </c>
      <c r="H66" s="331">
        <v>2190</v>
      </c>
      <c r="I66" s="331">
        <v>4289</v>
      </c>
      <c r="J66" s="331">
        <v>5000</v>
      </c>
      <c r="K66" s="331">
        <v>3630</v>
      </c>
      <c r="L66" s="331">
        <v>4000</v>
      </c>
      <c r="M66" s="331">
        <v>4000</v>
      </c>
      <c r="N66" s="331">
        <v>4000</v>
      </c>
      <c r="O66" s="27"/>
    </row>
    <row r="67" spans="1:17" x14ac:dyDescent="0.25">
      <c r="A67" s="71">
        <v>312</v>
      </c>
      <c r="B67" s="84" t="s">
        <v>44</v>
      </c>
      <c r="C67" s="352">
        <v>12616</v>
      </c>
      <c r="D67" s="347">
        <v>16521</v>
      </c>
      <c r="E67" s="351">
        <v>19278</v>
      </c>
      <c r="F67" s="16">
        <v>14249</v>
      </c>
      <c r="G67" s="16">
        <v>16620</v>
      </c>
      <c r="H67" s="16">
        <v>19147</v>
      </c>
      <c r="I67" s="16">
        <v>20044</v>
      </c>
      <c r="J67" s="16">
        <v>21500</v>
      </c>
      <c r="K67" s="16">
        <v>21500</v>
      </c>
      <c r="L67" s="16">
        <v>1600</v>
      </c>
      <c r="M67" s="16">
        <v>1600</v>
      </c>
      <c r="N67" s="16">
        <v>1600</v>
      </c>
      <c r="O67" s="1"/>
    </row>
    <row r="68" spans="1:17" x14ac:dyDescent="0.25">
      <c r="A68" s="71">
        <v>312</v>
      </c>
      <c r="B68" s="114" t="s">
        <v>45</v>
      </c>
      <c r="C68" s="352">
        <v>22490</v>
      </c>
      <c r="D68" s="347">
        <v>18300</v>
      </c>
      <c r="E68" s="351">
        <v>8700</v>
      </c>
      <c r="F68" s="15">
        <v>10200</v>
      </c>
      <c r="G68" s="16">
        <v>10200</v>
      </c>
      <c r="H68" s="16">
        <v>11000</v>
      </c>
      <c r="I68" s="16">
        <v>13000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"/>
    </row>
    <row r="69" spans="1:17" ht="15.75" thickBot="1" x14ac:dyDescent="0.3">
      <c r="A69" s="77">
        <v>312</v>
      </c>
      <c r="B69" s="161" t="s">
        <v>46</v>
      </c>
      <c r="C69" s="354">
        <v>7511</v>
      </c>
      <c r="D69" s="363">
        <v>7851</v>
      </c>
      <c r="E69" s="368">
        <v>8430</v>
      </c>
      <c r="F69" s="79">
        <v>9770</v>
      </c>
      <c r="G69" s="79">
        <v>13229</v>
      </c>
      <c r="H69" s="79">
        <v>8419</v>
      </c>
      <c r="I69" s="79">
        <v>8742</v>
      </c>
      <c r="J69" s="79">
        <v>8950</v>
      </c>
      <c r="K69" s="79">
        <v>5950</v>
      </c>
      <c r="L69" s="79">
        <f>350+5600</f>
        <v>5950</v>
      </c>
      <c r="M69" s="79">
        <f t="shared" ref="M69:N69" si="9">350+5600</f>
        <v>5950</v>
      </c>
      <c r="N69" s="79">
        <f t="shared" si="9"/>
        <v>5950</v>
      </c>
      <c r="O69" s="1"/>
    </row>
    <row r="70" spans="1:17" x14ac:dyDescent="0.25">
      <c r="A70" s="71">
        <v>312</v>
      </c>
      <c r="B70" s="84" t="s">
        <v>347</v>
      </c>
      <c r="C70" s="352">
        <v>2100</v>
      </c>
      <c r="D70" s="364">
        <v>2000</v>
      </c>
      <c r="E70" s="351">
        <v>3500</v>
      </c>
      <c r="F70" s="392">
        <v>0</v>
      </c>
      <c r="G70" s="16">
        <v>0</v>
      </c>
      <c r="H70" s="16">
        <v>3200</v>
      </c>
      <c r="I70" s="16">
        <v>0</v>
      </c>
      <c r="J70" s="16">
        <v>0</v>
      </c>
      <c r="K70" s="16">
        <v>1500</v>
      </c>
      <c r="L70" s="16">
        <v>0</v>
      </c>
      <c r="M70" s="16">
        <v>0</v>
      </c>
      <c r="N70" s="16">
        <v>0</v>
      </c>
      <c r="O70" s="1"/>
    </row>
    <row r="71" spans="1:17" ht="15.75" thickBot="1" x14ac:dyDescent="0.3">
      <c r="A71" s="74">
        <v>312</v>
      </c>
      <c r="B71" s="81" t="s">
        <v>48</v>
      </c>
      <c r="C71" s="355">
        <v>8000</v>
      </c>
      <c r="D71" s="346">
        <v>11300</v>
      </c>
      <c r="E71" s="355">
        <v>13785</v>
      </c>
      <c r="F71" s="395">
        <v>0</v>
      </c>
      <c r="G71" s="75">
        <v>7000</v>
      </c>
      <c r="H71" s="75">
        <v>3200</v>
      </c>
      <c r="I71" s="75">
        <v>3000</v>
      </c>
      <c r="J71" s="75">
        <v>0</v>
      </c>
      <c r="K71" s="75">
        <v>5000</v>
      </c>
      <c r="L71" s="75">
        <v>0</v>
      </c>
      <c r="M71" s="75">
        <v>0</v>
      </c>
      <c r="N71" s="75">
        <v>0</v>
      </c>
      <c r="O71" s="1"/>
    </row>
    <row r="72" spans="1:17" x14ac:dyDescent="0.25">
      <c r="A72" s="71">
        <v>312</v>
      </c>
      <c r="B72" s="333" t="s">
        <v>49</v>
      </c>
      <c r="C72" s="351">
        <v>3966</v>
      </c>
      <c r="D72" s="361">
        <v>4139</v>
      </c>
      <c r="E72" s="369">
        <v>4569</v>
      </c>
      <c r="F72" s="82">
        <v>4904</v>
      </c>
      <c r="G72" s="82">
        <v>5027</v>
      </c>
      <c r="H72" s="82">
        <v>5067</v>
      </c>
      <c r="I72" s="82">
        <v>5167</v>
      </c>
      <c r="J72" s="82">
        <v>5310</v>
      </c>
      <c r="K72" s="82">
        <v>5610</v>
      </c>
      <c r="L72" s="82">
        <f>4800+810+40</f>
        <v>5650</v>
      </c>
      <c r="M72" s="82">
        <f t="shared" ref="M72:N72" si="10">4800+810+40</f>
        <v>5650</v>
      </c>
      <c r="N72" s="82">
        <f t="shared" si="10"/>
        <v>5650</v>
      </c>
      <c r="O72" s="27"/>
      <c r="P72" s="27"/>
      <c r="Q72" s="27"/>
    </row>
    <row r="73" spans="1:17" x14ac:dyDescent="0.25">
      <c r="A73" s="83">
        <v>312</v>
      </c>
      <c r="B73" s="343" t="s">
        <v>50</v>
      </c>
      <c r="C73" s="356">
        <v>3018</v>
      </c>
      <c r="D73" s="365">
        <v>3476</v>
      </c>
      <c r="E73" s="356">
        <v>3771</v>
      </c>
      <c r="F73" s="21">
        <v>4169</v>
      </c>
      <c r="G73" s="21">
        <v>3664</v>
      </c>
      <c r="H73" s="21">
        <v>3593</v>
      </c>
      <c r="I73" s="21">
        <v>4056</v>
      </c>
      <c r="J73" s="21">
        <v>4250</v>
      </c>
      <c r="K73" s="21">
        <v>7460</v>
      </c>
      <c r="L73" s="21">
        <f>7050+300+110</f>
        <v>7460</v>
      </c>
      <c r="M73" s="21">
        <f t="shared" ref="M73:N73" si="11">7050+300+110</f>
        <v>7460</v>
      </c>
      <c r="N73" s="21">
        <f t="shared" si="11"/>
        <v>7460</v>
      </c>
      <c r="O73" s="27"/>
      <c r="P73" s="27"/>
      <c r="Q73" s="27"/>
    </row>
    <row r="74" spans="1:17" x14ac:dyDescent="0.25">
      <c r="A74" s="83">
        <v>312</v>
      </c>
      <c r="B74" s="344" t="s">
        <v>308</v>
      </c>
      <c r="C74" s="357">
        <v>2774</v>
      </c>
      <c r="D74" s="366">
        <v>2919</v>
      </c>
      <c r="E74" s="370">
        <v>2837</v>
      </c>
      <c r="F74" s="33">
        <v>3186</v>
      </c>
      <c r="G74" s="33">
        <v>6764</v>
      </c>
      <c r="H74" s="33">
        <v>11269</v>
      </c>
      <c r="I74" s="33">
        <v>15203</v>
      </c>
      <c r="J74" s="33">
        <v>13200</v>
      </c>
      <c r="K74" s="33">
        <v>20773</v>
      </c>
      <c r="L74" s="33">
        <v>161700</v>
      </c>
      <c r="M74" s="33">
        <v>161700</v>
      </c>
      <c r="N74" s="33">
        <v>161700</v>
      </c>
      <c r="O74" s="27"/>
      <c r="P74" s="27"/>
      <c r="Q74" s="27"/>
    </row>
    <row r="75" spans="1:17" x14ac:dyDescent="0.25">
      <c r="A75" s="71">
        <v>312</v>
      </c>
      <c r="B75" s="114" t="s">
        <v>249</v>
      </c>
      <c r="C75" s="352">
        <v>12162</v>
      </c>
      <c r="D75" s="347">
        <v>12162</v>
      </c>
      <c r="E75" s="371">
        <v>50858</v>
      </c>
      <c r="F75" s="16">
        <v>84215</v>
      </c>
      <c r="G75" s="16">
        <f>11938+71808</f>
        <v>83746</v>
      </c>
      <c r="H75" s="16">
        <v>37246</v>
      </c>
      <c r="I75" s="16">
        <v>78250</v>
      </c>
      <c r="J75" s="16">
        <v>90000</v>
      </c>
      <c r="K75" s="16">
        <v>161850</v>
      </c>
      <c r="L75" s="16">
        <v>190000</v>
      </c>
      <c r="M75" s="16">
        <v>190000</v>
      </c>
      <c r="N75" s="16">
        <v>190000</v>
      </c>
      <c r="O75" s="27"/>
    </row>
    <row r="76" spans="1:17" x14ac:dyDescent="0.25">
      <c r="A76" s="71">
        <v>312</v>
      </c>
      <c r="B76" s="333" t="s">
        <v>189</v>
      </c>
      <c r="C76" s="352">
        <v>0</v>
      </c>
      <c r="D76" s="347">
        <v>0</v>
      </c>
      <c r="E76" s="371">
        <v>0</v>
      </c>
      <c r="F76" s="82">
        <v>4640</v>
      </c>
      <c r="G76" s="16">
        <v>5205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27"/>
    </row>
    <row r="77" spans="1:17" x14ac:dyDescent="0.25">
      <c r="A77" s="83">
        <v>312</v>
      </c>
      <c r="B77" s="114" t="s">
        <v>51</v>
      </c>
      <c r="C77" s="479">
        <v>0</v>
      </c>
      <c r="D77" s="178"/>
      <c r="E77" s="356">
        <v>31104</v>
      </c>
      <c r="F77" s="21">
        <v>33696</v>
      </c>
      <c r="G77" s="21">
        <v>16565</v>
      </c>
      <c r="H77" s="21">
        <v>30801</v>
      </c>
      <c r="I77" s="21">
        <v>47027</v>
      </c>
      <c r="J77" s="21">
        <v>55400</v>
      </c>
      <c r="K77" s="21">
        <v>55400</v>
      </c>
      <c r="L77" s="21">
        <v>58200</v>
      </c>
      <c r="M77" s="21">
        <v>58200</v>
      </c>
      <c r="N77" s="21">
        <v>58200</v>
      </c>
      <c r="O77" s="27"/>
    </row>
    <row r="78" spans="1:17" x14ac:dyDescent="0.25">
      <c r="A78" s="480">
        <v>312</v>
      </c>
      <c r="B78" s="481" t="s">
        <v>265</v>
      </c>
      <c r="C78" s="477"/>
      <c r="D78" s="312"/>
      <c r="E78" s="478"/>
      <c r="F78" s="478">
        <v>0</v>
      </c>
      <c r="G78" s="80">
        <v>0</v>
      </c>
      <c r="H78" s="80">
        <v>10524</v>
      </c>
      <c r="I78" s="80">
        <v>4347</v>
      </c>
      <c r="J78" s="80">
        <v>10600</v>
      </c>
      <c r="K78" s="80">
        <v>6660</v>
      </c>
      <c r="L78" s="80">
        <v>0</v>
      </c>
      <c r="M78" s="80">
        <v>6000</v>
      </c>
      <c r="N78" s="80">
        <v>3000</v>
      </c>
      <c r="O78" s="27"/>
      <c r="P78" s="27"/>
      <c r="Q78" s="27"/>
    </row>
    <row r="79" spans="1:17" ht="15.75" thickBot="1" x14ac:dyDescent="0.3">
      <c r="A79" s="77">
        <v>312</v>
      </c>
      <c r="B79" s="161" t="s">
        <v>324</v>
      </c>
      <c r="C79" s="354"/>
      <c r="D79" s="464"/>
      <c r="E79" s="465"/>
      <c r="F79" s="465">
        <v>0</v>
      </c>
      <c r="G79" s="79">
        <v>0</v>
      </c>
      <c r="H79" s="79">
        <v>4230</v>
      </c>
      <c r="I79" s="79">
        <v>26154</v>
      </c>
      <c r="J79" s="79">
        <v>0</v>
      </c>
      <c r="K79" s="79">
        <v>0</v>
      </c>
      <c r="L79" s="79">
        <v>0</v>
      </c>
      <c r="M79" s="79">
        <v>0</v>
      </c>
      <c r="N79" s="79">
        <v>0</v>
      </c>
      <c r="O79" s="1"/>
    </row>
    <row r="80" spans="1:17" x14ac:dyDescent="0.25">
      <c r="A80" s="71">
        <v>315</v>
      </c>
      <c r="B80" s="76" t="s">
        <v>47</v>
      </c>
      <c r="C80" s="352"/>
      <c r="D80" s="348">
        <v>0</v>
      </c>
      <c r="E80" s="371">
        <v>0</v>
      </c>
      <c r="F80" s="396">
        <v>3000</v>
      </c>
      <c r="G80" s="16">
        <v>3000</v>
      </c>
      <c r="H80" s="16">
        <v>3000</v>
      </c>
      <c r="I80" s="16">
        <v>3000</v>
      </c>
      <c r="J80" s="16">
        <v>3000</v>
      </c>
      <c r="K80" s="16">
        <v>3000</v>
      </c>
      <c r="L80" s="16">
        <v>3000</v>
      </c>
      <c r="M80" s="16">
        <v>3000</v>
      </c>
      <c r="N80" s="16">
        <v>3000</v>
      </c>
      <c r="O80" s="1"/>
    </row>
    <row r="81" spans="1:17" ht="15.75" thickBot="1" x14ac:dyDescent="0.3">
      <c r="A81" s="77">
        <v>315</v>
      </c>
      <c r="B81" s="78" t="s">
        <v>236</v>
      </c>
      <c r="C81" s="354"/>
      <c r="D81" s="464">
        <v>0</v>
      </c>
      <c r="E81" s="465">
        <v>0</v>
      </c>
      <c r="F81" s="466">
        <v>0</v>
      </c>
      <c r="G81" s="79">
        <v>100</v>
      </c>
      <c r="H81" s="79">
        <v>200</v>
      </c>
      <c r="I81" s="79">
        <v>300</v>
      </c>
      <c r="J81" s="79">
        <v>300</v>
      </c>
      <c r="K81" s="79">
        <v>300</v>
      </c>
      <c r="L81" s="79">
        <v>300</v>
      </c>
      <c r="M81" s="79">
        <v>0</v>
      </c>
      <c r="N81" s="79">
        <v>0</v>
      </c>
      <c r="O81" s="27">
        <f>SUM(L80:L81)</f>
        <v>3300</v>
      </c>
    </row>
    <row r="82" spans="1:17" x14ac:dyDescent="0.25">
      <c r="A82" s="507">
        <v>312</v>
      </c>
      <c r="B82" s="508" t="s">
        <v>306</v>
      </c>
      <c r="C82" s="509"/>
      <c r="D82" s="510">
        <v>0</v>
      </c>
      <c r="E82" s="511">
        <v>0</v>
      </c>
      <c r="F82" s="512">
        <v>38</v>
      </c>
      <c r="G82" s="513">
        <v>420</v>
      </c>
      <c r="H82" s="513">
        <v>0</v>
      </c>
      <c r="I82" s="513">
        <v>0</v>
      </c>
      <c r="J82" s="513">
        <v>0</v>
      </c>
      <c r="K82" s="513">
        <v>0</v>
      </c>
      <c r="L82" s="513">
        <v>0</v>
      </c>
      <c r="M82" s="513">
        <v>0</v>
      </c>
      <c r="N82" s="513">
        <v>0</v>
      </c>
      <c r="O82" s="1"/>
    </row>
    <row r="83" spans="1:17" x14ac:dyDescent="0.25">
      <c r="A83" s="507">
        <v>312</v>
      </c>
      <c r="B83" s="508" t="s">
        <v>284</v>
      </c>
      <c r="C83" s="509"/>
      <c r="D83" s="510"/>
      <c r="E83" s="511"/>
      <c r="F83" s="512">
        <v>0</v>
      </c>
      <c r="G83" s="513">
        <v>0</v>
      </c>
      <c r="H83" s="513">
        <v>0</v>
      </c>
      <c r="I83" s="513">
        <v>4818</v>
      </c>
      <c r="J83" s="513">
        <v>19272</v>
      </c>
      <c r="K83" s="513">
        <v>14552</v>
      </c>
      <c r="L83" s="513">
        <v>0</v>
      </c>
      <c r="M83" s="513">
        <v>0</v>
      </c>
      <c r="N83" s="513">
        <v>0</v>
      </c>
      <c r="O83" s="1"/>
    </row>
    <row r="84" spans="1:17" ht="15.75" thickBot="1" x14ac:dyDescent="0.3">
      <c r="A84" s="514">
        <v>312</v>
      </c>
      <c r="B84" s="515" t="s">
        <v>307</v>
      </c>
      <c r="C84" s="516">
        <v>438144</v>
      </c>
      <c r="D84" s="517">
        <v>446556</v>
      </c>
      <c r="E84" s="516">
        <v>486612</v>
      </c>
      <c r="F84" s="518">
        <v>549196</v>
      </c>
      <c r="G84" s="519">
        <v>565776</v>
      </c>
      <c r="H84" s="519">
        <v>596455</v>
      </c>
      <c r="I84" s="519">
        <v>661210</v>
      </c>
      <c r="J84" s="519">
        <v>634810</v>
      </c>
      <c r="K84" s="519">
        <v>702693</v>
      </c>
      <c r="L84" s="519">
        <v>720000</v>
      </c>
      <c r="M84" s="519">
        <v>720000</v>
      </c>
      <c r="N84" s="519">
        <v>720000</v>
      </c>
      <c r="O84" s="27">
        <f>SUM(L44:L79)+L83+L84</f>
        <v>1303365</v>
      </c>
      <c r="P84" s="27">
        <f>SUM(M44:M79)+M83+M84</f>
        <v>1293235</v>
      </c>
      <c r="Q84" s="27">
        <f>SUM(N44:N79)+N83+N84</f>
        <v>1221010</v>
      </c>
    </row>
    <row r="85" spans="1:17" ht="21" customHeight="1" thickBot="1" x14ac:dyDescent="0.3">
      <c r="A85" s="85" t="s">
        <v>52</v>
      </c>
      <c r="B85" s="345"/>
      <c r="C85" s="358">
        <f t="shared" ref="C85:N85" si="12">SUM(C3+C11+C32+C34+C42)</f>
        <v>1734063</v>
      </c>
      <c r="D85" s="367">
        <f t="shared" si="12"/>
        <v>1866680</v>
      </c>
      <c r="E85" s="358">
        <f t="shared" si="12"/>
        <v>2070874</v>
      </c>
      <c r="F85" s="358">
        <f t="shared" si="12"/>
        <v>2201436</v>
      </c>
      <c r="G85" s="358">
        <f t="shared" si="12"/>
        <v>2290508</v>
      </c>
      <c r="H85" s="358">
        <f t="shared" si="12"/>
        <v>2281888</v>
      </c>
      <c r="I85" s="358">
        <f t="shared" si="12"/>
        <v>2681803</v>
      </c>
      <c r="J85" s="358">
        <f t="shared" si="12"/>
        <v>2758503</v>
      </c>
      <c r="K85" s="358">
        <f t="shared" si="12"/>
        <v>2992853</v>
      </c>
      <c r="L85" s="358">
        <f t="shared" si="12"/>
        <v>2952875</v>
      </c>
      <c r="M85" s="358">
        <f t="shared" si="12"/>
        <v>2978465</v>
      </c>
      <c r="N85" s="358">
        <f t="shared" si="12"/>
        <v>2970960</v>
      </c>
      <c r="O85" s="1"/>
    </row>
    <row r="86" spans="1:17" x14ac:dyDescent="0.25">
      <c r="A86" s="87" t="s">
        <v>53</v>
      </c>
      <c r="B86" s="88" t="s">
        <v>54</v>
      </c>
      <c r="C86" s="89">
        <v>5446</v>
      </c>
      <c r="D86" s="89">
        <v>7593</v>
      </c>
      <c r="E86" s="89">
        <v>7551</v>
      </c>
      <c r="F86" s="89">
        <v>355</v>
      </c>
      <c r="G86" s="89">
        <v>1801</v>
      </c>
      <c r="H86" s="89">
        <v>3603</v>
      </c>
      <c r="I86" s="89">
        <v>858</v>
      </c>
      <c r="J86" s="89">
        <v>1550</v>
      </c>
      <c r="K86" s="89">
        <v>1550</v>
      </c>
      <c r="L86" s="89">
        <f>1500</f>
        <v>1500</v>
      </c>
      <c r="M86" s="89">
        <f>1500</f>
        <v>1500</v>
      </c>
      <c r="N86" s="89">
        <f>1500</f>
        <v>1500</v>
      </c>
      <c r="O86" s="1"/>
    </row>
    <row r="87" spans="1:17" x14ac:dyDescent="0.25">
      <c r="A87" s="90" t="s">
        <v>53</v>
      </c>
      <c r="B87" s="88" t="s">
        <v>55</v>
      </c>
      <c r="C87" s="91">
        <v>1300</v>
      </c>
      <c r="D87" s="91">
        <v>1300</v>
      </c>
      <c r="E87" s="91">
        <v>1308</v>
      </c>
      <c r="F87" s="91">
        <v>1250</v>
      </c>
      <c r="G87" s="91">
        <v>1468</v>
      </c>
      <c r="H87" s="91">
        <v>1752</v>
      </c>
      <c r="I87" s="91">
        <v>2450</v>
      </c>
      <c r="J87" s="91">
        <v>3600</v>
      </c>
      <c r="K87" s="91">
        <v>3600</v>
      </c>
      <c r="L87" s="91">
        <v>3600</v>
      </c>
      <c r="M87" s="91">
        <v>3600</v>
      </c>
      <c r="N87" s="91">
        <v>3600</v>
      </c>
      <c r="O87" s="1"/>
    </row>
    <row r="88" spans="1:17" ht="15.75" thickBot="1" x14ac:dyDescent="0.3">
      <c r="A88" s="92" t="s">
        <v>53</v>
      </c>
      <c r="B88" s="93" t="s">
        <v>56</v>
      </c>
      <c r="C88" s="94">
        <v>0</v>
      </c>
      <c r="D88" s="94">
        <v>0</v>
      </c>
      <c r="E88" s="94">
        <v>50402</v>
      </c>
      <c r="F88" s="94">
        <v>28608</v>
      </c>
      <c r="G88" s="94">
        <v>0</v>
      </c>
      <c r="H88" s="94">
        <v>0</v>
      </c>
      <c r="I88" s="94">
        <v>0</v>
      </c>
      <c r="J88" s="94">
        <v>0</v>
      </c>
      <c r="K88" s="94">
        <v>0</v>
      </c>
      <c r="L88" s="94">
        <v>0</v>
      </c>
      <c r="M88" s="94">
        <v>0</v>
      </c>
      <c r="N88" s="94">
        <v>0</v>
      </c>
      <c r="O88" s="1"/>
    </row>
    <row r="89" spans="1:17" ht="15.75" thickBot="1" x14ac:dyDescent="0.3">
      <c r="A89" s="894" t="s">
        <v>57</v>
      </c>
      <c r="B89" s="895"/>
      <c r="C89" s="95">
        <f t="shared" ref="C89:D89" si="13">SUM(C86:C88)</f>
        <v>6746</v>
      </c>
      <c r="D89" s="95">
        <f t="shared" si="13"/>
        <v>8893</v>
      </c>
      <c r="E89" s="95">
        <f t="shared" ref="E89:N89" si="14">SUM(E86:E88)</f>
        <v>59261</v>
      </c>
      <c r="F89" s="95">
        <f t="shared" si="14"/>
        <v>30213</v>
      </c>
      <c r="G89" s="95">
        <f t="shared" si="14"/>
        <v>3269</v>
      </c>
      <c r="H89" s="95">
        <f t="shared" si="14"/>
        <v>5355</v>
      </c>
      <c r="I89" s="95">
        <f t="shared" si="14"/>
        <v>3308</v>
      </c>
      <c r="J89" s="95">
        <f t="shared" si="14"/>
        <v>5150</v>
      </c>
      <c r="K89" s="95">
        <f t="shared" ref="K89:L89" si="15">SUM(K86:K88)</f>
        <v>5150</v>
      </c>
      <c r="L89" s="95">
        <f t="shared" si="15"/>
        <v>5100</v>
      </c>
      <c r="M89" s="95">
        <f t="shared" si="14"/>
        <v>5100</v>
      </c>
      <c r="N89" s="95">
        <f t="shared" si="14"/>
        <v>5100</v>
      </c>
      <c r="O89" s="1"/>
    </row>
    <row r="90" spans="1:17" x14ac:dyDescent="0.25">
      <c r="A90" s="415" t="s">
        <v>53</v>
      </c>
      <c r="B90" s="235" t="s">
        <v>216</v>
      </c>
      <c r="C90" s="416"/>
      <c r="D90" s="238">
        <v>0</v>
      </c>
      <c r="E90" s="238">
        <v>0</v>
      </c>
      <c r="F90" s="238">
        <v>0</v>
      </c>
      <c r="G90" s="238">
        <v>35981</v>
      </c>
      <c r="H90" s="238">
        <v>0</v>
      </c>
      <c r="I90" s="238">
        <v>0</v>
      </c>
      <c r="J90" s="238">
        <v>0</v>
      </c>
      <c r="K90" s="238">
        <v>0</v>
      </c>
      <c r="L90" s="238">
        <v>0</v>
      </c>
      <c r="M90" s="238">
        <v>0</v>
      </c>
      <c r="N90" s="238">
        <v>0</v>
      </c>
      <c r="O90" s="100"/>
    </row>
    <row r="91" spans="1:17" ht="16.5" thickBot="1" x14ac:dyDescent="0.3">
      <c r="A91" s="96" t="s">
        <v>53</v>
      </c>
      <c r="B91" s="97" t="s">
        <v>58</v>
      </c>
      <c r="C91" s="98">
        <v>4930</v>
      </c>
      <c r="D91" s="417">
        <v>10244</v>
      </c>
      <c r="E91" s="418">
        <v>11710</v>
      </c>
      <c r="F91" s="418">
        <v>11266</v>
      </c>
      <c r="G91" s="418">
        <v>11355</v>
      </c>
      <c r="H91" s="418">
        <v>11185</v>
      </c>
      <c r="I91" s="418">
        <v>12200</v>
      </c>
      <c r="J91" s="418">
        <v>12350</v>
      </c>
      <c r="K91" s="418">
        <v>12700</v>
      </c>
      <c r="L91" s="418">
        <v>13600</v>
      </c>
      <c r="M91" s="418">
        <v>13600</v>
      </c>
      <c r="N91" s="418">
        <v>13600</v>
      </c>
      <c r="O91" s="103"/>
    </row>
    <row r="92" spans="1:17" ht="15.75" thickBot="1" x14ac:dyDescent="0.3">
      <c r="A92" s="894" t="s">
        <v>217</v>
      </c>
      <c r="B92" s="895"/>
      <c r="C92" s="98"/>
      <c r="D92" s="414">
        <f>SUM(D90:D91)</f>
        <v>10244</v>
      </c>
      <c r="E92" s="414">
        <f t="shared" ref="E92:G92" si="16">SUM(E90:E91)</f>
        <v>11710</v>
      </c>
      <c r="F92" s="414">
        <f t="shared" si="16"/>
        <v>11266</v>
      </c>
      <c r="G92" s="414">
        <f t="shared" si="16"/>
        <v>47336</v>
      </c>
      <c r="H92" s="414">
        <f t="shared" ref="H92:N92" si="17">SUM(H90:H91)</f>
        <v>11185</v>
      </c>
      <c r="I92" s="414">
        <f t="shared" ref="I92" si="18">SUM(I90:I91)</f>
        <v>12200</v>
      </c>
      <c r="J92" s="414">
        <f t="shared" si="17"/>
        <v>12350</v>
      </c>
      <c r="K92" s="414">
        <f t="shared" ref="K92:L92" si="19">SUM(K90:K91)</f>
        <v>12700</v>
      </c>
      <c r="L92" s="414">
        <f t="shared" si="19"/>
        <v>13600</v>
      </c>
      <c r="M92" s="414">
        <f t="shared" si="17"/>
        <v>13600</v>
      </c>
      <c r="N92" s="414">
        <f t="shared" si="17"/>
        <v>13600</v>
      </c>
      <c r="O92" s="1"/>
    </row>
    <row r="93" spans="1:17" ht="19.5" customHeight="1" thickBot="1" x14ac:dyDescent="0.3">
      <c r="A93" s="896" t="s">
        <v>59</v>
      </c>
      <c r="B93" s="897"/>
      <c r="C93" s="99">
        <f t="shared" ref="C93" si="20">C89+C91</f>
        <v>11676</v>
      </c>
      <c r="D93" s="99">
        <f>D89+D92</f>
        <v>19137</v>
      </c>
      <c r="E93" s="99">
        <f t="shared" ref="E93:G93" si="21">E89+E92</f>
        <v>70971</v>
      </c>
      <c r="F93" s="99">
        <f t="shared" si="21"/>
        <v>41479</v>
      </c>
      <c r="G93" s="99">
        <f t="shared" si="21"/>
        <v>50605</v>
      </c>
      <c r="H93" s="99">
        <f t="shared" ref="H93:N93" si="22">H89+H92</f>
        <v>16540</v>
      </c>
      <c r="I93" s="99">
        <f t="shared" ref="I93" si="23">I89+I92</f>
        <v>15508</v>
      </c>
      <c r="J93" s="99">
        <f t="shared" si="22"/>
        <v>17500</v>
      </c>
      <c r="K93" s="99">
        <f t="shared" ref="K93:L93" si="24">K89+K92</f>
        <v>17850</v>
      </c>
      <c r="L93" s="99">
        <f t="shared" si="24"/>
        <v>18700</v>
      </c>
      <c r="M93" s="99">
        <f t="shared" si="22"/>
        <v>18700</v>
      </c>
      <c r="N93" s="99">
        <f t="shared" si="22"/>
        <v>18700</v>
      </c>
      <c r="O93" s="1"/>
    </row>
    <row r="94" spans="1:17" ht="30.75" customHeight="1" thickBot="1" x14ac:dyDescent="0.3">
      <c r="A94" s="85" t="s">
        <v>60</v>
      </c>
      <c r="B94" s="66"/>
      <c r="C94" s="86">
        <f t="shared" ref="C94:E94" si="25">C85+C93</f>
        <v>1745739</v>
      </c>
      <c r="D94" s="86">
        <f t="shared" si="25"/>
        <v>1885817</v>
      </c>
      <c r="E94" s="86">
        <f t="shared" si="25"/>
        <v>2141845</v>
      </c>
      <c r="F94" s="86">
        <f t="shared" ref="F94:N94" si="26">F85+F93</f>
        <v>2242915</v>
      </c>
      <c r="G94" s="86">
        <f t="shared" si="26"/>
        <v>2341113</v>
      </c>
      <c r="H94" s="86">
        <f t="shared" si="26"/>
        <v>2298428</v>
      </c>
      <c r="I94" s="86">
        <f t="shared" ref="I94" si="27">I85+I93</f>
        <v>2697311</v>
      </c>
      <c r="J94" s="86">
        <f t="shared" si="26"/>
        <v>2776003</v>
      </c>
      <c r="K94" s="86">
        <f t="shared" si="26"/>
        <v>3010703</v>
      </c>
      <c r="L94" s="86">
        <f t="shared" si="26"/>
        <v>2971575</v>
      </c>
      <c r="M94" s="86">
        <f t="shared" si="26"/>
        <v>2997165</v>
      </c>
      <c r="N94" s="86">
        <f t="shared" si="26"/>
        <v>2989660</v>
      </c>
      <c r="O94" s="1"/>
    </row>
    <row r="95" spans="1:17" x14ac:dyDescent="0.25">
      <c r="A95" s="1"/>
      <c r="B95" s="1"/>
      <c r="C95" s="1"/>
      <c r="D95" s="1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"/>
    </row>
    <row r="96" spans="1:17" ht="15.75" x14ac:dyDescent="0.25">
      <c r="A96" s="101"/>
      <c r="B96" s="102"/>
      <c r="C96" s="102"/>
      <c r="D96" s="102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"/>
    </row>
    <row r="97" spans="1:15" ht="18.75" thickBot="1" x14ac:dyDescent="0.3">
      <c r="A97" s="898" t="s">
        <v>61</v>
      </c>
      <c r="B97" s="899"/>
      <c r="C97" s="899"/>
      <c r="D97" s="899"/>
      <c r="E97" s="899"/>
      <c r="F97" s="899"/>
      <c r="G97" s="899"/>
      <c r="H97" s="899"/>
      <c r="I97" s="899"/>
      <c r="J97" s="899"/>
      <c r="K97" s="899"/>
      <c r="L97" s="899"/>
      <c r="M97" s="899"/>
      <c r="N97" s="899"/>
      <c r="O97" s="1"/>
    </row>
    <row r="98" spans="1:15" ht="36" customHeight="1" thickBot="1" x14ac:dyDescent="0.3">
      <c r="A98" s="876" t="s">
        <v>1</v>
      </c>
      <c r="B98" s="900"/>
      <c r="C98" s="389" t="s">
        <v>2</v>
      </c>
      <c r="D98" s="388" t="s">
        <v>3</v>
      </c>
      <c r="E98" s="388" t="s">
        <v>186</v>
      </c>
      <c r="F98" s="388" t="s">
        <v>201</v>
      </c>
      <c r="G98" s="470" t="s">
        <v>237</v>
      </c>
      <c r="H98" s="470" t="s">
        <v>263</v>
      </c>
      <c r="I98" s="470" t="s">
        <v>322</v>
      </c>
      <c r="J98" s="387" t="s">
        <v>326</v>
      </c>
      <c r="K98" s="387" t="s">
        <v>343</v>
      </c>
      <c r="L98" s="387" t="s">
        <v>238</v>
      </c>
      <c r="M98" s="387" t="s">
        <v>264</v>
      </c>
      <c r="N98" s="387" t="s">
        <v>305</v>
      </c>
      <c r="O98" s="1"/>
    </row>
    <row r="99" spans="1:15" ht="15.75" thickBot="1" x14ac:dyDescent="0.3">
      <c r="A99" s="104" t="s">
        <v>62</v>
      </c>
      <c r="B99" s="105"/>
      <c r="C99" s="106">
        <f t="shared" ref="C99:G99" si="28">SUM(C100:C104)</f>
        <v>156377</v>
      </c>
      <c r="D99" s="107">
        <f t="shared" si="28"/>
        <v>174936</v>
      </c>
      <c r="E99" s="106">
        <f t="shared" si="28"/>
        <v>231640</v>
      </c>
      <c r="F99" s="108">
        <f t="shared" si="28"/>
        <v>231049</v>
      </c>
      <c r="G99" s="108">
        <f t="shared" si="28"/>
        <v>232468</v>
      </c>
      <c r="H99" s="108">
        <f t="shared" ref="H99:I99" si="29">SUM(H100:H104)</f>
        <v>243637</v>
      </c>
      <c r="I99" s="108">
        <f t="shared" si="29"/>
        <v>282470</v>
      </c>
      <c r="J99" s="108">
        <f t="shared" ref="J99:N99" si="30">SUM(J100:J104)</f>
        <v>331300</v>
      </c>
      <c r="K99" s="108">
        <f t="shared" si="30"/>
        <v>329185</v>
      </c>
      <c r="L99" s="108">
        <f t="shared" ref="L99" si="31">SUM(L100:L104)</f>
        <v>317110</v>
      </c>
      <c r="M99" s="108">
        <f t="shared" si="30"/>
        <v>325060</v>
      </c>
      <c r="N99" s="108">
        <f t="shared" si="30"/>
        <v>320020</v>
      </c>
      <c r="O99" s="1"/>
    </row>
    <row r="100" spans="1:15" x14ac:dyDescent="0.25">
      <c r="A100" s="109" t="s">
        <v>63</v>
      </c>
      <c r="B100" s="84" t="s">
        <v>64</v>
      </c>
      <c r="C100" s="110">
        <v>80991</v>
      </c>
      <c r="D100" s="111">
        <v>85746</v>
      </c>
      <c r="E100" s="112">
        <v>107957</v>
      </c>
      <c r="F100" s="56">
        <v>109255</v>
      </c>
      <c r="G100" s="56">
        <v>107887</v>
      </c>
      <c r="H100" s="56">
        <v>112333</v>
      </c>
      <c r="I100" s="56">
        <v>136540</v>
      </c>
      <c r="J100" s="112">
        <v>171530</v>
      </c>
      <c r="K100" s="56">
        <v>172010</v>
      </c>
      <c r="L100" s="56">
        <v>155310</v>
      </c>
      <c r="M100" s="56">
        <v>155310</v>
      </c>
      <c r="N100" s="56">
        <v>155310</v>
      </c>
      <c r="O100" s="1"/>
    </row>
    <row r="101" spans="1:15" x14ac:dyDescent="0.25">
      <c r="A101" s="113" t="s">
        <v>65</v>
      </c>
      <c r="B101" s="114" t="s">
        <v>66</v>
      </c>
      <c r="C101" s="62">
        <v>43743</v>
      </c>
      <c r="D101" s="115">
        <v>51946</v>
      </c>
      <c r="E101" s="116">
        <v>68901</v>
      </c>
      <c r="F101" s="61">
        <v>68993</v>
      </c>
      <c r="G101" s="61">
        <v>71900</v>
      </c>
      <c r="H101" s="61">
        <v>73761</v>
      </c>
      <c r="I101" s="61">
        <v>92239</v>
      </c>
      <c r="J101" s="116">
        <v>89970</v>
      </c>
      <c r="K101" s="61">
        <v>91015</v>
      </c>
      <c r="L101" s="61">
        <v>91700</v>
      </c>
      <c r="M101" s="61">
        <v>91650</v>
      </c>
      <c r="N101" s="61">
        <v>91610</v>
      </c>
      <c r="O101" s="1"/>
    </row>
    <row r="102" spans="1:15" x14ac:dyDescent="0.25">
      <c r="A102" s="113" t="s">
        <v>67</v>
      </c>
      <c r="B102" s="114" t="s">
        <v>68</v>
      </c>
      <c r="C102" s="62">
        <v>1742</v>
      </c>
      <c r="D102" s="115">
        <v>3680</v>
      </c>
      <c r="E102" s="116">
        <v>4907</v>
      </c>
      <c r="F102" s="61">
        <v>538</v>
      </c>
      <c r="G102" s="61">
        <v>2440</v>
      </c>
      <c r="H102" s="61">
        <v>1591</v>
      </c>
      <c r="I102" s="61">
        <v>2469</v>
      </c>
      <c r="J102" s="116">
        <v>4200</v>
      </c>
      <c r="K102" s="61">
        <v>4200</v>
      </c>
      <c r="L102" s="61">
        <v>5200</v>
      </c>
      <c r="M102" s="61">
        <v>7200</v>
      </c>
      <c r="N102" s="61">
        <v>5200</v>
      </c>
      <c r="O102" s="1"/>
    </row>
    <row r="103" spans="1:15" x14ac:dyDescent="0.25">
      <c r="A103" s="117" t="s">
        <v>69</v>
      </c>
      <c r="B103" s="114" t="s">
        <v>70</v>
      </c>
      <c r="C103" s="59">
        <v>27812</v>
      </c>
      <c r="D103" s="118">
        <v>31492</v>
      </c>
      <c r="E103" s="116">
        <v>43664</v>
      </c>
      <c r="F103" s="61">
        <v>44203</v>
      </c>
      <c r="G103" s="61">
        <v>45036</v>
      </c>
      <c r="H103" s="61">
        <v>47394</v>
      </c>
      <c r="I103" s="61">
        <v>44851</v>
      </c>
      <c r="J103" s="116">
        <v>55000</v>
      </c>
      <c r="K103" s="61">
        <v>55300</v>
      </c>
      <c r="L103" s="61">
        <v>64900</v>
      </c>
      <c r="M103" s="61">
        <v>64900</v>
      </c>
      <c r="N103" s="61">
        <v>64900</v>
      </c>
      <c r="O103" s="1"/>
    </row>
    <row r="104" spans="1:15" ht="15.75" thickBot="1" x14ac:dyDescent="0.3">
      <c r="A104" s="119" t="s">
        <v>71</v>
      </c>
      <c r="B104" s="120" t="s">
        <v>196</v>
      </c>
      <c r="C104" s="121">
        <v>2089</v>
      </c>
      <c r="D104" s="122">
        <v>2072</v>
      </c>
      <c r="E104" s="123">
        <v>6211</v>
      </c>
      <c r="F104" s="124">
        <v>8060</v>
      </c>
      <c r="G104" s="124">
        <v>5205</v>
      </c>
      <c r="H104" s="124">
        <v>8558</v>
      </c>
      <c r="I104" s="124">
        <v>6371</v>
      </c>
      <c r="J104" s="138">
        <v>10600</v>
      </c>
      <c r="K104" s="124">
        <v>6660</v>
      </c>
      <c r="L104" s="124">
        <v>0</v>
      </c>
      <c r="M104" s="124">
        <v>6000</v>
      </c>
      <c r="N104" s="124">
        <v>3000</v>
      </c>
      <c r="O104" s="1"/>
    </row>
    <row r="105" spans="1:15" ht="15.75" thickBot="1" x14ac:dyDescent="0.3">
      <c r="A105" s="125" t="s">
        <v>72</v>
      </c>
      <c r="B105" s="126"/>
      <c r="C105" s="106">
        <f t="shared" ref="C105:N105" si="32">SUM(C106)</f>
        <v>1395</v>
      </c>
      <c r="D105" s="107">
        <f t="shared" si="32"/>
        <v>1431</v>
      </c>
      <c r="E105" s="106">
        <f t="shared" si="32"/>
        <v>1635</v>
      </c>
      <c r="F105" s="108">
        <f t="shared" ref="F105" si="33">SUM(F106)</f>
        <v>15024.4</v>
      </c>
      <c r="G105" s="108">
        <f t="shared" ref="G105" si="34">SUM(G106)</f>
        <v>19405</v>
      </c>
      <c r="H105" s="108">
        <f t="shared" ref="H105:I105" si="35">SUM(H106)</f>
        <v>6417</v>
      </c>
      <c r="I105" s="108">
        <f t="shared" si="35"/>
        <v>4706</v>
      </c>
      <c r="J105" s="108">
        <f t="shared" si="32"/>
        <v>5000</v>
      </c>
      <c r="K105" s="108">
        <f t="shared" ref="K105" si="36">SUM(K106)</f>
        <v>5015</v>
      </c>
      <c r="L105" s="108">
        <f t="shared" si="32"/>
        <v>2670</v>
      </c>
      <c r="M105" s="108">
        <f t="shared" si="32"/>
        <v>2690</v>
      </c>
      <c r="N105" s="108">
        <f t="shared" si="32"/>
        <v>2710</v>
      </c>
      <c r="O105" s="1"/>
    </row>
    <row r="106" spans="1:15" ht="15.75" thickBot="1" x14ac:dyDescent="0.3">
      <c r="A106" s="127" t="s">
        <v>73</v>
      </c>
      <c r="B106" s="102" t="s">
        <v>219</v>
      </c>
      <c r="C106" s="128">
        <v>1395</v>
      </c>
      <c r="D106" s="129">
        <v>1431</v>
      </c>
      <c r="E106" s="128">
        <v>1635</v>
      </c>
      <c r="F106" s="130">
        <v>15024.4</v>
      </c>
      <c r="G106" s="130">
        <v>19405</v>
      </c>
      <c r="H106" s="130">
        <v>6417</v>
      </c>
      <c r="I106" s="130">
        <v>4706</v>
      </c>
      <c r="J106" s="130">
        <v>5000</v>
      </c>
      <c r="K106" s="130">
        <v>5015</v>
      </c>
      <c r="L106" s="130">
        <v>2670</v>
      </c>
      <c r="M106" s="130">
        <v>2690</v>
      </c>
      <c r="N106" s="130">
        <v>2710</v>
      </c>
      <c r="O106" s="1"/>
    </row>
    <row r="107" spans="1:15" ht="15.75" thickBot="1" x14ac:dyDescent="0.3">
      <c r="A107" s="125" t="s">
        <v>74</v>
      </c>
      <c r="B107" s="126"/>
      <c r="C107" s="106">
        <f t="shared" ref="C107:E107" si="37">SUM(C108:C109)</f>
        <v>9689</v>
      </c>
      <c r="D107" s="107">
        <f t="shared" si="37"/>
        <v>8988</v>
      </c>
      <c r="E107" s="106">
        <f t="shared" si="37"/>
        <v>11263</v>
      </c>
      <c r="F107" s="108">
        <f t="shared" ref="F107" si="38">SUM(F108:F109)</f>
        <v>11779</v>
      </c>
      <c r="G107" s="108">
        <f t="shared" ref="G107" si="39">SUM(G108:G109)</f>
        <v>12901</v>
      </c>
      <c r="H107" s="108">
        <f t="shared" ref="H107:I107" si="40">SUM(H108:H109)</f>
        <v>15196</v>
      </c>
      <c r="I107" s="108">
        <f t="shared" si="40"/>
        <v>27373</v>
      </c>
      <c r="J107" s="108">
        <f t="shared" ref="J107:N107" si="41">SUM(J108:J109)</f>
        <v>24600</v>
      </c>
      <c r="K107" s="108">
        <f t="shared" ref="K107" si="42">SUM(K108:K109)</f>
        <v>79490</v>
      </c>
      <c r="L107" s="108">
        <f t="shared" ref="L107" si="43">SUM(L108:L109)</f>
        <v>96625</v>
      </c>
      <c r="M107" s="108">
        <f t="shared" si="41"/>
        <v>96625</v>
      </c>
      <c r="N107" s="108">
        <f t="shared" si="41"/>
        <v>20900</v>
      </c>
      <c r="O107" s="1"/>
    </row>
    <row r="108" spans="1:15" x14ac:dyDescent="0.25">
      <c r="A108" s="131" t="s">
        <v>75</v>
      </c>
      <c r="B108" s="132" t="s">
        <v>76</v>
      </c>
      <c r="C108" s="133">
        <v>8907</v>
      </c>
      <c r="D108" s="134">
        <v>8297</v>
      </c>
      <c r="E108" s="133">
        <v>10063</v>
      </c>
      <c r="F108" s="135">
        <v>10579</v>
      </c>
      <c r="G108" s="135">
        <v>11158</v>
      </c>
      <c r="H108" s="135">
        <v>13996</v>
      </c>
      <c r="I108" s="135">
        <v>23471</v>
      </c>
      <c r="J108" s="133">
        <v>21300</v>
      </c>
      <c r="K108" s="135">
        <v>22230</v>
      </c>
      <c r="L108" s="135">
        <v>17600</v>
      </c>
      <c r="M108" s="135">
        <v>17600</v>
      </c>
      <c r="N108" s="135">
        <v>17600</v>
      </c>
      <c r="O108" s="1"/>
    </row>
    <row r="109" spans="1:15" ht="15.75" thickBot="1" x14ac:dyDescent="0.3">
      <c r="A109" s="136" t="s">
        <v>77</v>
      </c>
      <c r="B109" s="137" t="s">
        <v>78</v>
      </c>
      <c r="C109" s="138">
        <v>782</v>
      </c>
      <c r="D109" s="139">
        <v>691</v>
      </c>
      <c r="E109" s="138">
        <v>1200</v>
      </c>
      <c r="F109" s="124">
        <v>1200</v>
      </c>
      <c r="G109" s="124">
        <v>1743</v>
      </c>
      <c r="H109" s="124">
        <v>1200</v>
      </c>
      <c r="I109" s="124">
        <v>3902</v>
      </c>
      <c r="J109" s="138">
        <v>3300</v>
      </c>
      <c r="K109" s="124">
        <v>57260</v>
      </c>
      <c r="L109" s="124">
        <v>79025</v>
      </c>
      <c r="M109" s="124">
        <v>79025</v>
      </c>
      <c r="N109" s="124">
        <v>3300</v>
      </c>
      <c r="O109" s="1"/>
    </row>
    <row r="110" spans="1:15" ht="15.75" thickBot="1" x14ac:dyDescent="0.3">
      <c r="A110" s="104" t="s">
        <v>79</v>
      </c>
      <c r="B110" s="140"/>
      <c r="C110" s="106">
        <f t="shared" ref="C110:N110" si="44">SUM(C111:C113)</f>
        <v>56288</v>
      </c>
      <c r="D110" s="107">
        <f t="shared" si="44"/>
        <v>63855</v>
      </c>
      <c r="E110" s="106">
        <f t="shared" si="44"/>
        <v>56565</v>
      </c>
      <c r="F110" s="108">
        <f t="shared" ref="F110" si="45">SUM(F111:F113)</f>
        <v>56275</v>
      </c>
      <c r="G110" s="108">
        <f t="shared" ref="G110" si="46">SUM(G111:G113)</f>
        <v>123539</v>
      </c>
      <c r="H110" s="108">
        <f t="shared" ref="H110:I110" si="47">SUM(H111:H113)</f>
        <v>59938</v>
      </c>
      <c r="I110" s="108">
        <f t="shared" si="47"/>
        <v>63940</v>
      </c>
      <c r="J110" s="108">
        <f t="shared" si="44"/>
        <v>106840</v>
      </c>
      <c r="K110" s="108">
        <f t="shared" ref="K110" si="48">SUM(K111:K113)</f>
        <v>110643</v>
      </c>
      <c r="L110" s="108">
        <f t="shared" ref="L110" si="49">SUM(L111:L113)</f>
        <v>122230</v>
      </c>
      <c r="M110" s="108">
        <f t="shared" si="44"/>
        <v>146810</v>
      </c>
      <c r="N110" s="108">
        <f t="shared" si="44"/>
        <v>218900</v>
      </c>
      <c r="O110" s="1"/>
    </row>
    <row r="111" spans="1:15" x14ac:dyDescent="0.25">
      <c r="A111" s="141" t="s">
        <v>80</v>
      </c>
      <c r="B111" s="142" t="s">
        <v>81</v>
      </c>
      <c r="C111" s="54">
        <v>19779</v>
      </c>
      <c r="D111" s="143">
        <v>23803</v>
      </c>
      <c r="E111" s="144">
        <v>22533</v>
      </c>
      <c r="F111" s="55">
        <v>17512</v>
      </c>
      <c r="G111" s="55">
        <v>22224</v>
      </c>
      <c r="H111" s="55">
        <v>21138</v>
      </c>
      <c r="I111" s="55">
        <v>22676</v>
      </c>
      <c r="J111" s="144">
        <v>45900</v>
      </c>
      <c r="K111" s="55">
        <v>46100</v>
      </c>
      <c r="L111" s="55">
        <v>44750</v>
      </c>
      <c r="M111" s="55">
        <v>29250</v>
      </c>
      <c r="N111" s="55">
        <v>29250</v>
      </c>
      <c r="O111" s="1"/>
    </row>
    <row r="112" spans="1:15" x14ac:dyDescent="0.25">
      <c r="A112" s="117" t="s">
        <v>82</v>
      </c>
      <c r="B112" s="114" t="s">
        <v>83</v>
      </c>
      <c r="C112" s="62">
        <v>17838</v>
      </c>
      <c r="D112" s="145">
        <v>18459</v>
      </c>
      <c r="E112" s="146">
        <v>23593</v>
      </c>
      <c r="F112" s="60">
        <v>24873</v>
      </c>
      <c r="G112" s="60">
        <v>25498</v>
      </c>
      <c r="H112" s="60">
        <v>25064</v>
      </c>
      <c r="I112" s="60">
        <v>27940</v>
      </c>
      <c r="J112" s="148">
        <v>37440</v>
      </c>
      <c r="K112" s="60">
        <v>41043</v>
      </c>
      <c r="L112" s="60">
        <v>39680</v>
      </c>
      <c r="M112" s="60">
        <v>39680</v>
      </c>
      <c r="N112" s="60">
        <v>39680</v>
      </c>
      <c r="O112" s="1"/>
    </row>
    <row r="113" spans="1:15" ht="15.75" thickBot="1" x14ac:dyDescent="0.3">
      <c r="A113" s="117" t="s">
        <v>84</v>
      </c>
      <c r="B113" s="114" t="s">
        <v>85</v>
      </c>
      <c r="C113" s="59">
        <v>18671</v>
      </c>
      <c r="D113" s="147">
        <v>21593</v>
      </c>
      <c r="E113" s="148">
        <v>10439</v>
      </c>
      <c r="F113" s="60">
        <v>13890</v>
      </c>
      <c r="G113" s="60">
        <v>75817</v>
      </c>
      <c r="H113" s="60">
        <v>13736</v>
      </c>
      <c r="I113" s="60">
        <v>13324</v>
      </c>
      <c r="J113" s="148">
        <v>23500</v>
      </c>
      <c r="K113" s="60">
        <v>23500</v>
      </c>
      <c r="L113" s="60">
        <v>37800</v>
      </c>
      <c r="M113" s="60">
        <v>77880</v>
      </c>
      <c r="N113" s="60">
        <v>149970</v>
      </c>
      <c r="O113" s="1"/>
    </row>
    <row r="114" spans="1:15" ht="15.75" thickBot="1" x14ac:dyDescent="0.3">
      <c r="A114" s="901" t="s">
        <v>86</v>
      </c>
      <c r="B114" s="902"/>
      <c r="C114" s="106">
        <f t="shared" ref="C114:E114" si="50">SUM(C115:C118)</f>
        <v>78137</v>
      </c>
      <c r="D114" s="107">
        <f t="shared" si="50"/>
        <v>81463</v>
      </c>
      <c r="E114" s="106">
        <f t="shared" si="50"/>
        <v>90857</v>
      </c>
      <c r="F114" s="108">
        <f t="shared" ref="F114" si="51">SUM(F115:F118)</f>
        <v>85176</v>
      </c>
      <c r="G114" s="108">
        <f t="shared" ref="G114" si="52">SUM(G115:G118)</f>
        <v>98095</v>
      </c>
      <c r="H114" s="108">
        <f t="shared" ref="H114:I114" si="53">SUM(H115:H118)</f>
        <v>102087</v>
      </c>
      <c r="I114" s="108">
        <f t="shared" si="53"/>
        <v>131405</v>
      </c>
      <c r="J114" s="108">
        <f t="shared" ref="J114:N114" si="54">SUM(J115:J118)</f>
        <v>148890</v>
      </c>
      <c r="K114" s="108">
        <f t="shared" ref="K114" si="55">SUM(K115:K118)</f>
        <v>151170</v>
      </c>
      <c r="L114" s="108">
        <f t="shared" ref="L114" si="56">SUM(L115:L118)</f>
        <v>148830</v>
      </c>
      <c r="M114" s="108">
        <f t="shared" si="54"/>
        <v>133400</v>
      </c>
      <c r="N114" s="108">
        <f t="shared" si="54"/>
        <v>134500</v>
      </c>
      <c r="O114" s="1"/>
    </row>
    <row r="115" spans="1:15" x14ac:dyDescent="0.25">
      <c r="A115" s="149" t="s">
        <v>87</v>
      </c>
      <c r="B115" s="150" t="s">
        <v>88</v>
      </c>
      <c r="C115" s="151">
        <v>41225</v>
      </c>
      <c r="D115" s="152">
        <v>46871</v>
      </c>
      <c r="E115" s="153">
        <v>55351</v>
      </c>
      <c r="F115" s="135">
        <v>53221</v>
      </c>
      <c r="G115" s="135">
        <v>57519</v>
      </c>
      <c r="H115" s="135">
        <v>60933</v>
      </c>
      <c r="I115" s="135">
        <v>58869</v>
      </c>
      <c r="J115" s="133">
        <v>84600</v>
      </c>
      <c r="K115" s="135">
        <v>92860</v>
      </c>
      <c r="L115" s="135">
        <v>95830</v>
      </c>
      <c r="M115" s="135">
        <v>83300</v>
      </c>
      <c r="N115" s="135">
        <v>83300</v>
      </c>
      <c r="O115" s="1"/>
    </row>
    <row r="116" spans="1:15" x14ac:dyDescent="0.25">
      <c r="A116" s="117" t="s">
        <v>89</v>
      </c>
      <c r="B116" s="114" t="s">
        <v>90</v>
      </c>
      <c r="C116" s="154">
        <v>33622</v>
      </c>
      <c r="D116" s="145">
        <v>29509</v>
      </c>
      <c r="E116" s="146">
        <v>30304</v>
      </c>
      <c r="F116" s="148">
        <v>27431</v>
      </c>
      <c r="G116" s="148">
        <v>34393</v>
      </c>
      <c r="H116" s="148">
        <v>33810</v>
      </c>
      <c r="I116" s="148">
        <v>65220</v>
      </c>
      <c r="J116" s="148">
        <v>50000</v>
      </c>
      <c r="K116" s="148">
        <v>44020</v>
      </c>
      <c r="L116" s="148">
        <v>39000</v>
      </c>
      <c r="M116" s="148">
        <v>37800</v>
      </c>
      <c r="N116" s="148">
        <v>38900</v>
      </c>
      <c r="O116" s="1"/>
    </row>
    <row r="117" spans="1:15" x14ac:dyDescent="0.25">
      <c r="A117" s="127" t="s">
        <v>91</v>
      </c>
      <c r="B117" s="155" t="s">
        <v>92</v>
      </c>
      <c r="C117" s="156">
        <v>746</v>
      </c>
      <c r="D117" s="157">
        <v>1245</v>
      </c>
      <c r="E117" s="158">
        <v>1073</v>
      </c>
      <c r="F117" s="159">
        <v>1299</v>
      </c>
      <c r="G117" s="159">
        <v>1269</v>
      </c>
      <c r="H117" s="159">
        <v>1302</v>
      </c>
      <c r="I117" s="159">
        <v>1478</v>
      </c>
      <c r="J117" s="159">
        <v>1800</v>
      </c>
      <c r="K117" s="159">
        <v>1800</v>
      </c>
      <c r="L117" s="159">
        <v>2000</v>
      </c>
      <c r="M117" s="159">
        <v>2000</v>
      </c>
      <c r="N117" s="159">
        <v>2000</v>
      </c>
      <c r="O117" s="1"/>
    </row>
    <row r="118" spans="1:15" ht="15.75" thickBot="1" x14ac:dyDescent="0.3">
      <c r="A118" s="160" t="s">
        <v>93</v>
      </c>
      <c r="B118" s="161" t="s">
        <v>94</v>
      </c>
      <c r="C118" s="162">
        <v>2544</v>
      </c>
      <c r="D118" s="163">
        <v>3838</v>
      </c>
      <c r="E118" s="164">
        <v>4129</v>
      </c>
      <c r="F118" s="164">
        <v>3225</v>
      </c>
      <c r="G118" s="170">
        <v>4914</v>
      </c>
      <c r="H118" s="164">
        <v>6042</v>
      </c>
      <c r="I118" s="164">
        <v>5838</v>
      </c>
      <c r="J118" s="170">
        <v>12490</v>
      </c>
      <c r="K118" s="164">
        <v>12490</v>
      </c>
      <c r="L118" s="170">
        <v>12000</v>
      </c>
      <c r="M118" s="164">
        <v>10300</v>
      </c>
      <c r="N118" s="164">
        <v>10300</v>
      </c>
      <c r="O118" s="1"/>
    </row>
    <row r="119" spans="1:15" ht="15.75" thickBot="1" x14ac:dyDescent="0.3">
      <c r="A119" s="104" t="s">
        <v>95</v>
      </c>
      <c r="B119" s="140"/>
      <c r="C119" s="106">
        <f t="shared" ref="C119:E119" si="57">SUM(C120:C123)</f>
        <v>107398</v>
      </c>
      <c r="D119" s="107">
        <f t="shared" si="57"/>
        <v>124762</v>
      </c>
      <c r="E119" s="106">
        <f t="shared" si="57"/>
        <v>130822</v>
      </c>
      <c r="F119" s="106">
        <f t="shared" ref="F119" si="58">SUM(F120:F123)</f>
        <v>125647</v>
      </c>
      <c r="G119" s="106">
        <f t="shared" ref="G119" si="59">SUM(G120:G123)</f>
        <v>124483</v>
      </c>
      <c r="H119" s="106">
        <f t="shared" ref="H119:I119" si="60">SUM(H120:H123)</f>
        <v>151919</v>
      </c>
      <c r="I119" s="106">
        <f t="shared" si="60"/>
        <v>213260</v>
      </c>
      <c r="J119" s="106">
        <f t="shared" ref="J119:N119" si="61">SUM(J120:J123)</f>
        <v>222291</v>
      </c>
      <c r="K119" s="106">
        <f t="shared" ref="K119" si="62">SUM(K120:K123)</f>
        <v>233766</v>
      </c>
      <c r="L119" s="106">
        <f t="shared" ref="L119" si="63">SUM(L120:L123)</f>
        <v>222450</v>
      </c>
      <c r="M119" s="106">
        <f t="shared" si="61"/>
        <v>259900</v>
      </c>
      <c r="N119" s="106">
        <f t="shared" si="61"/>
        <v>259900</v>
      </c>
      <c r="O119" s="1"/>
    </row>
    <row r="120" spans="1:15" x14ac:dyDescent="0.25">
      <c r="A120" s="141" t="s">
        <v>96</v>
      </c>
      <c r="B120" s="84" t="s">
        <v>97</v>
      </c>
      <c r="C120" s="110">
        <v>78470</v>
      </c>
      <c r="D120" s="111">
        <v>88196</v>
      </c>
      <c r="E120" s="165">
        <v>96103</v>
      </c>
      <c r="F120" s="112">
        <v>81828</v>
      </c>
      <c r="G120" s="112">
        <v>92771</v>
      </c>
      <c r="H120" s="112">
        <v>111832</v>
      </c>
      <c r="I120" s="112">
        <v>132591</v>
      </c>
      <c r="J120" s="112">
        <v>155451</v>
      </c>
      <c r="K120" s="112">
        <v>155121</v>
      </c>
      <c r="L120" s="112">
        <v>168170</v>
      </c>
      <c r="M120" s="112">
        <v>207200</v>
      </c>
      <c r="N120" s="112">
        <v>207200</v>
      </c>
      <c r="O120" s="1"/>
    </row>
    <row r="121" spans="1:15" x14ac:dyDescent="0.25">
      <c r="A121" s="141" t="s">
        <v>301</v>
      </c>
      <c r="B121" s="84" t="s">
        <v>321</v>
      </c>
      <c r="C121" s="110"/>
      <c r="D121" s="111"/>
      <c r="E121" s="165"/>
      <c r="F121" s="112"/>
      <c r="G121" s="112"/>
      <c r="H121" s="112">
        <v>0</v>
      </c>
      <c r="I121" s="112">
        <v>0</v>
      </c>
      <c r="J121" s="112">
        <v>0</v>
      </c>
      <c r="K121" s="112">
        <v>2100</v>
      </c>
      <c r="L121" s="112">
        <v>1580</v>
      </c>
      <c r="M121" s="112">
        <v>0</v>
      </c>
      <c r="N121" s="112">
        <v>0</v>
      </c>
      <c r="O121" s="1"/>
    </row>
    <row r="122" spans="1:15" x14ac:dyDescent="0.25">
      <c r="A122" s="166" t="s">
        <v>98</v>
      </c>
      <c r="B122" s="114" t="s">
        <v>99</v>
      </c>
      <c r="C122" s="62">
        <v>18042</v>
      </c>
      <c r="D122" s="145">
        <v>16953</v>
      </c>
      <c r="E122" s="146">
        <v>17218</v>
      </c>
      <c r="F122" s="148">
        <v>27299</v>
      </c>
      <c r="G122" s="148">
        <v>18397</v>
      </c>
      <c r="H122" s="148">
        <v>18379</v>
      </c>
      <c r="I122" s="148">
        <v>61618</v>
      </c>
      <c r="J122" s="148">
        <v>49600</v>
      </c>
      <c r="K122" s="148">
        <v>58100</v>
      </c>
      <c r="L122" s="148">
        <v>35700</v>
      </c>
      <c r="M122" s="148">
        <v>35700</v>
      </c>
      <c r="N122" s="148">
        <v>35700</v>
      </c>
      <c r="O122" s="1"/>
    </row>
    <row r="123" spans="1:15" ht="15.75" thickBot="1" x14ac:dyDescent="0.3">
      <c r="A123" s="167" t="s">
        <v>100</v>
      </c>
      <c r="B123" s="161" t="s">
        <v>101</v>
      </c>
      <c r="C123" s="168">
        <v>10886</v>
      </c>
      <c r="D123" s="169">
        <v>19613</v>
      </c>
      <c r="E123" s="170">
        <v>17501</v>
      </c>
      <c r="F123" s="170">
        <v>16520</v>
      </c>
      <c r="G123" s="170">
        <v>13315</v>
      </c>
      <c r="H123" s="170">
        <v>21708</v>
      </c>
      <c r="I123" s="170">
        <v>19051</v>
      </c>
      <c r="J123" s="170">
        <v>17240</v>
      </c>
      <c r="K123" s="170">
        <v>18445</v>
      </c>
      <c r="L123" s="170">
        <v>17000</v>
      </c>
      <c r="M123" s="170">
        <v>17000</v>
      </c>
      <c r="N123" s="170">
        <v>17000</v>
      </c>
      <c r="O123" s="1"/>
    </row>
    <row r="124" spans="1:15" ht="15.75" thickBot="1" x14ac:dyDescent="0.3">
      <c r="A124" s="171" t="s">
        <v>102</v>
      </c>
      <c r="B124" s="172"/>
      <c r="C124" s="173">
        <f t="shared" ref="C124:E124" si="64">SUM(C125:C128)</f>
        <v>462</v>
      </c>
      <c r="D124" s="174">
        <f t="shared" si="64"/>
        <v>115</v>
      </c>
      <c r="E124" s="173">
        <f t="shared" si="64"/>
        <v>855</v>
      </c>
      <c r="F124" s="173">
        <f t="shared" ref="F124" si="65">SUM(F125:F128)</f>
        <v>216</v>
      </c>
      <c r="G124" s="405">
        <f t="shared" ref="G124" si="66">SUM(G125:G128)</f>
        <v>57760</v>
      </c>
      <c r="H124" s="173">
        <f t="shared" ref="H124:I124" si="67">SUM(H125:H128)</f>
        <v>1097</v>
      </c>
      <c r="I124" s="173">
        <f t="shared" si="67"/>
        <v>520</v>
      </c>
      <c r="J124" s="173">
        <f t="shared" ref="J124:N124" si="68">SUM(J125:J128)</f>
        <v>830</v>
      </c>
      <c r="K124" s="173">
        <f t="shared" ref="K124" si="69">SUM(K125:K128)</f>
        <v>830</v>
      </c>
      <c r="L124" s="173">
        <f t="shared" ref="L124" si="70">SUM(L125:L128)</f>
        <v>850</v>
      </c>
      <c r="M124" s="173">
        <f t="shared" si="68"/>
        <v>850</v>
      </c>
      <c r="N124" s="173">
        <f t="shared" si="68"/>
        <v>850</v>
      </c>
      <c r="O124" s="1"/>
    </row>
    <row r="125" spans="1:15" x14ac:dyDescent="0.25">
      <c r="A125" s="131" t="s">
        <v>103</v>
      </c>
      <c r="B125" s="150" t="s">
        <v>104</v>
      </c>
      <c r="C125" s="175">
        <v>50</v>
      </c>
      <c r="D125" s="176">
        <v>0</v>
      </c>
      <c r="E125" s="153">
        <v>40</v>
      </c>
      <c r="F125" s="177">
        <v>0</v>
      </c>
      <c r="G125" s="177">
        <v>0</v>
      </c>
      <c r="H125" s="177">
        <v>50</v>
      </c>
      <c r="I125" s="177">
        <v>7</v>
      </c>
      <c r="J125" s="153">
        <v>100</v>
      </c>
      <c r="K125" s="177">
        <v>100</v>
      </c>
      <c r="L125" s="177">
        <v>100</v>
      </c>
      <c r="M125" s="177">
        <v>100</v>
      </c>
      <c r="N125" s="177">
        <v>100</v>
      </c>
      <c r="O125" s="1"/>
    </row>
    <row r="126" spans="1:15" x14ac:dyDescent="0.25">
      <c r="A126" s="166" t="s">
        <v>105</v>
      </c>
      <c r="B126" s="114" t="s">
        <v>106</v>
      </c>
      <c r="C126" s="62">
        <v>84</v>
      </c>
      <c r="D126" s="178">
        <v>3</v>
      </c>
      <c r="E126" s="179">
        <v>28</v>
      </c>
      <c r="F126" s="180">
        <v>76</v>
      </c>
      <c r="G126" s="180">
        <v>8</v>
      </c>
      <c r="H126" s="180">
        <v>45</v>
      </c>
      <c r="I126" s="180">
        <v>18</v>
      </c>
      <c r="J126" s="179">
        <v>100</v>
      </c>
      <c r="K126" s="180">
        <v>100</v>
      </c>
      <c r="L126" s="180">
        <v>100</v>
      </c>
      <c r="M126" s="180">
        <v>100</v>
      </c>
      <c r="N126" s="180">
        <v>100</v>
      </c>
      <c r="O126" s="1"/>
    </row>
    <row r="127" spans="1:15" x14ac:dyDescent="0.25">
      <c r="A127" s="166" t="s">
        <v>107</v>
      </c>
      <c r="B127" s="114" t="s">
        <v>108</v>
      </c>
      <c r="C127" s="62">
        <v>328</v>
      </c>
      <c r="D127" s="178">
        <v>112</v>
      </c>
      <c r="E127" s="146">
        <v>487</v>
      </c>
      <c r="F127" s="60">
        <v>140</v>
      </c>
      <c r="G127" s="60">
        <v>235</v>
      </c>
      <c r="H127" s="60">
        <v>235</v>
      </c>
      <c r="I127" s="60">
        <v>495</v>
      </c>
      <c r="J127" s="148">
        <v>630</v>
      </c>
      <c r="K127" s="60">
        <v>630</v>
      </c>
      <c r="L127" s="60">
        <v>650</v>
      </c>
      <c r="M127" s="60">
        <v>650</v>
      </c>
      <c r="N127" s="60">
        <v>650</v>
      </c>
      <c r="O127" s="1"/>
    </row>
    <row r="128" spans="1:15" ht="15.75" thickBot="1" x14ac:dyDescent="0.3">
      <c r="A128" s="183" t="s">
        <v>109</v>
      </c>
      <c r="B128" s="184" t="s">
        <v>206</v>
      </c>
      <c r="C128" s="185">
        <v>0</v>
      </c>
      <c r="D128" s="186">
        <v>0</v>
      </c>
      <c r="E128" s="123">
        <v>300</v>
      </c>
      <c r="F128" s="187">
        <v>0</v>
      </c>
      <c r="G128" s="397">
        <v>57517</v>
      </c>
      <c r="H128" s="187">
        <v>767</v>
      </c>
      <c r="I128" s="187">
        <v>0</v>
      </c>
      <c r="J128" s="187">
        <v>0</v>
      </c>
      <c r="K128" s="187">
        <v>0</v>
      </c>
      <c r="L128" s="187">
        <v>0</v>
      </c>
      <c r="M128" s="187">
        <v>0</v>
      </c>
      <c r="N128" s="187">
        <v>0</v>
      </c>
      <c r="O128" s="1"/>
    </row>
    <row r="129" spans="1:20" ht="15.75" thickBot="1" x14ac:dyDescent="0.3">
      <c r="A129" s="188" t="s">
        <v>110</v>
      </c>
      <c r="B129" s="189"/>
      <c r="C129" s="190">
        <f t="shared" ref="C129:G129" si="71">SUM(C130:C134)</f>
        <v>113224</v>
      </c>
      <c r="D129" s="191">
        <f t="shared" si="71"/>
        <v>129064</v>
      </c>
      <c r="E129" s="190">
        <f t="shared" si="71"/>
        <v>134379</v>
      </c>
      <c r="F129" s="190">
        <f t="shared" ref="F129" si="72">SUM(F130:F134)</f>
        <v>84983</v>
      </c>
      <c r="G129" s="190">
        <f t="shared" si="71"/>
        <v>60618</v>
      </c>
      <c r="H129" s="190">
        <f t="shared" ref="H129:I129" si="73">SUM(H130:H134)</f>
        <v>113059</v>
      </c>
      <c r="I129" s="190">
        <f t="shared" si="73"/>
        <v>113320</v>
      </c>
      <c r="J129" s="190">
        <f t="shared" ref="J129:N129" si="74">SUM(J130:J134)</f>
        <v>131400</v>
      </c>
      <c r="K129" s="190">
        <f t="shared" ref="K129" si="75">SUM(K130:K134)</f>
        <v>140405</v>
      </c>
      <c r="L129" s="190">
        <f t="shared" ref="L129" si="76">SUM(L130:L134)</f>
        <v>131700</v>
      </c>
      <c r="M129" s="190">
        <f t="shared" si="74"/>
        <v>121700</v>
      </c>
      <c r="N129" s="190">
        <f t="shared" si="74"/>
        <v>121700</v>
      </c>
      <c r="O129" s="1"/>
    </row>
    <row r="130" spans="1:20" x14ac:dyDescent="0.25">
      <c r="A130" s="149" t="s">
        <v>111</v>
      </c>
      <c r="B130" s="150" t="s">
        <v>112</v>
      </c>
      <c r="C130" s="175">
        <v>14818</v>
      </c>
      <c r="D130" s="152">
        <v>21592</v>
      </c>
      <c r="E130" s="133">
        <v>16936</v>
      </c>
      <c r="F130" s="135">
        <v>11627</v>
      </c>
      <c r="G130" s="135">
        <v>13339</v>
      </c>
      <c r="H130" s="135">
        <v>25260</v>
      </c>
      <c r="I130" s="135">
        <v>45180</v>
      </c>
      <c r="J130" s="133">
        <v>46000</v>
      </c>
      <c r="K130" s="135">
        <v>45125</v>
      </c>
      <c r="L130" s="135">
        <v>40000</v>
      </c>
      <c r="M130" s="135">
        <v>40000</v>
      </c>
      <c r="N130" s="135">
        <v>40000</v>
      </c>
      <c r="O130" s="1"/>
    </row>
    <row r="131" spans="1:20" x14ac:dyDescent="0.25">
      <c r="A131" s="192" t="s">
        <v>113</v>
      </c>
      <c r="B131" s="193" t="s">
        <v>114</v>
      </c>
      <c r="C131" s="54">
        <v>77935</v>
      </c>
      <c r="D131" s="194">
        <v>86797</v>
      </c>
      <c r="E131" s="144">
        <v>80713</v>
      </c>
      <c r="F131" s="55">
        <v>14925</v>
      </c>
      <c r="G131" s="55">
        <v>23993</v>
      </c>
      <c r="H131" s="55">
        <v>61382</v>
      </c>
      <c r="I131" s="55">
        <v>45013</v>
      </c>
      <c r="J131" s="144">
        <v>55500</v>
      </c>
      <c r="K131" s="55">
        <v>64730</v>
      </c>
      <c r="L131" s="55">
        <v>61600</v>
      </c>
      <c r="M131" s="55">
        <v>54100</v>
      </c>
      <c r="N131" s="55">
        <v>54100</v>
      </c>
      <c r="O131" s="1"/>
    </row>
    <row r="132" spans="1:20" x14ac:dyDescent="0.25">
      <c r="A132" s="192" t="s">
        <v>115</v>
      </c>
      <c r="B132" s="84" t="s">
        <v>116</v>
      </c>
      <c r="C132" s="110">
        <v>3135</v>
      </c>
      <c r="D132" s="195">
        <v>2921</v>
      </c>
      <c r="E132" s="144">
        <v>3189</v>
      </c>
      <c r="F132" s="55">
        <v>8792</v>
      </c>
      <c r="G132" s="55">
        <v>4003</v>
      </c>
      <c r="H132" s="55">
        <v>4467</v>
      </c>
      <c r="I132" s="55">
        <v>4079</v>
      </c>
      <c r="J132" s="144">
        <v>5800</v>
      </c>
      <c r="K132" s="55">
        <v>5800</v>
      </c>
      <c r="L132" s="55">
        <v>5900</v>
      </c>
      <c r="M132" s="55">
        <v>5900</v>
      </c>
      <c r="N132" s="55">
        <v>5900</v>
      </c>
      <c r="O132" s="1"/>
    </row>
    <row r="133" spans="1:20" x14ac:dyDescent="0.25">
      <c r="A133" s="192" t="s">
        <v>117</v>
      </c>
      <c r="B133" s="84" t="s">
        <v>118</v>
      </c>
      <c r="C133" s="110">
        <v>8294</v>
      </c>
      <c r="D133" s="195">
        <v>9794</v>
      </c>
      <c r="E133" s="144">
        <v>11638</v>
      </c>
      <c r="F133" s="55">
        <v>44656</v>
      </c>
      <c r="G133" s="55">
        <v>15204</v>
      </c>
      <c r="H133" s="55">
        <v>12029</v>
      </c>
      <c r="I133" s="55">
        <v>14230</v>
      </c>
      <c r="J133" s="144">
        <v>19000</v>
      </c>
      <c r="K133" s="55">
        <v>19650</v>
      </c>
      <c r="L133" s="55">
        <v>22400</v>
      </c>
      <c r="M133" s="55">
        <v>21700</v>
      </c>
      <c r="N133" s="55">
        <v>21700</v>
      </c>
      <c r="O133" s="1"/>
    </row>
    <row r="134" spans="1:20" ht="15.75" thickBot="1" x14ac:dyDescent="0.3">
      <c r="A134" s="160" t="s">
        <v>119</v>
      </c>
      <c r="B134" s="161" t="s">
        <v>120</v>
      </c>
      <c r="C134" s="181">
        <v>9042</v>
      </c>
      <c r="D134" s="163">
        <v>7960</v>
      </c>
      <c r="E134" s="170">
        <v>21903</v>
      </c>
      <c r="F134" s="182">
        <v>4983</v>
      </c>
      <c r="G134" s="182">
        <v>4079</v>
      </c>
      <c r="H134" s="182">
        <v>9921</v>
      </c>
      <c r="I134" s="182">
        <v>4818</v>
      </c>
      <c r="J134" s="170">
        <v>5100</v>
      </c>
      <c r="K134" s="182">
        <v>5100</v>
      </c>
      <c r="L134" s="182">
        <v>1800</v>
      </c>
      <c r="M134" s="182">
        <v>0</v>
      </c>
      <c r="N134" s="182">
        <v>0</v>
      </c>
      <c r="O134" s="1"/>
    </row>
    <row r="135" spans="1:20" ht="15.75" thickBot="1" x14ac:dyDescent="0.3">
      <c r="A135" s="125" t="s">
        <v>121</v>
      </c>
      <c r="B135" s="126"/>
      <c r="C135" s="106">
        <f t="shared" ref="C135:J135" si="77">SUM(C136:C143)</f>
        <v>308051</v>
      </c>
      <c r="D135" s="406">
        <f t="shared" si="77"/>
        <v>238428</v>
      </c>
      <c r="E135" s="106">
        <f t="shared" si="77"/>
        <v>293934</v>
      </c>
      <c r="F135" s="107">
        <f t="shared" si="77"/>
        <v>290046</v>
      </c>
      <c r="G135" s="107">
        <f t="shared" si="77"/>
        <v>299921</v>
      </c>
      <c r="H135" s="106">
        <f t="shared" si="77"/>
        <v>330122</v>
      </c>
      <c r="I135" s="106">
        <f t="shared" si="77"/>
        <v>372344</v>
      </c>
      <c r="J135" s="106">
        <f t="shared" si="77"/>
        <v>485000</v>
      </c>
      <c r="K135" s="106">
        <f t="shared" ref="K135" si="78">SUM(K136:K143)</f>
        <v>500983</v>
      </c>
      <c r="L135" s="106">
        <f t="shared" ref="L135" si="79">SUM(L136:L143)</f>
        <v>394150</v>
      </c>
      <c r="M135" s="106">
        <f>SUM(M136:M143)</f>
        <v>360150</v>
      </c>
      <c r="N135" s="106">
        <f>SUM(N136:N143)</f>
        <v>360150</v>
      </c>
      <c r="O135" s="1"/>
      <c r="P135" s="27"/>
      <c r="Q135" s="27"/>
    </row>
    <row r="136" spans="1:20" x14ac:dyDescent="0.25">
      <c r="A136" s="196" t="s">
        <v>122</v>
      </c>
      <c r="B136" s="197" t="s">
        <v>123</v>
      </c>
      <c r="C136" s="198">
        <v>104500</v>
      </c>
      <c r="D136" s="199">
        <v>108303</v>
      </c>
      <c r="E136" s="200">
        <v>140876</v>
      </c>
      <c r="F136" s="201">
        <v>135336</v>
      </c>
      <c r="G136" s="201">
        <v>141906</v>
      </c>
      <c r="H136" s="201">
        <v>151918</v>
      </c>
      <c r="I136" s="201">
        <v>169990</v>
      </c>
      <c r="J136" s="200">
        <v>203000</v>
      </c>
      <c r="K136" s="201">
        <v>210633</v>
      </c>
      <c r="L136" s="201">
        <v>200400</v>
      </c>
      <c r="M136" s="201">
        <v>167900</v>
      </c>
      <c r="N136" s="201">
        <v>167900</v>
      </c>
      <c r="O136" s="1"/>
    </row>
    <row r="137" spans="1:20" x14ac:dyDescent="0.25">
      <c r="A137" s="578" t="s">
        <v>124</v>
      </c>
      <c r="B137" s="142" t="s">
        <v>340</v>
      </c>
      <c r="C137" s="579"/>
      <c r="D137" s="580"/>
      <c r="E137" s="112"/>
      <c r="F137" s="56"/>
      <c r="G137" s="56"/>
      <c r="H137" s="56"/>
      <c r="I137" s="56"/>
      <c r="J137" s="112">
        <v>0</v>
      </c>
      <c r="K137" s="56">
        <v>3440</v>
      </c>
      <c r="L137" s="56"/>
      <c r="M137" s="56"/>
      <c r="N137" s="56"/>
      <c r="O137" s="1"/>
    </row>
    <row r="138" spans="1:20" x14ac:dyDescent="0.25">
      <c r="A138" s="202" t="s">
        <v>125</v>
      </c>
      <c r="B138" s="203" t="s">
        <v>126</v>
      </c>
      <c r="C138" s="59">
        <v>119829</v>
      </c>
      <c r="D138" s="147">
        <v>1639</v>
      </c>
      <c r="E138" s="116">
        <v>2223</v>
      </c>
      <c r="F138" s="61">
        <v>583</v>
      </c>
      <c r="G138" s="61">
        <v>1634</v>
      </c>
      <c r="H138" s="61">
        <v>3111</v>
      </c>
      <c r="I138" s="61">
        <v>2056</v>
      </c>
      <c r="J138" s="116">
        <v>3700</v>
      </c>
      <c r="K138" s="61">
        <v>5560</v>
      </c>
      <c r="L138" s="61">
        <v>6500</v>
      </c>
      <c r="M138" s="61">
        <v>5000</v>
      </c>
      <c r="N138" s="61">
        <v>5000</v>
      </c>
      <c r="O138" s="1"/>
    </row>
    <row r="139" spans="1:20" x14ac:dyDescent="0.25">
      <c r="A139" s="202" t="s">
        <v>127</v>
      </c>
      <c r="B139" s="203" t="s">
        <v>128</v>
      </c>
      <c r="C139" s="59">
        <v>10957</v>
      </c>
      <c r="D139" s="147">
        <v>20690</v>
      </c>
      <c r="E139" s="116">
        <v>26156</v>
      </c>
      <c r="F139" s="61">
        <v>21780</v>
      </c>
      <c r="G139" s="61">
        <v>17924</v>
      </c>
      <c r="H139" s="61">
        <v>21799</v>
      </c>
      <c r="I139" s="61">
        <v>32607</v>
      </c>
      <c r="J139" s="116">
        <v>44380</v>
      </c>
      <c r="K139" s="61">
        <v>44380</v>
      </c>
      <c r="L139" s="61">
        <v>36200</v>
      </c>
      <c r="M139" s="61">
        <v>36200</v>
      </c>
      <c r="N139" s="61">
        <v>36200</v>
      </c>
      <c r="O139" s="1"/>
    </row>
    <row r="140" spans="1:20" x14ac:dyDescent="0.25">
      <c r="A140" s="202" t="s">
        <v>129</v>
      </c>
      <c r="B140" s="203" t="s">
        <v>130</v>
      </c>
      <c r="C140" s="59">
        <v>16441</v>
      </c>
      <c r="D140" s="147">
        <v>31538</v>
      </c>
      <c r="E140" s="148">
        <v>34790</v>
      </c>
      <c r="F140" s="60">
        <v>22889</v>
      </c>
      <c r="G140" s="60">
        <v>24312</v>
      </c>
      <c r="H140" s="60">
        <v>25980</v>
      </c>
      <c r="I140" s="60">
        <v>37178</v>
      </c>
      <c r="J140" s="148">
        <v>87002</v>
      </c>
      <c r="K140" s="60">
        <v>87252</v>
      </c>
      <c r="L140" s="60">
        <v>53850</v>
      </c>
      <c r="M140" s="60">
        <v>53850</v>
      </c>
      <c r="N140" s="60">
        <v>53850</v>
      </c>
      <c r="O140" s="1"/>
      <c r="P140" s="381"/>
      <c r="Q140" s="381"/>
      <c r="T140" s="475"/>
    </row>
    <row r="141" spans="1:20" x14ac:dyDescent="0.25">
      <c r="A141" s="202" t="s">
        <v>131</v>
      </c>
      <c r="B141" s="203" t="s">
        <v>195</v>
      </c>
      <c r="C141" s="59">
        <v>16441</v>
      </c>
      <c r="D141" s="147">
        <v>31538</v>
      </c>
      <c r="E141" s="148">
        <v>41280</v>
      </c>
      <c r="F141" s="60">
        <v>95466</v>
      </c>
      <c r="G141" s="60">
        <v>99502</v>
      </c>
      <c r="H141" s="60">
        <v>110851</v>
      </c>
      <c r="I141" s="60">
        <v>111876</v>
      </c>
      <c r="J141" s="148">
        <v>145118</v>
      </c>
      <c r="K141" s="60">
        <v>147588</v>
      </c>
      <c r="L141" s="60">
        <v>94600</v>
      </c>
      <c r="M141" s="60">
        <v>94600</v>
      </c>
      <c r="N141" s="60">
        <v>94600</v>
      </c>
      <c r="O141" s="27">
        <f>SUM(L139:L141)</f>
        <v>184650</v>
      </c>
      <c r="P141" s="27">
        <f t="shared" ref="P141:Q141" si="80">SUM(M139:M141)</f>
        <v>184650</v>
      </c>
      <c r="Q141" s="27">
        <f t="shared" si="80"/>
        <v>184650</v>
      </c>
    </row>
    <row r="142" spans="1:20" x14ac:dyDescent="0.25">
      <c r="A142" s="204" t="s">
        <v>132</v>
      </c>
      <c r="B142" s="203" t="s">
        <v>309</v>
      </c>
      <c r="C142" s="205">
        <v>37289</v>
      </c>
      <c r="D142" s="206">
        <v>42027</v>
      </c>
      <c r="E142" s="207">
        <v>45408</v>
      </c>
      <c r="F142" s="208">
        <v>10455</v>
      </c>
      <c r="G142" s="208">
        <v>10450</v>
      </c>
      <c r="H142" s="208">
        <v>11403</v>
      </c>
      <c r="I142" s="208">
        <v>13407</v>
      </c>
      <c r="J142" s="207">
        <v>500</v>
      </c>
      <c r="K142" s="208">
        <v>1030</v>
      </c>
      <c r="L142" s="208">
        <v>1300</v>
      </c>
      <c r="M142" s="208">
        <v>1300</v>
      </c>
      <c r="N142" s="208">
        <v>1300</v>
      </c>
      <c r="O142" s="1"/>
    </row>
    <row r="143" spans="1:20" ht="15.75" thickBot="1" x14ac:dyDescent="0.3">
      <c r="A143" s="202" t="s">
        <v>133</v>
      </c>
      <c r="B143" s="203" t="s">
        <v>207</v>
      </c>
      <c r="C143" s="205">
        <v>2594</v>
      </c>
      <c r="D143" s="206">
        <v>2693</v>
      </c>
      <c r="E143" s="207">
        <v>3201</v>
      </c>
      <c r="F143" s="208">
        <v>3537</v>
      </c>
      <c r="G143" s="208">
        <v>4193</v>
      </c>
      <c r="H143" s="208">
        <v>5060</v>
      </c>
      <c r="I143" s="208">
        <v>5230</v>
      </c>
      <c r="J143" s="207">
        <v>1300</v>
      </c>
      <c r="K143" s="208">
        <v>1100</v>
      </c>
      <c r="L143" s="208">
        <v>1300</v>
      </c>
      <c r="M143" s="208">
        <v>1300</v>
      </c>
      <c r="N143" s="208">
        <v>1300</v>
      </c>
      <c r="O143" s="1"/>
    </row>
    <row r="144" spans="1:20" ht="15.75" thickBot="1" x14ac:dyDescent="0.3">
      <c r="A144" s="104" t="s">
        <v>134</v>
      </c>
      <c r="B144" s="105"/>
      <c r="C144" s="106">
        <f t="shared" ref="C144:G144" si="81">SUM(C145:C149)</f>
        <v>144398</v>
      </c>
      <c r="D144" s="107">
        <f t="shared" si="81"/>
        <v>164319</v>
      </c>
      <c r="E144" s="106">
        <f t="shared" si="81"/>
        <v>208490</v>
      </c>
      <c r="F144" s="108">
        <f t="shared" ref="F144" si="82">SUM(F145:F149)</f>
        <v>225543</v>
      </c>
      <c r="G144" s="108">
        <f t="shared" si="81"/>
        <v>226265</v>
      </c>
      <c r="H144" s="108">
        <f t="shared" ref="H144:I144" si="83">SUM(H145:H149)</f>
        <v>256253</v>
      </c>
      <c r="I144" s="108">
        <f t="shared" si="83"/>
        <v>330258</v>
      </c>
      <c r="J144" s="108">
        <f t="shared" ref="J144:N144" si="84">SUM(J145:J149)</f>
        <v>345080</v>
      </c>
      <c r="K144" s="108">
        <f t="shared" si="84"/>
        <v>418921</v>
      </c>
      <c r="L144" s="108">
        <f t="shared" ref="L144" si="85">SUM(L145:L149)</f>
        <v>482770</v>
      </c>
      <c r="M144" s="108">
        <f t="shared" si="84"/>
        <v>463550</v>
      </c>
      <c r="N144" s="108">
        <f t="shared" si="84"/>
        <v>463550</v>
      </c>
      <c r="O144" s="1"/>
    </row>
    <row r="145" spans="1:17" x14ac:dyDescent="0.25">
      <c r="A145" s="192" t="s">
        <v>135</v>
      </c>
      <c r="B145" s="84" t="s">
        <v>220</v>
      </c>
      <c r="C145" s="110">
        <v>110782</v>
      </c>
      <c r="D145" s="195">
        <v>133003</v>
      </c>
      <c r="E145" s="144">
        <v>192284</v>
      </c>
      <c r="F145" s="55">
        <v>211686</v>
      </c>
      <c r="G145" s="55">
        <v>216037</v>
      </c>
      <c r="H145" s="55">
        <v>240260</v>
      </c>
      <c r="I145" s="55">
        <v>280328</v>
      </c>
      <c r="J145" s="144">
        <v>329300</v>
      </c>
      <c r="K145" s="55">
        <v>401511</v>
      </c>
      <c r="L145" s="55">
        <v>392070</v>
      </c>
      <c r="M145" s="55">
        <v>382850</v>
      </c>
      <c r="N145" s="55">
        <v>382850</v>
      </c>
      <c r="O145" s="1"/>
    </row>
    <row r="146" spans="1:17" x14ac:dyDescent="0.25">
      <c r="A146" s="192" t="s">
        <v>136</v>
      </c>
      <c r="B146" s="84" t="s">
        <v>137</v>
      </c>
      <c r="C146" s="110">
        <v>6436</v>
      </c>
      <c r="D146" s="195">
        <v>3638</v>
      </c>
      <c r="E146" s="144">
        <v>3241</v>
      </c>
      <c r="F146" s="55">
        <v>490</v>
      </c>
      <c r="G146" s="55">
        <v>174</v>
      </c>
      <c r="H146" s="55">
        <v>382</v>
      </c>
      <c r="I146" s="55">
        <v>912</v>
      </c>
      <c r="J146" s="144">
        <v>680</v>
      </c>
      <c r="K146" s="55">
        <v>1300</v>
      </c>
      <c r="L146" s="55">
        <v>73400</v>
      </c>
      <c r="M146" s="55">
        <v>63400</v>
      </c>
      <c r="N146" s="55">
        <v>63400</v>
      </c>
      <c r="O146" s="1"/>
    </row>
    <row r="147" spans="1:17" x14ac:dyDescent="0.25">
      <c r="A147" s="117" t="s">
        <v>138</v>
      </c>
      <c r="B147" s="114" t="s">
        <v>139</v>
      </c>
      <c r="C147" s="62">
        <v>27180</v>
      </c>
      <c r="D147" s="145">
        <v>27678</v>
      </c>
      <c r="E147" s="146">
        <v>12665</v>
      </c>
      <c r="F147" s="60">
        <v>13300</v>
      </c>
      <c r="G147" s="60">
        <v>10054</v>
      </c>
      <c r="H147" s="60">
        <v>11894</v>
      </c>
      <c r="I147" s="60">
        <v>49018</v>
      </c>
      <c r="J147" s="148">
        <v>14100</v>
      </c>
      <c r="K147" s="60">
        <v>15110</v>
      </c>
      <c r="L147" s="60">
        <v>16300</v>
      </c>
      <c r="M147" s="60">
        <v>16300</v>
      </c>
      <c r="N147" s="60">
        <v>16300</v>
      </c>
      <c r="O147" s="1"/>
    </row>
    <row r="148" spans="1:17" x14ac:dyDescent="0.25">
      <c r="A148" s="117" t="s">
        <v>140</v>
      </c>
      <c r="B148" s="114" t="s">
        <v>141</v>
      </c>
      <c r="C148" s="62">
        <v>0</v>
      </c>
      <c r="D148" s="145">
        <v>0</v>
      </c>
      <c r="E148" s="146">
        <v>0</v>
      </c>
      <c r="F148" s="60">
        <v>67</v>
      </c>
      <c r="G148" s="60">
        <v>0</v>
      </c>
      <c r="H148" s="60">
        <v>3217</v>
      </c>
      <c r="I148" s="60">
        <v>0</v>
      </c>
      <c r="J148" s="148">
        <v>500</v>
      </c>
      <c r="K148" s="60">
        <v>500</v>
      </c>
      <c r="L148" s="60">
        <v>500</v>
      </c>
      <c r="M148" s="60">
        <v>500</v>
      </c>
      <c r="N148" s="60">
        <v>500</v>
      </c>
      <c r="O148" s="1"/>
    </row>
    <row r="149" spans="1:17" ht="15.75" thickBot="1" x14ac:dyDescent="0.3">
      <c r="A149" s="160" t="s">
        <v>142</v>
      </c>
      <c r="B149" s="161" t="s">
        <v>143</v>
      </c>
      <c r="C149" s="181">
        <v>0</v>
      </c>
      <c r="D149" s="163">
        <v>0</v>
      </c>
      <c r="E149" s="164">
        <v>300</v>
      </c>
      <c r="F149" s="182">
        <v>0</v>
      </c>
      <c r="G149" s="182">
        <v>0</v>
      </c>
      <c r="H149" s="182">
        <v>500</v>
      </c>
      <c r="I149" s="182">
        <v>0</v>
      </c>
      <c r="J149" s="170">
        <v>500</v>
      </c>
      <c r="K149" s="182">
        <v>500</v>
      </c>
      <c r="L149" s="182">
        <v>500</v>
      </c>
      <c r="M149" s="182">
        <v>500</v>
      </c>
      <c r="N149" s="182">
        <v>500</v>
      </c>
      <c r="O149" s="1"/>
      <c r="P149" s="27"/>
      <c r="Q149" s="27"/>
    </row>
    <row r="150" spans="1:17" ht="24.75" customHeight="1" thickBot="1" x14ac:dyDescent="0.3">
      <c r="A150" s="209" t="s">
        <v>144</v>
      </c>
      <c r="B150" s="172"/>
      <c r="C150" s="210">
        <f t="shared" ref="C150:J150" si="86">SUM(C99+C105+C107+C110+C114+C119+C124+C129+C135+C144)</f>
        <v>975419</v>
      </c>
      <c r="D150" s="211">
        <f t="shared" si="86"/>
        <v>987361</v>
      </c>
      <c r="E150" s="210">
        <f t="shared" si="86"/>
        <v>1160440</v>
      </c>
      <c r="F150" s="210">
        <f t="shared" si="86"/>
        <v>1125738.3999999999</v>
      </c>
      <c r="G150" s="212">
        <f t="shared" si="86"/>
        <v>1255455</v>
      </c>
      <c r="H150" s="212">
        <f t="shared" si="86"/>
        <v>1279725</v>
      </c>
      <c r="I150" s="212">
        <f t="shared" si="86"/>
        <v>1539596</v>
      </c>
      <c r="J150" s="212">
        <f t="shared" si="86"/>
        <v>1801231</v>
      </c>
      <c r="K150" s="250">
        <f t="shared" ref="K150" si="87">SUM(K99+K105+K107+K110+K114+K119+K124+K129+K135+K144)</f>
        <v>1970408</v>
      </c>
      <c r="L150" s="212">
        <f t="shared" ref="L150" si="88">SUM(L99+L105+L107+L110+L114+L119+L124+L129+L135+L144)</f>
        <v>1919385</v>
      </c>
      <c r="M150" s="212">
        <f>SUM(M99+M105+M107+M110+M114+M119+M124+M129+M135+M144)</f>
        <v>1910735</v>
      </c>
      <c r="N150" s="212">
        <f>SUM(N99+N105+N107+N110+N114+N119+N124+N129+N135+N144)</f>
        <v>1903180</v>
      </c>
      <c r="O150" s="1"/>
      <c r="P150" s="27"/>
      <c r="Q150" s="27"/>
    </row>
    <row r="151" spans="1:17" x14ac:dyDescent="0.25">
      <c r="A151" s="502" t="s">
        <v>124</v>
      </c>
      <c r="B151" s="213" t="s">
        <v>341</v>
      </c>
      <c r="C151" s="214">
        <f t="shared" ref="C151:H151" si="89">C84</f>
        <v>438144</v>
      </c>
      <c r="D151" s="215">
        <f t="shared" si="89"/>
        <v>446556</v>
      </c>
      <c r="E151" s="372">
        <f t="shared" si="89"/>
        <v>486612</v>
      </c>
      <c r="F151" s="372">
        <f t="shared" si="89"/>
        <v>549196</v>
      </c>
      <c r="G151" s="216">
        <f t="shared" si="89"/>
        <v>565776</v>
      </c>
      <c r="H151" s="216">
        <f t="shared" si="89"/>
        <v>596455</v>
      </c>
      <c r="I151" s="216">
        <f>I84-8740</f>
        <v>652470</v>
      </c>
      <c r="J151" s="216">
        <f>J84+J232</f>
        <v>643550</v>
      </c>
      <c r="K151" s="216">
        <f>K84+K232</f>
        <v>711433</v>
      </c>
      <c r="L151" s="216">
        <f>L84</f>
        <v>720000</v>
      </c>
      <c r="M151" s="216">
        <f>M84</f>
        <v>720000</v>
      </c>
      <c r="N151" s="216">
        <f>N84</f>
        <v>720000</v>
      </c>
      <c r="O151" s="1"/>
      <c r="P151" s="27"/>
      <c r="Q151" s="27"/>
    </row>
    <row r="152" spans="1:17" x14ac:dyDescent="0.25">
      <c r="A152" s="503" t="s">
        <v>124</v>
      </c>
      <c r="B152" s="227" t="s">
        <v>285</v>
      </c>
      <c r="C152" s="228"/>
      <c r="D152" s="229"/>
      <c r="E152" s="229"/>
      <c r="F152" s="229">
        <v>0</v>
      </c>
      <c r="G152" s="230">
        <v>0</v>
      </c>
      <c r="H152" s="230">
        <v>0</v>
      </c>
      <c r="I152" s="230">
        <f>I83</f>
        <v>4818</v>
      </c>
      <c r="J152" s="230">
        <v>19272</v>
      </c>
      <c r="K152" s="230">
        <v>14552</v>
      </c>
      <c r="L152" s="230">
        <f>L83</f>
        <v>0</v>
      </c>
      <c r="M152" s="230">
        <f t="shared" ref="M152:N152" si="90">M83</f>
        <v>0</v>
      </c>
      <c r="N152" s="230">
        <f t="shared" si="90"/>
        <v>0</v>
      </c>
      <c r="O152" s="1"/>
      <c r="P152" s="27"/>
      <c r="Q152" s="27"/>
    </row>
    <row r="153" spans="1:17" x14ac:dyDescent="0.25">
      <c r="A153" s="504" t="s">
        <v>124</v>
      </c>
      <c r="B153" s="218" t="s">
        <v>145</v>
      </c>
      <c r="C153" s="219">
        <f>C86</f>
        <v>5446</v>
      </c>
      <c r="D153" s="220">
        <f>D86+100</f>
        <v>7693</v>
      </c>
      <c r="E153" s="373">
        <f t="shared" ref="E153:N153" si="91">E86</f>
        <v>7551</v>
      </c>
      <c r="F153" s="373">
        <f t="shared" si="91"/>
        <v>355</v>
      </c>
      <c r="G153" s="221">
        <f t="shared" si="91"/>
        <v>1801</v>
      </c>
      <c r="H153" s="221">
        <f t="shared" si="91"/>
        <v>3603</v>
      </c>
      <c r="I153" s="221">
        <f t="shared" ref="I153" si="92">I86</f>
        <v>858</v>
      </c>
      <c r="J153" s="221">
        <f t="shared" si="91"/>
        <v>1550</v>
      </c>
      <c r="K153" s="221">
        <f t="shared" si="91"/>
        <v>1550</v>
      </c>
      <c r="L153" s="221">
        <f t="shared" si="91"/>
        <v>1500</v>
      </c>
      <c r="M153" s="221">
        <f t="shared" si="91"/>
        <v>1500</v>
      </c>
      <c r="N153" s="221">
        <f t="shared" si="91"/>
        <v>1500</v>
      </c>
      <c r="O153" s="1"/>
    </row>
    <row r="154" spans="1:17" x14ac:dyDescent="0.25">
      <c r="A154" s="504" t="s">
        <v>124</v>
      </c>
      <c r="B154" s="218" t="s">
        <v>146</v>
      </c>
      <c r="C154" s="219">
        <v>0</v>
      </c>
      <c r="D154" s="220">
        <v>0</v>
      </c>
      <c r="E154" s="373">
        <v>50402</v>
      </c>
      <c r="F154" s="373">
        <v>28608</v>
      </c>
      <c r="G154" s="535">
        <v>8097</v>
      </c>
      <c r="H154" s="221">
        <f>H88</f>
        <v>0</v>
      </c>
      <c r="I154" s="221">
        <f>I88</f>
        <v>0</v>
      </c>
      <c r="J154" s="221">
        <f>J88</f>
        <v>0</v>
      </c>
      <c r="K154" s="221">
        <v>0</v>
      </c>
      <c r="L154" s="221">
        <f>L88</f>
        <v>0</v>
      </c>
      <c r="M154" s="221">
        <f>M88</f>
        <v>0</v>
      </c>
      <c r="N154" s="221">
        <f>N88</f>
        <v>0</v>
      </c>
      <c r="O154" s="1"/>
      <c r="P154" s="27"/>
      <c r="Q154" s="27"/>
    </row>
    <row r="155" spans="1:17" ht="15.75" thickBot="1" x14ac:dyDescent="0.3">
      <c r="A155" s="505" t="s">
        <v>124</v>
      </c>
      <c r="B155" s="222" t="s">
        <v>147</v>
      </c>
      <c r="C155" s="223">
        <v>0</v>
      </c>
      <c r="D155" s="224">
        <v>0</v>
      </c>
      <c r="E155" s="374">
        <v>2702</v>
      </c>
      <c r="F155" s="374">
        <v>1605</v>
      </c>
      <c r="G155" s="225">
        <v>765</v>
      </c>
      <c r="H155" s="225">
        <v>0</v>
      </c>
      <c r="I155" s="225">
        <v>1606</v>
      </c>
      <c r="J155" s="225">
        <v>1700</v>
      </c>
      <c r="K155" s="225">
        <v>1700</v>
      </c>
      <c r="L155" s="225">
        <v>0</v>
      </c>
      <c r="M155" s="225">
        <v>0</v>
      </c>
      <c r="N155" s="225">
        <v>0</v>
      </c>
      <c r="O155" s="27">
        <f>SUM(L151:L155)</f>
        <v>721500</v>
      </c>
    </row>
    <row r="156" spans="1:17" x14ac:dyDescent="0.25">
      <c r="A156" s="226" t="s">
        <v>125</v>
      </c>
      <c r="B156" s="227" t="s">
        <v>148</v>
      </c>
      <c r="C156" s="228">
        <v>19000</v>
      </c>
      <c r="D156" s="229">
        <f>22500-2500</f>
        <v>20000</v>
      </c>
      <c r="E156" s="375">
        <v>22500</v>
      </c>
      <c r="F156" s="375">
        <v>32600</v>
      </c>
      <c r="G156" s="230">
        <v>32600</v>
      </c>
      <c r="H156" s="230">
        <v>33600</v>
      </c>
      <c r="I156" s="230">
        <v>35400</v>
      </c>
      <c r="J156" s="230">
        <v>34400</v>
      </c>
      <c r="K156" s="230">
        <v>34400</v>
      </c>
      <c r="L156" s="230">
        <v>34400</v>
      </c>
      <c r="M156" s="230">
        <v>34400</v>
      </c>
      <c r="N156" s="230">
        <v>34400</v>
      </c>
      <c r="O156" s="27"/>
    </row>
    <row r="157" spans="1:17" ht="15.75" thickBot="1" x14ac:dyDescent="0.3">
      <c r="A157" s="217" t="s">
        <v>125</v>
      </c>
      <c r="B157" s="218" t="s">
        <v>149</v>
      </c>
      <c r="C157" s="219">
        <f t="shared" ref="C157:J157" si="93">C87</f>
        <v>1300</v>
      </c>
      <c r="D157" s="220">
        <f t="shared" si="93"/>
        <v>1300</v>
      </c>
      <c r="E157" s="373">
        <f t="shared" si="93"/>
        <v>1308</v>
      </c>
      <c r="F157" s="373">
        <f t="shared" si="93"/>
        <v>1250</v>
      </c>
      <c r="G157" s="221">
        <f t="shared" si="93"/>
        <v>1468</v>
      </c>
      <c r="H157" s="221">
        <f t="shared" si="93"/>
        <v>1752</v>
      </c>
      <c r="I157" s="221">
        <f t="shared" ref="I157" si="94">I87</f>
        <v>2450</v>
      </c>
      <c r="J157" s="221">
        <f t="shared" si="93"/>
        <v>3600</v>
      </c>
      <c r="K157" s="221">
        <v>3600</v>
      </c>
      <c r="L157" s="221">
        <f>L87</f>
        <v>3600</v>
      </c>
      <c r="M157" s="221">
        <f>M87</f>
        <v>3600</v>
      </c>
      <c r="N157" s="221">
        <f>N87</f>
        <v>3600</v>
      </c>
      <c r="O157" s="27">
        <f>SUM(L156:L157)</f>
        <v>38000</v>
      </c>
    </row>
    <row r="158" spans="1:17" ht="15.75" thickBot="1" x14ac:dyDescent="0.3">
      <c r="A158" s="903" t="s">
        <v>150</v>
      </c>
      <c r="B158" s="904"/>
      <c r="C158" s="231">
        <f t="shared" ref="C158:G158" si="95">SUM(C151:C157)</f>
        <v>463890</v>
      </c>
      <c r="D158" s="232">
        <f t="shared" si="95"/>
        <v>475549</v>
      </c>
      <c r="E158" s="376">
        <f t="shared" si="95"/>
        <v>571075</v>
      </c>
      <c r="F158" s="376">
        <f t="shared" si="95"/>
        <v>613614</v>
      </c>
      <c r="G158" s="233">
        <f t="shared" si="95"/>
        <v>610507</v>
      </c>
      <c r="H158" s="233">
        <f t="shared" ref="H158" si="96">SUM(H151:H157)</f>
        <v>635410</v>
      </c>
      <c r="I158" s="233">
        <f t="shared" ref="I158" si="97">SUM(I151:I157)</f>
        <v>697602</v>
      </c>
      <c r="J158" s="233">
        <f t="shared" ref="J158:N158" si="98">SUM(J151:J157)</f>
        <v>704072</v>
      </c>
      <c r="K158" s="233">
        <f t="shared" si="98"/>
        <v>767235</v>
      </c>
      <c r="L158" s="233">
        <f>SUM(L151:L157)</f>
        <v>759500</v>
      </c>
      <c r="M158" s="233">
        <f t="shared" si="98"/>
        <v>759500</v>
      </c>
      <c r="N158" s="233">
        <f t="shared" si="98"/>
        <v>759500</v>
      </c>
      <c r="O158" s="27"/>
    </row>
    <row r="159" spans="1:17" x14ac:dyDescent="0.25">
      <c r="A159" s="234" t="s">
        <v>125</v>
      </c>
      <c r="B159" s="235" t="s">
        <v>151</v>
      </c>
      <c r="C159" s="236">
        <f>69000-4930</f>
        <v>64070</v>
      </c>
      <c r="D159" s="237">
        <f>190500+13510-9254</f>
        <v>194756</v>
      </c>
      <c r="E159" s="236">
        <f t="shared" ref="E159" si="99">190500+13510</f>
        <v>204010</v>
      </c>
      <c r="F159" s="398">
        <v>247438</v>
      </c>
      <c r="G159" s="238">
        <v>217828</v>
      </c>
      <c r="H159" s="238">
        <v>257640</v>
      </c>
      <c r="I159" s="238">
        <v>291720</v>
      </c>
      <c r="J159" s="238">
        <v>294050</v>
      </c>
      <c r="K159" s="238">
        <v>294050</v>
      </c>
      <c r="L159" s="238">
        <v>298000</v>
      </c>
      <c r="M159" s="238">
        <v>314200</v>
      </c>
      <c r="N159" s="238">
        <v>314200</v>
      </c>
      <c r="O159" s="1"/>
    </row>
    <row r="160" spans="1:17" x14ac:dyDescent="0.25">
      <c r="A160" s="239" t="s">
        <v>125</v>
      </c>
      <c r="B160" s="240" t="s">
        <v>251</v>
      </c>
      <c r="C160" s="241"/>
      <c r="D160" s="242">
        <v>0</v>
      </c>
      <c r="E160" s="241">
        <v>0</v>
      </c>
      <c r="F160" s="399">
        <v>0</v>
      </c>
      <c r="G160" s="89">
        <f>35981+420</f>
        <v>36401</v>
      </c>
      <c r="H160" s="89">
        <v>0</v>
      </c>
      <c r="I160" s="89">
        <v>0</v>
      </c>
      <c r="J160" s="89">
        <v>0</v>
      </c>
      <c r="K160" s="89">
        <v>0</v>
      </c>
      <c r="L160" s="89">
        <v>0</v>
      </c>
      <c r="M160" s="89">
        <v>0</v>
      </c>
      <c r="N160" s="89">
        <v>0</v>
      </c>
      <c r="O160" s="27"/>
    </row>
    <row r="161" spans="1:26" ht="15.75" thickBot="1" x14ac:dyDescent="0.3">
      <c r="A161" s="239" t="s">
        <v>125</v>
      </c>
      <c r="B161" s="240" t="s">
        <v>152</v>
      </c>
      <c r="C161" s="241">
        <f>C91</f>
        <v>4930</v>
      </c>
      <c r="D161" s="242">
        <f>D91</f>
        <v>10244</v>
      </c>
      <c r="E161" s="241">
        <f>E91</f>
        <v>11710</v>
      </c>
      <c r="F161" s="399">
        <v>11266</v>
      </c>
      <c r="G161" s="89">
        <f>G91</f>
        <v>11355</v>
      </c>
      <c r="H161" s="89">
        <f>H91</f>
        <v>11185</v>
      </c>
      <c r="I161" s="89">
        <f>I91</f>
        <v>12200</v>
      </c>
      <c r="J161" s="89">
        <f>J91</f>
        <v>12350</v>
      </c>
      <c r="K161" s="89">
        <f t="shared" ref="K161" si="100">K91</f>
        <v>12700</v>
      </c>
      <c r="L161" s="89">
        <f>L91</f>
        <v>13600</v>
      </c>
      <c r="M161" s="89">
        <f>M91</f>
        <v>13600</v>
      </c>
      <c r="N161" s="89">
        <f>N91</f>
        <v>13600</v>
      </c>
      <c r="O161" s="1"/>
    </row>
    <row r="162" spans="1:26" ht="15.75" thickBot="1" x14ac:dyDescent="0.3">
      <c r="A162" s="886" t="s">
        <v>153</v>
      </c>
      <c r="B162" s="887"/>
      <c r="C162" s="243">
        <f t="shared" ref="C162:D162" si="101">SUM(C159:C161)</f>
        <v>69000</v>
      </c>
      <c r="D162" s="244">
        <f t="shared" si="101"/>
        <v>205000</v>
      </c>
      <c r="E162" s="243">
        <f t="shared" ref="E162:G162" si="102">SUM(E159:E161)</f>
        <v>215720</v>
      </c>
      <c r="F162" s="243">
        <f t="shared" ref="F162" si="103">SUM(F159:F161)</f>
        <v>258704</v>
      </c>
      <c r="G162" s="245">
        <f t="shared" si="102"/>
        <v>265584</v>
      </c>
      <c r="H162" s="245">
        <f t="shared" ref="H162" si="104">SUM(H159:H161)</f>
        <v>268825</v>
      </c>
      <c r="I162" s="245">
        <f t="shared" ref="I162" si="105">SUM(I159:I161)</f>
        <v>303920</v>
      </c>
      <c r="J162" s="245">
        <f t="shared" ref="J162:N162" si="106">SUM(J159:J161)</f>
        <v>306400</v>
      </c>
      <c r="K162" s="245">
        <f t="shared" ref="K162" si="107">SUM(K159:K161)</f>
        <v>306750</v>
      </c>
      <c r="L162" s="245">
        <f t="shared" ref="L162" si="108">SUM(L159:L161)</f>
        <v>311600</v>
      </c>
      <c r="M162" s="245">
        <f t="shared" si="106"/>
        <v>327800</v>
      </c>
      <c r="N162" s="245">
        <f t="shared" si="106"/>
        <v>327800</v>
      </c>
      <c r="O162" s="1"/>
    </row>
    <row r="163" spans="1:26" ht="22.5" customHeight="1" thickBot="1" x14ac:dyDescent="0.3">
      <c r="A163" s="872" t="s">
        <v>154</v>
      </c>
      <c r="B163" s="873"/>
      <c r="C163" s="246">
        <f t="shared" ref="C163:G163" si="109">C158+C162</f>
        <v>532890</v>
      </c>
      <c r="D163" s="247">
        <f t="shared" si="109"/>
        <v>680549</v>
      </c>
      <c r="E163" s="246">
        <f t="shared" si="109"/>
        <v>786795</v>
      </c>
      <c r="F163" s="246">
        <f t="shared" ref="F163" si="110">F158+F162</f>
        <v>872318</v>
      </c>
      <c r="G163" s="248">
        <f t="shared" si="109"/>
        <v>876091</v>
      </c>
      <c r="H163" s="248">
        <f t="shared" ref="H163" si="111">H158+H162</f>
        <v>904235</v>
      </c>
      <c r="I163" s="248">
        <f t="shared" ref="I163" si="112">I158+I162</f>
        <v>1001522</v>
      </c>
      <c r="J163" s="248">
        <f t="shared" ref="J163:N163" si="113">J158+J162</f>
        <v>1010472</v>
      </c>
      <c r="K163" s="248">
        <f t="shared" si="113"/>
        <v>1073985</v>
      </c>
      <c r="L163" s="248">
        <f t="shared" ref="L163" si="114">L158+L162</f>
        <v>1071100</v>
      </c>
      <c r="M163" s="248">
        <f t="shared" si="113"/>
        <v>1087300</v>
      </c>
      <c r="N163" s="248">
        <f t="shared" si="113"/>
        <v>1087300</v>
      </c>
      <c r="O163" s="1"/>
    </row>
    <row r="164" spans="1:26" ht="27.75" customHeight="1" thickBot="1" x14ac:dyDescent="0.3">
      <c r="A164" s="249" t="s">
        <v>155</v>
      </c>
      <c r="B164" s="140"/>
      <c r="C164" s="250">
        <f t="shared" ref="C164:N164" si="115">C150+C163</f>
        <v>1508309</v>
      </c>
      <c r="D164" s="251">
        <f t="shared" si="115"/>
        <v>1667910</v>
      </c>
      <c r="E164" s="250">
        <f t="shared" si="115"/>
        <v>1947235</v>
      </c>
      <c r="F164" s="250">
        <f t="shared" ref="F164" si="116">F150+F163</f>
        <v>1998056.4</v>
      </c>
      <c r="G164" s="252">
        <f t="shared" si="115"/>
        <v>2131546</v>
      </c>
      <c r="H164" s="252">
        <f t="shared" si="115"/>
        <v>2183960</v>
      </c>
      <c r="I164" s="252">
        <f t="shared" ref="I164" si="117">I150+I163</f>
        <v>2541118</v>
      </c>
      <c r="J164" s="252">
        <f t="shared" si="115"/>
        <v>2811703</v>
      </c>
      <c r="K164" s="252">
        <f t="shared" si="115"/>
        <v>3044393</v>
      </c>
      <c r="L164" s="252">
        <f>L150+L163</f>
        <v>2990485</v>
      </c>
      <c r="M164" s="252">
        <f t="shared" si="115"/>
        <v>2998035</v>
      </c>
      <c r="N164" s="252">
        <f t="shared" si="115"/>
        <v>2990480</v>
      </c>
      <c r="O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26" ht="18.75" thickBot="1" x14ac:dyDescent="0.3">
      <c r="A167" s="874" t="s">
        <v>156</v>
      </c>
      <c r="B167" s="875"/>
      <c r="C167" s="875"/>
      <c r="D167" s="875"/>
      <c r="E167" s="875"/>
      <c r="F167" s="875"/>
      <c r="G167" s="875"/>
      <c r="H167" s="875"/>
      <c r="I167" s="875"/>
      <c r="J167" s="875"/>
      <c r="K167" s="875"/>
      <c r="L167" s="875"/>
      <c r="M167" s="875"/>
      <c r="N167" s="875"/>
      <c r="O167" s="1"/>
    </row>
    <row r="168" spans="1:26" ht="38.25" customHeight="1" thickBot="1" x14ac:dyDescent="0.3">
      <c r="A168" s="876" t="s">
        <v>1</v>
      </c>
      <c r="B168" s="877"/>
      <c r="C168" s="388" t="s">
        <v>2</v>
      </c>
      <c r="D168" s="388" t="s">
        <v>3</v>
      </c>
      <c r="E168" s="388" t="s">
        <v>186</v>
      </c>
      <c r="F168" s="388" t="s">
        <v>201</v>
      </c>
      <c r="G168" s="470" t="s">
        <v>237</v>
      </c>
      <c r="H168" s="470" t="s">
        <v>263</v>
      </c>
      <c r="I168" s="470" t="s">
        <v>322</v>
      </c>
      <c r="J168" s="387" t="s">
        <v>326</v>
      </c>
      <c r="K168" s="387" t="s">
        <v>343</v>
      </c>
      <c r="L168" s="387" t="s">
        <v>238</v>
      </c>
      <c r="M168" s="387" t="s">
        <v>264</v>
      </c>
      <c r="N168" s="387" t="s">
        <v>305</v>
      </c>
      <c r="O168" s="1"/>
    </row>
    <row r="169" spans="1:26" ht="16.5" thickBot="1" x14ac:dyDescent="0.3">
      <c r="A169" s="878" t="s">
        <v>157</v>
      </c>
      <c r="B169" s="879"/>
      <c r="C169" s="253">
        <f t="shared" ref="C169:N169" si="118">SUM(C170:C187)</f>
        <v>10502</v>
      </c>
      <c r="D169" s="253">
        <f t="shared" si="118"/>
        <v>445</v>
      </c>
      <c r="E169" s="253">
        <f t="shared" si="118"/>
        <v>196343</v>
      </c>
      <c r="F169" s="253">
        <f t="shared" si="118"/>
        <v>118970</v>
      </c>
      <c r="G169" s="253">
        <f t="shared" si="118"/>
        <v>93063</v>
      </c>
      <c r="H169" s="253">
        <f t="shared" si="118"/>
        <v>79290</v>
      </c>
      <c r="I169" s="253">
        <f t="shared" si="118"/>
        <v>316209</v>
      </c>
      <c r="J169" s="253">
        <f t="shared" si="118"/>
        <v>1143050</v>
      </c>
      <c r="K169" s="253">
        <f t="shared" si="118"/>
        <v>2827690</v>
      </c>
      <c r="L169" s="253">
        <f t="shared" si="118"/>
        <v>2593450</v>
      </c>
      <c r="M169" s="253">
        <f t="shared" si="118"/>
        <v>0</v>
      </c>
      <c r="N169" s="253">
        <f t="shared" si="118"/>
        <v>0</v>
      </c>
      <c r="O169" s="1"/>
    </row>
    <row r="170" spans="1:26" ht="15.75" thickBot="1" x14ac:dyDescent="0.3">
      <c r="A170" s="77">
        <v>231</v>
      </c>
      <c r="B170" s="461" t="s">
        <v>240</v>
      </c>
      <c r="C170" s="254">
        <v>5251</v>
      </c>
      <c r="D170" s="254">
        <v>0</v>
      </c>
      <c r="E170" s="254">
        <v>0</v>
      </c>
      <c r="F170" s="254">
        <v>0</v>
      </c>
      <c r="G170" s="255">
        <v>0</v>
      </c>
      <c r="H170" s="255">
        <v>3991</v>
      </c>
      <c r="I170" s="255">
        <v>0</v>
      </c>
      <c r="J170" s="255">
        <v>0</v>
      </c>
      <c r="K170" s="255">
        <v>0</v>
      </c>
      <c r="L170" s="255">
        <v>0</v>
      </c>
      <c r="M170" s="255"/>
      <c r="N170" s="255"/>
      <c r="O170" s="1"/>
    </row>
    <row r="171" spans="1:26" ht="15.75" thickBot="1" x14ac:dyDescent="0.3">
      <c r="A171" s="77">
        <v>233</v>
      </c>
      <c r="B171" s="78" t="s">
        <v>158</v>
      </c>
      <c r="C171" s="254">
        <v>5251</v>
      </c>
      <c r="D171" s="254">
        <v>445</v>
      </c>
      <c r="E171" s="254">
        <v>3091</v>
      </c>
      <c r="F171" s="254">
        <v>56</v>
      </c>
      <c r="G171" s="255">
        <v>2912</v>
      </c>
      <c r="H171" s="255">
        <v>1255</v>
      </c>
      <c r="I171" s="255">
        <v>4034</v>
      </c>
      <c r="J171" s="255">
        <v>5000</v>
      </c>
      <c r="K171" s="255">
        <v>13000</v>
      </c>
      <c r="L171" s="255">
        <v>3000</v>
      </c>
      <c r="M171" s="255"/>
      <c r="N171" s="255"/>
      <c r="O171" s="1"/>
    </row>
    <row r="172" spans="1:26" ht="15.75" thickBot="1" x14ac:dyDescent="0.3">
      <c r="A172" s="407">
        <v>321</v>
      </c>
      <c r="B172" s="408" t="s">
        <v>208</v>
      </c>
      <c r="C172" s="256"/>
      <c r="D172" s="419">
        <v>0</v>
      </c>
      <c r="E172" s="419">
        <v>0</v>
      </c>
      <c r="F172" s="419">
        <v>0</v>
      </c>
      <c r="G172" s="420">
        <v>766</v>
      </c>
      <c r="H172" s="420">
        <v>120</v>
      </c>
      <c r="I172" s="420">
        <v>0</v>
      </c>
      <c r="J172" s="420">
        <v>0</v>
      </c>
      <c r="K172" s="420">
        <v>0</v>
      </c>
      <c r="L172" s="420">
        <v>0</v>
      </c>
      <c r="M172" s="420"/>
      <c r="N172" s="420"/>
      <c r="O172" s="1"/>
    </row>
    <row r="173" spans="1:26" x14ac:dyDescent="0.25">
      <c r="A173" s="261">
        <v>322</v>
      </c>
      <c r="B173" s="76" t="s">
        <v>355</v>
      </c>
      <c r="C173" s="262"/>
      <c r="D173" s="262"/>
      <c r="E173" s="262"/>
      <c r="F173" s="262">
        <v>0</v>
      </c>
      <c r="G173" s="263">
        <v>0</v>
      </c>
      <c r="H173" s="263">
        <v>0</v>
      </c>
      <c r="I173" s="263">
        <v>91304</v>
      </c>
      <c r="J173" s="263">
        <v>434700</v>
      </c>
      <c r="K173" s="263">
        <v>434700</v>
      </c>
      <c r="L173" s="263">
        <v>430000</v>
      </c>
      <c r="M173" s="263"/>
      <c r="N173" s="383"/>
      <c r="O173" s="27"/>
    </row>
    <row r="174" spans="1:26" x14ac:dyDescent="0.25">
      <c r="A174" s="261">
        <v>322</v>
      </c>
      <c r="B174" s="264" t="s">
        <v>356</v>
      </c>
      <c r="C174" s="262"/>
      <c r="D174" s="262"/>
      <c r="E174" s="262"/>
      <c r="F174" s="259">
        <v>0</v>
      </c>
      <c r="G174" s="260">
        <v>0</v>
      </c>
      <c r="H174" s="263">
        <v>0</v>
      </c>
      <c r="I174" s="263">
        <v>0</v>
      </c>
      <c r="J174" s="260">
        <v>178000</v>
      </c>
      <c r="K174" s="260">
        <v>145000</v>
      </c>
      <c r="L174" s="260">
        <v>145000</v>
      </c>
      <c r="M174" s="260"/>
      <c r="N174" s="257"/>
      <c r="O174" s="1"/>
    </row>
    <row r="175" spans="1:26" x14ac:dyDescent="0.25">
      <c r="A175" s="261">
        <v>322</v>
      </c>
      <c r="B175" s="84" t="s">
        <v>294</v>
      </c>
      <c r="C175" s="262"/>
      <c r="D175" s="262"/>
      <c r="E175" s="262"/>
      <c r="F175" s="259">
        <v>0</v>
      </c>
      <c r="G175" s="260">
        <v>0</v>
      </c>
      <c r="H175" s="263">
        <v>0</v>
      </c>
      <c r="I175" s="263">
        <v>0</v>
      </c>
      <c r="J175" s="263">
        <v>190000</v>
      </c>
      <c r="K175" s="263">
        <v>190000</v>
      </c>
      <c r="L175" s="263"/>
      <c r="M175" s="260"/>
      <c r="N175" s="257"/>
      <c r="O175" s="1"/>
      <c r="P175" s="27"/>
      <c r="Q175" s="27"/>
      <c r="X175" s="426"/>
      <c r="Y175" s="426"/>
      <c r="Z175" s="426"/>
    </row>
    <row r="176" spans="1:26" x14ac:dyDescent="0.25">
      <c r="A176" s="261">
        <v>322</v>
      </c>
      <c r="B176" s="84" t="s">
        <v>334</v>
      </c>
      <c r="C176" s="262"/>
      <c r="D176" s="262"/>
      <c r="E176" s="262"/>
      <c r="F176" s="259"/>
      <c r="G176" s="260"/>
      <c r="H176" s="263"/>
      <c r="I176" s="263"/>
      <c r="J176" s="263"/>
      <c r="K176" s="263"/>
      <c r="L176" s="263"/>
      <c r="M176" s="260"/>
      <c r="N176" s="257"/>
      <c r="O176" s="1"/>
      <c r="P176" s="27"/>
      <c r="Q176" s="27"/>
      <c r="X176" s="426"/>
      <c r="Y176" s="426"/>
      <c r="Z176" s="426"/>
    </row>
    <row r="177" spans="1:26" x14ac:dyDescent="0.25">
      <c r="A177" s="261">
        <v>322</v>
      </c>
      <c r="B177" s="84" t="s">
        <v>348</v>
      </c>
      <c r="C177" s="262"/>
      <c r="D177" s="262"/>
      <c r="E177" s="262"/>
      <c r="F177" s="259"/>
      <c r="G177" s="260"/>
      <c r="H177" s="263"/>
      <c r="I177" s="263"/>
      <c r="J177" s="263"/>
      <c r="K177" s="263">
        <v>138300</v>
      </c>
      <c r="L177" s="263">
        <v>138200</v>
      </c>
      <c r="M177" s="260"/>
      <c r="N177" s="257"/>
      <c r="O177" s="1"/>
      <c r="P177" s="27"/>
      <c r="Q177" s="27"/>
      <c r="X177" s="426"/>
      <c r="Y177" s="426"/>
      <c r="Z177" s="426"/>
    </row>
    <row r="178" spans="1:26" x14ac:dyDescent="0.25">
      <c r="A178" s="258">
        <v>322</v>
      </c>
      <c r="B178" s="72" t="s">
        <v>160</v>
      </c>
      <c r="C178" s="259"/>
      <c r="D178" s="259"/>
      <c r="E178" s="259">
        <v>193252</v>
      </c>
      <c r="F178" s="259">
        <v>0</v>
      </c>
      <c r="G178" s="260">
        <v>0</v>
      </c>
      <c r="H178" s="260">
        <v>0</v>
      </c>
      <c r="I178" s="260">
        <v>0</v>
      </c>
      <c r="J178" s="260">
        <v>300000</v>
      </c>
      <c r="K178" s="260">
        <v>300000</v>
      </c>
      <c r="L178" s="260"/>
      <c r="M178" s="260"/>
      <c r="N178" s="260"/>
      <c r="O178" s="1"/>
    </row>
    <row r="179" spans="1:26" x14ac:dyDescent="0.25">
      <c r="A179" s="258">
        <v>322</v>
      </c>
      <c r="B179" s="114" t="s">
        <v>349</v>
      </c>
      <c r="C179" s="256"/>
      <c r="D179" s="259"/>
      <c r="E179" s="259"/>
      <c r="F179" s="259"/>
      <c r="G179" s="260"/>
      <c r="H179" s="263"/>
      <c r="I179" s="260"/>
      <c r="J179" s="257"/>
      <c r="K179" s="257"/>
      <c r="L179" s="257">
        <v>196500</v>
      </c>
      <c r="M179" s="257"/>
      <c r="N179" s="257"/>
      <c r="O179" s="1"/>
    </row>
    <row r="180" spans="1:26" x14ac:dyDescent="0.25">
      <c r="A180" s="258">
        <v>322</v>
      </c>
      <c r="B180" s="264" t="s">
        <v>286</v>
      </c>
      <c r="C180" s="256"/>
      <c r="D180" s="259"/>
      <c r="E180" s="259"/>
      <c r="F180" s="259">
        <v>0</v>
      </c>
      <c r="G180" s="260">
        <v>0</v>
      </c>
      <c r="H180" s="263">
        <v>0</v>
      </c>
      <c r="I180" s="383">
        <v>79648</v>
      </c>
      <c r="J180" s="257">
        <v>0</v>
      </c>
      <c r="K180" s="257">
        <v>100000</v>
      </c>
      <c r="L180" s="257">
        <v>70000</v>
      </c>
      <c r="M180" s="257"/>
      <c r="N180" s="257"/>
      <c r="O180" s="1"/>
    </row>
    <row r="181" spans="1:26" x14ac:dyDescent="0.25">
      <c r="A181" s="506">
        <v>322</v>
      </c>
      <c r="B181" s="522" t="s">
        <v>287</v>
      </c>
      <c r="C181" s="256"/>
      <c r="D181" s="259"/>
      <c r="E181" s="259"/>
      <c r="F181" s="259">
        <v>0</v>
      </c>
      <c r="G181" s="260">
        <v>0</v>
      </c>
      <c r="H181" s="260">
        <v>0</v>
      </c>
      <c r="I181" s="257">
        <v>141223</v>
      </c>
      <c r="J181" s="257">
        <v>35350</v>
      </c>
      <c r="K181" s="257">
        <v>35350</v>
      </c>
      <c r="L181" s="257">
        <f>140750-105400</f>
        <v>35350</v>
      </c>
      <c r="M181" s="257"/>
      <c r="N181" s="257"/>
      <c r="O181" s="1"/>
    </row>
    <row r="182" spans="1:26" x14ac:dyDescent="0.25">
      <c r="A182" s="83">
        <v>322</v>
      </c>
      <c r="B182" s="72" t="s">
        <v>209</v>
      </c>
      <c r="C182" s="256"/>
      <c r="D182" s="259"/>
      <c r="E182" s="259"/>
      <c r="F182" s="259">
        <v>0</v>
      </c>
      <c r="G182" s="260">
        <v>0</v>
      </c>
      <c r="H182" s="260">
        <v>0</v>
      </c>
      <c r="I182" s="257">
        <v>0</v>
      </c>
      <c r="J182" s="257">
        <v>0</v>
      </c>
      <c r="K182" s="257">
        <v>0</v>
      </c>
      <c r="L182" s="257"/>
      <c r="M182" s="257"/>
      <c r="N182" s="257"/>
      <c r="O182" s="1"/>
    </row>
    <row r="183" spans="1:26" x14ac:dyDescent="0.25">
      <c r="A183" s="258">
        <v>322</v>
      </c>
      <c r="B183" s="72" t="s">
        <v>351</v>
      </c>
      <c r="C183" s="256"/>
      <c r="D183" s="259"/>
      <c r="E183" s="259"/>
      <c r="F183" s="259"/>
      <c r="G183" s="260"/>
      <c r="H183" s="260"/>
      <c r="I183" s="257"/>
      <c r="J183" s="257"/>
      <c r="K183" s="257">
        <v>0</v>
      </c>
      <c r="L183" s="257">
        <v>50000</v>
      </c>
      <c r="M183" s="257"/>
      <c r="N183" s="257"/>
      <c r="O183" s="1"/>
    </row>
    <row r="184" spans="1:26" x14ac:dyDescent="0.25">
      <c r="A184" s="258">
        <v>322</v>
      </c>
      <c r="B184" s="72" t="s">
        <v>352</v>
      </c>
      <c r="C184" s="256"/>
      <c r="D184" s="259"/>
      <c r="E184" s="259"/>
      <c r="F184" s="259"/>
      <c r="G184" s="260"/>
      <c r="H184" s="260"/>
      <c r="I184" s="257"/>
      <c r="J184" s="257"/>
      <c r="K184" s="257">
        <v>323640</v>
      </c>
      <c r="L184" s="257">
        <v>379400</v>
      </c>
      <c r="M184" s="257"/>
      <c r="N184" s="257"/>
      <c r="O184" s="1"/>
    </row>
    <row r="185" spans="1:26" x14ac:dyDescent="0.25">
      <c r="A185" s="258">
        <v>322</v>
      </c>
      <c r="B185" s="72" t="s">
        <v>198</v>
      </c>
      <c r="C185" s="259"/>
      <c r="D185" s="259"/>
      <c r="E185" s="259">
        <v>0</v>
      </c>
      <c r="F185" s="259">
        <v>0</v>
      </c>
      <c r="G185" s="260">
        <v>89385</v>
      </c>
      <c r="H185" s="260">
        <v>73924</v>
      </c>
      <c r="I185" s="260">
        <v>0</v>
      </c>
      <c r="J185" s="260">
        <v>0</v>
      </c>
      <c r="K185" s="260">
        <v>0</v>
      </c>
      <c r="L185" s="260"/>
      <c r="M185" s="260"/>
      <c r="N185" s="260"/>
      <c r="O185" s="1"/>
    </row>
    <row r="186" spans="1:26" x14ac:dyDescent="0.25">
      <c r="A186" s="261">
        <v>322</v>
      </c>
      <c r="B186" s="76" t="s">
        <v>353</v>
      </c>
      <c r="C186" s="262"/>
      <c r="D186" s="262"/>
      <c r="E186" s="262"/>
      <c r="F186" s="262"/>
      <c r="G186" s="263"/>
      <c r="H186" s="263"/>
      <c r="I186" s="263"/>
      <c r="J186" s="263"/>
      <c r="K186" s="263">
        <v>1147700</v>
      </c>
      <c r="L186" s="263">
        <v>1146000</v>
      </c>
      <c r="M186" s="263"/>
      <c r="N186" s="263"/>
      <c r="O186" s="1"/>
    </row>
    <row r="187" spans="1:26" ht="15.75" thickBot="1" x14ac:dyDescent="0.3">
      <c r="A187" s="261">
        <v>322</v>
      </c>
      <c r="B187" s="76" t="s">
        <v>159</v>
      </c>
      <c r="C187" s="262"/>
      <c r="D187" s="262"/>
      <c r="E187" s="262">
        <v>0</v>
      </c>
      <c r="F187" s="262">
        <v>118914</v>
      </c>
      <c r="G187" s="263">
        <v>0</v>
      </c>
      <c r="H187" s="263">
        <v>0</v>
      </c>
      <c r="I187" s="263">
        <v>0</v>
      </c>
      <c r="J187" s="263">
        <v>0</v>
      </c>
      <c r="K187" s="263">
        <v>0</v>
      </c>
      <c r="L187" s="263"/>
      <c r="M187" s="263"/>
      <c r="N187" s="263"/>
      <c r="O187" s="27">
        <f>SUM(L173:L187)</f>
        <v>2590450</v>
      </c>
    </row>
    <row r="188" spans="1:26" ht="16.5" thickBot="1" x14ac:dyDescent="0.3">
      <c r="A188" s="878" t="s">
        <v>161</v>
      </c>
      <c r="B188" s="879"/>
      <c r="C188" s="253">
        <f t="shared" ref="C188:N188" si="119">SUM(C189:C224)</f>
        <v>54067</v>
      </c>
      <c r="D188" s="253">
        <f t="shared" si="119"/>
        <v>22442</v>
      </c>
      <c r="E188" s="253">
        <f t="shared" si="119"/>
        <v>290525</v>
      </c>
      <c r="F188" s="253">
        <f t="shared" si="119"/>
        <v>211426</v>
      </c>
      <c r="G188" s="253">
        <f t="shared" si="119"/>
        <v>247102</v>
      </c>
      <c r="H188" s="253">
        <f t="shared" si="119"/>
        <v>115817</v>
      </c>
      <c r="I188" s="253">
        <f t="shared" si="119"/>
        <v>373572</v>
      </c>
      <c r="J188" s="253">
        <f t="shared" si="119"/>
        <v>2034046</v>
      </c>
      <c r="K188" s="253">
        <f t="shared" si="119"/>
        <v>3616986</v>
      </c>
      <c r="L188" s="253">
        <f t="shared" si="119"/>
        <v>3144736</v>
      </c>
      <c r="M188" s="253">
        <f t="shared" si="119"/>
        <v>0</v>
      </c>
      <c r="N188" s="253">
        <f t="shared" si="119"/>
        <v>0</v>
      </c>
      <c r="O188" s="27">
        <f>L188-L169</f>
        <v>551286</v>
      </c>
    </row>
    <row r="189" spans="1:26" x14ac:dyDescent="0.25">
      <c r="A189" s="266" t="s">
        <v>63</v>
      </c>
      <c r="B189" s="267" t="s">
        <v>162</v>
      </c>
      <c r="C189" s="268"/>
      <c r="D189" s="268"/>
      <c r="E189" s="268">
        <v>0</v>
      </c>
      <c r="F189" s="268">
        <v>131248</v>
      </c>
      <c r="G189" s="268">
        <v>0</v>
      </c>
      <c r="H189" s="268">
        <v>0</v>
      </c>
      <c r="I189" s="268">
        <v>0</v>
      </c>
      <c r="J189" s="268">
        <v>0</v>
      </c>
      <c r="K189" s="268">
        <v>0</v>
      </c>
      <c r="L189" s="268">
        <v>0</v>
      </c>
      <c r="M189" s="268"/>
      <c r="N189" s="268"/>
      <c r="O189" s="1"/>
    </row>
    <row r="190" spans="1:26" ht="15.75" thickBot="1" x14ac:dyDescent="0.3">
      <c r="A190" s="271" t="s">
        <v>63</v>
      </c>
      <c r="B190" s="272" t="s">
        <v>190</v>
      </c>
      <c r="C190" s="273"/>
      <c r="D190" s="273"/>
      <c r="E190" s="273">
        <v>26434</v>
      </c>
      <c r="F190" s="273">
        <v>3587</v>
      </c>
      <c r="G190" s="273">
        <v>0</v>
      </c>
      <c r="H190" s="273">
        <v>0</v>
      </c>
      <c r="I190" s="273">
        <v>0</v>
      </c>
      <c r="J190" s="273">
        <v>0</v>
      </c>
      <c r="K190" s="273">
        <v>0</v>
      </c>
      <c r="L190" s="273">
        <v>0</v>
      </c>
      <c r="M190" s="273"/>
      <c r="N190" s="273"/>
      <c r="O190" s="1"/>
    </row>
    <row r="191" spans="1:26" x14ac:dyDescent="0.25">
      <c r="A191" s="275" t="s">
        <v>82</v>
      </c>
      <c r="B191" s="265" t="s">
        <v>163</v>
      </c>
      <c r="C191" s="276"/>
      <c r="D191" s="276"/>
      <c r="E191" s="276">
        <v>0</v>
      </c>
      <c r="F191" s="276">
        <v>0</v>
      </c>
      <c r="G191" s="276">
        <v>5400</v>
      </c>
      <c r="H191" s="276">
        <v>0</v>
      </c>
      <c r="I191" s="276">
        <v>0</v>
      </c>
      <c r="J191" s="276">
        <v>1500</v>
      </c>
      <c r="K191" s="276">
        <v>1500</v>
      </c>
      <c r="L191" s="276">
        <v>1500</v>
      </c>
      <c r="M191" s="276"/>
      <c r="N191" s="276"/>
      <c r="O191" s="1"/>
    </row>
    <row r="192" spans="1:26" x14ac:dyDescent="0.25">
      <c r="A192" s="277" t="s">
        <v>84</v>
      </c>
      <c r="B192" s="473" t="s">
        <v>261</v>
      </c>
      <c r="C192" s="279"/>
      <c r="D192" s="279"/>
      <c r="E192" s="279"/>
      <c r="F192" s="279">
        <v>0</v>
      </c>
      <c r="G192" s="279">
        <v>0</v>
      </c>
      <c r="H192" s="279">
        <v>0</v>
      </c>
      <c r="I192" s="279">
        <v>2943</v>
      </c>
      <c r="J192" s="279">
        <v>0</v>
      </c>
      <c r="K192" s="279">
        <v>0</v>
      </c>
      <c r="L192" s="279"/>
      <c r="M192" s="279"/>
      <c r="N192" s="279"/>
      <c r="O192" s="1"/>
    </row>
    <row r="193" spans="1:15" ht="15.75" thickBot="1" x14ac:dyDescent="0.3">
      <c r="A193" s="271" t="s">
        <v>84</v>
      </c>
      <c r="B193" s="382" t="s">
        <v>199</v>
      </c>
      <c r="C193" s="273"/>
      <c r="D193" s="273"/>
      <c r="E193" s="273">
        <v>0</v>
      </c>
      <c r="F193" s="273">
        <v>6813</v>
      </c>
      <c r="G193" s="273">
        <v>0</v>
      </c>
      <c r="H193" s="273">
        <v>20321</v>
      </c>
      <c r="I193" s="273">
        <v>0</v>
      </c>
      <c r="J193" s="273">
        <v>0</v>
      </c>
      <c r="K193" s="273">
        <v>0</v>
      </c>
      <c r="L193" s="273"/>
      <c r="M193" s="273"/>
      <c r="N193" s="273"/>
      <c r="O193" s="1"/>
    </row>
    <row r="194" spans="1:15" x14ac:dyDescent="0.25">
      <c r="A194" s="280" t="s">
        <v>87</v>
      </c>
      <c r="B194" s="556" t="s">
        <v>332</v>
      </c>
      <c r="C194" s="282"/>
      <c r="D194" s="282"/>
      <c r="E194" s="282"/>
      <c r="F194" s="282"/>
      <c r="G194" s="282"/>
      <c r="H194" s="282"/>
      <c r="I194" s="282"/>
      <c r="J194" s="282"/>
      <c r="K194" s="282">
        <v>154700</v>
      </c>
      <c r="L194" s="282">
        <v>151200</v>
      </c>
      <c r="M194" s="282"/>
      <c r="N194" s="282"/>
      <c r="O194" s="1"/>
    </row>
    <row r="195" spans="1:15" x14ac:dyDescent="0.25">
      <c r="A195" s="280" t="s">
        <v>89</v>
      </c>
      <c r="B195" s="281" t="s">
        <v>210</v>
      </c>
      <c r="C195" s="282"/>
      <c r="D195" s="282"/>
      <c r="E195" s="282"/>
      <c r="F195" s="282">
        <v>0</v>
      </c>
      <c r="G195" s="282">
        <v>15200</v>
      </c>
      <c r="H195" s="282">
        <v>0</v>
      </c>
      <c r="I195" s="282">
        <v>0</v>
      </c>
      <c r="J195" s="282">
        <v>0</v>
      </c>
      <c r="K195" s="282">
        <v>0</v>
      </c>
      <c r="L195" s="282"/>
      <c r="M195" s="282"/>
      <c r="N195" s="282"/>
      <c r="O195" s="27"/>
    </row>
    <row r="196" spans="1:15" x14ac:dyDescent="0.25">
      <c r="A196" s="269" t="s">
        <v>89</v>
      </c>
      <c r="B196" s="283" t="s">
        <v>197</v>
      </c>
      <c r="C196" s="270"/>
      <c r="D196" s="270"/>
      <c r="E196" s="270">
        <v>213721</v>
      </c>
      <c r="F196" s="270">
        <v>0</v>
      </c>
      <c r="G196" s="270">
        <f>390</f>
        <v>390</v>
      </c>
      <c r="H196" s="270">
        <v>0</v>
      </c>
      <c r="I196" s="270">
        <v>0</v>
      </c>
      <c r="J196" s="270">
        <v>390000</v>
      </c>
      <c r="K196" s="270">
        <v>0</v>
      </c>
      <c r="L196" s="270"/>
      <c r="M196" s="270"/>
      <c r="N196" s="270"/>
      <c r="O196" s="1"/>
    </row>
    <row r="197" spans="1:15" x14ac:dyDescent="0.25">
      <c r="A197" s="280" t="s">
        <v>89</v>
      </c>
      <c r="B197" s="281" t="s">
        <v>333</v>
      </c>
      <c r="C197" s="279"/>
      <c r="D197" s="270"/>
      <c r="E197" s="270"/>
      <c r="F197" s="270">
        <v>0</v>
      </c>
      <c r="G197" s="270">
        <v>38416</v>
      </c>
      <c r="H197" s="270">
        <v>0</v>
      </c>
      <c r="I197" s="270">
        <v>0</v>
      </c>
      <c r="J197" s="270">
        <v>0</v>
      </c>
      <c r="K197" s="270">
        <v>370000</v>
      </c>
      <c r="L197" s="270">
        <v>100000</v>
      </c>
      <c r="M197" s="270"/>
      <c r="N197" s="270"/>
      <c r="O197" s="1"/>
    </row>
    <row r="198" spans="1:15" x14ac:dyDescent="0.25">
      <c r="A198" s="570" t="s">
        <v>93</v>
      </c>
      <c r="B198" s="571" t="s">
        <v>350</v>
      </c>
      <c r="C198" s="279"/>
      <c r="D198" s="282"/>
      <c r="E198" s="282"/>
      <c r="F198" s="282"/>
      <c r="G198" s="282"/>
      <c r="H198" s="282"/>
      <c r="I198" s="282"/>
      <c r="J198" s="282"/>
      <c r="K198" s="282"/>
      <c r="L198" s="282">
        <v>196500</v>
      </c>
      <c r="M198" s="282"/>
      <c r="N198" s="282"/>
      <c r="O198" s="1"/>
    </row>
    <row r="199" spans="1:15" ht="15.75" thickBot="1" x14ac:dyDescent="0.3">
      <c r="A199" s="490" t="s">
        <v>93</v>
      </c>
      <c r="B199" s="491" t="s">
        <v>211</v>
      </c>
      <c r="C199" s="274"/>
      <c r="D199" s="273"/>
      <c r="E199" s="273"/>
      <c r="F199" s="273">
        <v>0</v>
      </c>
      <c r="G199" s="273">
        <v>3547</v>
      </c>
      <c r="H199" s="273">
        <v>0</v>
      </c>
      <c r="I199" s="273">
        <v>0</v>
      </c>
      <c r="J199" s="273">
        <v>0</v>
      </c>
      <c r="K199" s="273">
        <v>0</v>
      </c>
      <c r="L199" s="273"/>
      <c r="M199" s="273"/>
      <c r="N199" s="273"/>
      <c r="O199" s="1"/>
    </row>
    <row r="200" spans="1:15" x14ac:dyDescent="0.25">
      <c r="A200" s="277" t="s">
        <v>164</v>
      </c>
      <c r="B200" s="278" t="s">
        <v>165</v>
      </c>
      <c r="C200" s="279">
        <v>2107</v>
      </c>
      <c r="D200" s="279">
        <v>114</v>
      </c>
      <c r="E200" s="279">
        <v>0</v>
      </c>
      <c r="F200" s="279">
        <v>0</v>
      </c>
      <c r="G200" s="279">
        <v>140</v>
      </c>
      <c r="H200" s="279">
        <v>0</v>
      </c>
      <c r="I200" s="279">
        <v>0</v>
      </c>
      <c r="J200" s="279">
        <v>25000</v>
      </c>
      <c r="K200" s="279">
        <v>21650</v>
      </c>
      <c r="L200" s="279">
        <v>23000</v>
      </c>
      <c r="M200" s="279"/>
      <c r="N200" s="279"/>
      <c r="O200" s="1"/>
    </row>
    <row r="201" spans="1:15" x14ac:dyDescent="0.25">
      <c r="A201" s="284" t="s">
        <v>164</v>
      </c>
      <c r="B201" s="283" t="s">
        <v>200</v>
      </c>
      <c r="C201" s="270">
        <v>49262</v>
      </c>
      <c r="D201" s="270">
        <v>19728</v>
      </c>
      <c r="E201" s="270">
        <v>10645</v>
      </c>
      <c r="F201" s="270">
        <v>20733</v>
      </c>
      <c r="G201" s="270">
        <v>21493</v>
      </c>
      <c r="H201" s="270">
        <v>2827</v>
      </c>
      <c r="I201" s="270">
        <v>42726</v>
      </c>
      <c r="J201" s="270">
        <v>30000</v>
      </c>
      <c r="K201" s="270">
        <v>30000</v>
      </c>
      <c r="L201" s="270">
        <v>30000</v>
      </c>
      <c r="M201" s="270"/>
      <c r="N201" s="270"/>
      <c r="O201" s="1"/>
    </row>
    <row r="202" spans="1:15" x14ac:dyDescent="0.25">
      <c r="A202" s="284" t="s">
        <v>96</v>
      </c>
      <c r="B202" s="401" t="s">
        <v>192</v>
      </c>
      <c r="C202" s="270"/>
      <c r="D202" s="270"/>
      <c r="E202" s="270"/>
      <c r="F202" s="270">
        <v>0</v>
      </c>
      <c r="G202" s="270">
        <v>0</v>
      </c>
      <c r="H202" s="270">
        <v>0</v>
      </c>
      <c r="I202" s="270">
        <v>0</v>
      </c>
      <c r="J202" s="270">
        <v>0</v>
      </c>
      <c r="K202" s="270">
        <v>0</v>
      </c>
      <c r="L202" s="270"/>
      <c r="M202" s="270"/>
      <c r="N202" s="270"/>
      <c r="O202" s="27"/>
    </row>
    <row r="203" spans="1:15" x14ac:dyDescent="0.25">
      <c r="A203" s="287" t="s">
        <v>96</v>
      </c>
      <c r="B203" s="285" t="s">
        <v>203</v>
      </c>
      <c r="C203" s="270"/>
      <c r="D203" s="270">
        <v>2600</v>
      </c>
      <c r="E203" s="270">
        <v>0</v>
      </c>
      <c r="F203" s="270">
        <v>35581</v>
      </c>
      <c r="G203" s="270">
        <v>11503</v>
      </c>
      <c r="H203" s="270">
        <v>0</v>
      </c>
      <c r="I203" s="270">
        <v>17212</v>
      </c>
      <c r="J203" s="270">
        <v>10000</v>
      </c>
      <c r="K203" s="270">
        <f>3000+7000</f>
        <v>10000</v>
      </c>
      <c r="L203" s="270">
        <v>10000</v>
      </c>
      <c r="M203" s="270"/>
      <c r="N203" s="270"/>
      <c r="O203" s="27"/>
    </row>
    <row r="204" spans="1:15" x14ac:dyDescent="0.25">
      <c r="A204" s="288" t="s">
        <v>96</v>
      </c>
      <c r="B204" s="421" t="s">
        <v>218</v>
      </c>
      <c r="C204" s="270"/>
      <c r="D204" s="270"/>
      <c r="E204" s="270"/>
      <c r="F204" s="270">
        <v>0</v>
      </c>
      <c r="G204" s="270">
        <v>2136</v>
      </c>
      <c r="H204" s="270">
        <v>0</v>
      </c>
      <c r="I204" s="270">
        <v>0</v>
      </c>
      <c r="J204" s="270">
        <v>0</v>
      </c>
      <c r="K204" s="270">
        <v>0</v>
      </c>
      <c r="L204" s="270"/>
      <c r="M204" s="270"/>
      <c r="N204" s="270"/>
      <c r="O204" s="1"/>
    </row>
    <row r="205" spans="1:15" x14ac:dyDescent="0.25">
      <c r="A205" s="284" t="s">
        <v>96</v>
      </c>
      <c r="B205" s="283" t="s">
        <v>187</v>
      </c>
      <c r="C205" s="270"/>
      <c r="D205" s="270"/>
      <c r="E205" s="270">
        <v>36425</v>
      </c>
      <c r="F205" s="270">
        <v>0</v>
      </c>
      <c r="G205" s="270">
        <v>0</v>
      </c>
      <c r="H205" s="270">
        <v>0</v>
      </c>
      <c r="I205" s="270">
        <v>0</v>
      </c>
      <c r="J205" s="270">
        <v>0</v>
      </c>
      <c r="K205" s="270">
        <v>0</v>
      </c>
      <c r="L205" s="270"/>
      <c r="M205" s="270"/>
      <c r="N205" s="270"/>
      <c r="O205" s="1"/>
    </row>
    <row r="206" spans="1:15" x14ac:dyDescent="0.25">
      <c r="A206" s="284" t="s">
        <v>96</v>
      </c>
      <c r="B206" s="493" t="s">
        <v>357</v>
      </c>
      <c r="C206" s="270"/>
      <c r="D206" s="270"/>
      <c r="E206" s="270"/>
      <c r="F206" s="270">
        <v>0</v>
      </c>
      <c r="G206" s="270">
        <v>6363</v>
      </c>
      <c r="H206" s="270">
        <v>10854</v>
      </c>
      <c r="I206" s="270">
        <v>1014</v>
      </c>
      <c r="J206" s="270">
        <v>100000</v>
      </c>
      <c r="K206" s="270">
        <v>50000</v>
      </c>
      <c r="L206" s="270">
        <v>221836</v>
      </c>
      <c r="M206" s="270"/>
      <c r="N206" s="270"/>
      <c r="O206" s="1"/>
    </row>
    <row r="207" spans="1:15" x14ac:dyDescent="0.25">
      <c r="A207" s="287" t="s">
        <v>301</v>
      </c>
      <c r="B207" s="530" t="s">
        <v>342</v>
      </c>
      <c r="C207" s="279"/>
      <c r="D207" s="279"/>
      <c r="E207" s="279"/>
      <c r="F207" s="276">
        <v>0</v>
      </c>
      <c r="G207" s="276">
        <v>0</v>
      </c>
      <c r="H207" s="276">
        <v>0</v>
      </c>
      <c r="I207" s="276">
        <v>0</v>
      </c>
      <c r="J207" s="276">
        <v>218000</v>
      </c>
      <c r="K207" s="276">
        <v>196900</v>
      </c>
      <c r="L207" s="276">
        <v>216000</v>
      </c>
      <c r="M207" s="276"/>
      <c r="N207" s="276"/>
      <c r="O207" s="1"/>
    </row>
    <row r="208" spans="1:15" x14ac:dyDescent="0.25">
      <c r="A208" s="287" t="s">
        <v>98</v>
      </c>
      <c r="B208" s="492" t="s">
        <v>274</v>
      </c>
      <c r="C208" s="279"/>
      <c r="D208" s="279"/>
      <c r="E208" s="279"/>
      <c r="F208" s="276">
        <v>0</v>
      </c>
      <c r="G208" s="276">
        <v>0</v>
      </c>
      <c r="H208" s="276">
        <v>0</v>
      </c>
      <c r="I208" s="276">
        <v>0</v>
      </c>
      <c r="J208" s="276">
        <v>85000</v>
      </c>
      <c r="K208" s="276">
        <v>197000</v>
      </c>
      <c r="L208" s="276">
        <v>112000</v>
      </c>
      <c r="M208" s="276"/>
      <c r="N208" s="276"/>
      <c r="O208" s="27"/>
    </row>
    <row r="209" spans="1:15" x14ac:dyDescent="0.25">
      <c r="A209" s="284" t="s">
        <v>100</v>
      </c>
      <c r="B209" s="493" t="s">
        <v>275</v>
      </c>
      <c r="C209" s="279"/>
      <c r="D209" s="279"/>
      <c r="E209" s="279"/>
      <c r="F209" s="270">
        <v>0</v>
      </c>
      <c r="G209" s="270">
        <v>0</v>
      </c>
      <c r="H209" s="270">
        <v>0</v>
      </c>
      <c r="I209" s="270">
        <v>9100</v>
      </c>
      <c r="J209" s="270"/>
      <c r="K209" s="270">
        <v>0</v>
      </c>
      <c r="L209" s="270">
        <v>0</v>
      </c>
      <c r="M209" s="270"/>
      <c r="N209" s="270"/>
      <c r="O209" s="27"/>
    </row>
    <row r="210" spans="1:15" ht="15.75" thickBot="1" x14ac:dyDescent="0.3">
      <c r="A210" s="494" t="s">
        <v>100</v>
      </c>
      <c r="B210" s="495" t="s">
        <v>276</v>
      </c>
      <c r="C210" s="274"/>
      <c r="D210" s="274"/>
      <c r="E210" s="274"/>
      <c r="F210" s="273">
        <v>0</v>
      </c>
      <c r="G210" s="273">
        <v>0</v>
      </c>
      <c r="H210" s="273">
        <v>0</v>
      </c>
      <c r="I210" s="273">
        <v>84885</v>
      </c>
      <c r="J210" s="273">
        <v>0</v>
      </c>
      <c r="K210" s="273">
        <v>0</v>
      </c>
      <c r="L210" s="273">
        <v>0</v>
      </c>
      <c r="M210" s="273"/>
      <c r="N210" s="273"/>
      <c r="O210" s="27"/>
    </row>
    <row r="211" spans="1:15" x14ac:dyDescent="0.25">
      <c r="A211" s="287" t="s">
        <v>111</v>
      </c>
      <c r="B211" s="285" t="s">
        <v>166</v>
      </c>
      <c r="C211" s="276"/>
      <c r="D211" s="276"/>
      <c r="E211" s="276">
        <v>0</v>
      </c>
      <c r="F211" s="276">
        <v>0</v>
      </c>
      <c r="G211" s="276">
        <v>38201</v>
      </c>
      <c r="H211" s="276">
        <v>2478</v>
      </c>
      <c r="I211" s="276">
        <v>0</v>
      </c>
      <c r="J211" s="276">
        <v>0</v>
      </c>
      <c r="K211" s="276">
        <v>0</v>
      </c>
      <c r="L211" s="276">
        <v>0</v>
      </c>
      <c r="M211" s="276"/>
      <c r="N211" s="276"/>
      <c r="O211" s="27"/>
    </row>
    <row r="212" spans="1:15" ht="15" customHeight="1" x14ac:dyDescent="0.25">
      <c r="A212" s="289" t="s">
        <v>111</v>
      </c>
      <c r="B212" s="290" t="s">
        <v>167</v>
      </c>
      <c r="C212" s="282"/>
      <c r="D212" s="282"/>
      <c r="E212" s="282">
        <v>0</v>
      </c>
      <c r="F212" s="282">
        <v>0</v>
      </c>
      <c r="G212" s="282">
        <v>0</v>
      </c>
      <c r="H212" s="282">
        <v>0</v>
      </c>
      <c r="I212" s="282">
        <v>0</v>
      </c>
      <c r="J212" s="282">
        <v>0</v>
      </c>
      <c r="K212" s="282">
        <v>0</v>
      </c>
      <c r="L212" s="282">
        <v>0</v>
      </c>
      <c r="M212" s="279"/>
      <c r="N212" s="279"/>
      <c r="O212" s="1"/>
    </row>
    <row r="213" spans="1:15" x14ac:dyDescent="0.25">
      <c r="A213" s="289" t="s">
        <v>111</v>
      </c>
      <c r="B213" s="290" t="s">
        <v>277</v>
      </c>
      <c r="C213" s="282"/>
      <c r="D213" s="282"/>
      <c r="E213" s="282">
        <v>0</v>
      </c>
      <c r="F213" s="282">
        <v>0</v>
      </c>
      <c r="G213" s="282">
        <v>0</v>
      </c>
      <c r="H213" s="282">
        <v>0</v>
      </c>
      <c r="I213" s="282">
        <v>51987</v>
      </c>
      <c r="J213" s="282">
        <v>202000</v>
      </c>
      <c r="K213" s="282">
        <v>207000</v>
      </c>
      <c r="L213" s="282">
        <v>196100</v>
      </c>
      <c r="M213" s="282"/>
      <c r="N213" s="282"/>
      <c r="O213" s="1"/>
    </row>
    <row r="214" spans="1:15" x14ac:dyDescent="0.25">
      <c r="A214" s="289" t="s">
        <v>111</v>
      </c>
      <c r="B214" s="290" t="s">
        <v>330</v>
      </c>
      <c r="C214" s="282"/>
      <c r="D214" s="282"/>
      <c r="E214" s="282"/>
      <c r="F214" s="282"/>
      <c r="G214" s="282"/>
      <c r="H214" s="282"/>
      <c r="I214" s="282"/>
      <c r="J214" s="282"/>
      <c r="K214" s="282"/>
      <c r="L214" s="282">
        <v>30000</v>
      </c>
      <c r="M214" s="282"/>
      <c r="N214" s="282"/>
      <c r="O214" s="1"/>
    </row>
    <row r="215" spans="1:15" x14ac:dyDescent="0.25">
      <c r="A215" s="289" t="s">
        <v>111</v>
      </c>
      <c r="B215" s="290" t="s">
        <v>337</v>
      </c>
      <c r="C215" s="282"/>
      <c r="D215" s="282"/>
      <c r="E215" s="282"/>
      <c r="F215" s="282"/>
      <c r="G215" s="282"/>
      <c r="H215" s="282"/>
      <c r="I215" s="282"/>
      <c r="J215" s="282"/>
      <c r="K215" s="282"/>
      <c r="L215" s="282">
        <v>55000</v>
      </c>
      <c r="M215" s="282"/>
      <c r="N215" s="282"/>
      <c r="O215" s="1"/>
    </row>
    <row r="216" spans="1:15" x14ac:dyDescent="0.25">
      <c r="A216" s="289" t="s">
        <v>113</v>
      </c>
      <c r="B216" s="290" t="s">
        <v>329</v>
      </c>
      <c r="C216" s="282"/>
      <c r="D216" s="282"/>
      <c r="E216" s="282">
        <v>3300</v>
      </c>
      <c r="F216" s="282">
        <v>0</v>
      </c>
      <c r="G216" s="282">
        <v>0</v>
      </c>
      <c r="H216" s="282">
        <v>0</v>
      </c>
      <c r="I216" s="282">
        <v>0</v>
      </c>
      <c r="J216" s="282">
        <v>0</v>
      </c>
      <c r="K216" s="282">
        <v>0</v>
      </c>
      <c r="L216" s="282">
        <v>15000</v>
      </c>
      <c r="M216" s="282"/>
      <c r="N216" s="282"/>
      <c r="O216" s="1"/>
    </row>
    <row r="217" spans="1:15" x14ac:dyDescent="0.25">
      <c r="A217" s="289" t="s">
        <v>113</v>
      </c>
      <c r="B217" s="283" t="s">
        <v>302</v>
      </c>
      <c r="C217" s="282"/>
      <c r="D217" s="282"/>
      <c r="E217" s="282"/>
      <c r="F217" s="282">
        <v>0</v>
      </c>
      <c r="G217" s="282">
        <v>0</v>
      </c>
      <c r="H217" s="282">
        <v>0</v>
      </c>
      <c r="I217" s="282">
        <v>0</v>
      </c>
      <c r="J217" s="282">
        <v>200000</v>
      </c>
      <c r="K217" s="282">
        <v>192000</v>
      </c>
      <c r="L217" s="282">
        <v>0</v>
      </c>
      <c r="M217" s="282"/>
      <c r="N217" s="282"/>
      <c r="O217" s="27"/>
    </row>
    <row r="218" spans="1:15" ht="15.75" customHeight="1" thickBot="1" x14ac:dyDescent="0.3">
      <c r="A218" s="286" t="s">
        <v>113</v>
      </c>
      <c r="B218" s="496" t="s">
        <v>325</v>
      </c>
      <c r="C218" s="273">
        <v>2698</v>
      </c>
      <c r="D218" s="273"/>
      <c r="E218" s="273">
        <v>0</v>
      </c>
      <c r="F218" s="273">
        <v>0</v>
      </c>
      <c r="G218" s="273">
        <v>0</v>
      </c>
      <c r="H218" s="273">
        <v>0</v>
      </c>
      <c r="I218" s="273">
        <v>2083</v>
      </c>
      <c r="J218" s="273">
        <v>100886</v>
      </c>
      <c r="K218" s="273">
        <v>382526</v>
      </c>
      <c r="L218" s="273">
        <v>412400</v>
      </c>
      <c r="M218" s="273"/>
      <c r="N218" s="273"/>
      <c r="O218" s="1"/>
    </row>
    <row r="219" spans="1:15" x14ac:dyDescent="0.25">
      <c r="A219" s="292" t="s">
        <v>122</v>
      </c>
      <c r="B219" s="265" t="s">
        <v>212</v>
      </c>
      <c r="C219" s="276"/>
      <c r="D219" s="276"/>
      <c r="E219" s="276"/>
      <c r="F219" s="276">
        <v>0</v>
      </c>
      <c r="G219" s="276">
        <v>0</v>
      </c>
      <c r="H219" s="276">
        <v>0</v>
      </c>
      <c r="I219" s="276">
        <v>161622</v>
      </c>
      <c r="J219" s="276">
        <v>656010</v>
      </c>
      <c r="K219" s="276">
        <v>656010</v>
      </c>
      <c r="L219" s="276">
        <v>245000</v>
      </c>
      <c r="M219" s="276"/>
      <c r="N219" s="276"/>
      <c r="O219" s="1"/>
    </row>
    <row r="220" spans="1:15" x14ac:dyDescent="0.25">
      <c r="A220" s="289" t="s">
        <v>124</v>
      </c>
      <c r="B220" s="402" t="s">
        <v>204</v>
      </c>
      <c r="C220" s="279"/>
      <c r="D220" s="270"/>
      <c r="E220" s="270"/>
      <c r="F220" s="270">
        <v>2220</v>
      </c>
      <c r="G220" s="270">
        <v>3073</v>
      </c>
      <c r="H220" s="270">
        <v>0</v>
      </c>
      <c r="I220" s="270">
        <v>0</v>
      </c>
      <c r="J220" s="270">
        <v>0</v>
      </c>
      <c r="K220" s="270">
        <v>0</v>
      </c>
      <c r="L220" s="270">
        <v>0</v>
      </c>
      <c r="M220" s="270"/>
      <c r="N220" s="270"/>
      <c r="O220" s="1"/>
    </row>
    <row r="221" spans="1:15" x14ac:dyDescent="0.25">
      <c r="A221" s="289" t="s">
        <v>124</v>
      </c>
      <c r="B221" s="531" t="s">
        <v>292</v>
      </c>
      <c r="C221" s="279"/>
      <c r="D221" s="282"/>
      <c r="E221" s="282"/>
      <c r="F221" s="282">
        <v>0</v>
      </c>
      <c r="G221" s="282">
        <v>0</v>
      </c>
      <c r="H221" s="282">
        <v>0</v>
      </c>
      <c r="I221" s="282">
        <v>0</v>
      </c>
      <c r="J221" s="282">
        <v>8200</v>
      </c>
      <c r="K221" s="282">
        <v>1147700</v>
      </c>
      <c r="L221" s="282">
        <v>1129200</v>
      </c>
      <c r="M221" s="282"/>
      <c r="N221" s="282"/>
      <c r="O221" s="1"/>
    </row>
    <row r="222" spans="1:15" ht="15" customHeight="1" thickBot="1" x14ac:dyDescent="0.3">
      <c r="A222" s="293" t="s">
        <v>124</v>
      </c>
      <c r="B222" s="497" t="s">
        <v>205</v>
      </c>
      <c r="C222" s="274"/>
      <c r="D222" s="273"/>
      <c r="E222" s="273"/>
      <c r="F222" s="273">
        <v>11244</v>
      </c>
      <c r="G222" s="273">
        <v>0</v>
      </c>
      <c r="H222" s="273">
        <v>0</v>
      </c>
      <c r="I222" s="273">
        <v>0</v>
      </c>
      <c r="J222" s="273">
        <v>0</v>
      </c>
      <c r="K222" s="273">
        <v>0</v>
      </c>
      <c r="L222" s="273">
        <v>0</v>
      </c>
      <c r="M222" s="273"/>
      <c r="N222" s="273"/>
      <c r="O222" s="1"/>
    </row>
    <row r="223" spans="1:15" ht="15" customHeight="1" thickBot="1" x14ac:dyDescent="0.3">
      <c r="A223" s="291" t="s">
        <v>125</v>
      </c>
      <c r="B223" s="532" t="s">
        <v>303</v>
      </c>
      <c r="C223" s="274"/>
      <c r="D223" s="274"/>
      <c r="E223" s="274"/>
      <c r="F223" s="274">
        <v>0</v>
      </c>
      <c r="G223" s="274">
        <v>0</v>
      </c>
      <c r="H223" s="274">
        <v>0</v>
      </c>
      <c r="I223" s="274">
        <v>0</v>
      </c>
      <c r="J223" s="274">
        <v>7450</v>
      </c>
      <c r="K223" s="274">
        <v>0</v>
      </c>
      <c r="L223" s="274">
        <v>0</v>
      </c>
      <c r="M223" s="274"/>
      <c r="N223" s="274"/>
      <c r="O223" s="1"/>
    </row>
    <row r="224" spans="1:15" ht="15" customHeight="1" thickBot="1" x14ac:dyDescent="0.3">
      <c r="A224" s="291" t="s">
        <v>135</v>
      </c>
      <c r="B224" s="409" t="s">
        <v>213</v>
      </c>
      <c r="C224" s="274"/>
      <c r="D224" s="274"/>
      <c r="E224" s="274">
        <v>0</v>
      </c>
      <c r="F224" s="274">
        <v>0</v>
      </c>
      <c r="G224" s="274">
        <v>101240</v>
      </c>
      <c r="H224" s="274">
        <v>79337</v>
      </c>
      <c r="I224" s="274">
        <v>0</v>
      </c>
      <c r="J224" s="274">
        <v>0</v>
      </c>
      <c r="K224" s="274">
        <v>0</v>
      </c>
      <c r="L224" s="274">
        <v>0</v>
      </c>
      <c r="M224" s="274"/>
      <c r="N224" s="274"/>
      <c r="O224" s="296"/>
    </row>
    <row r="225" spans="1:17" x14ac:dyDescent="0.25">
      <c r="A225" s="294"/>
      <c r="B225" s="295"/>
      <c r="C225" s="295"/>
      <c r="D225" s="295"/>
      <c r="E225" s="296"/>
      <c r="F225" s="296"/>
      <c r="G225" s="296"/>
      <c r="H225" s="296"/>
      <c r="I225" s="296"/>
      <c r="J225" s="296"/>
      <c r="K225" s="296"/>
      <c r="L225" s="296"/>
      <c r="M225" s="296"/>
      <c r="N225" s="296"/>
      <c r="O225" s="1"/>
    </row>
    <row r="226" spans="1:17" x14ac:dyDescent="0.25">
      <c r="A226" s="297"/>
      <c r="B226" s="298"/>
      <c r="C226" s="298"/>
      <c r="D226" s="298"/>
      <c r="E226" s="299"/>
      <c r="F226" s="299"/>
      <c r="G226" s="299"/>
      <c r="H226" s="299"/>
      <c r="I226" s="299"/>
      <c r="J226" s="299"/>
      <c r="K226" s="299"/>
      <c r="L226" s="299"/>
      <c r="M226" s="299"/>
      <c r="N226" s="299"/>
      <c r="O226" s="1"/>
    </row>
    <row r="227" spans="1:17" ht="18.75" thickBot="1" x14ac:dyDescent="0.3">
      <c r="A227" s="880" t="s">
        <v>168</v>
      </c>
      <c r="B227" s="881"/>
      <c r="C227" s="881"/>
      <c r="D227" s="881"/>
      <c r="E227" s="881"/>
      <c r="F227" s="881"/>
      <c r="G227" s="881"/>
      <c r="H227" s="881"/>
      <c r="I227" s="881"/>
      <c r="J227" s="881"/>
      <c r="K227" s="881"/>
      <c r="L227" s="881"/>
      <c r="M227" s="881"/>
      <c r="N227" s="881"/>
      <c r="O227" s="27"/>
    </row>
    <row r="228" spans="1:17" ht="38.25" customHeight="1" thickBot="1" x14ac:dyDescent="0.3">
      <c r="A228" s="876" t="s">
        <v>1</v>
      </c>
      <c r="B228" s="877"/>
      <c r="C228" s="388" t="s">
        <v>2</v>
      </c>
      <c r="D228" s="388" t="s">
        <v>3</v>
      </c>
      <c r="E228" s="388" t="s">
        <v>186</v>
      </c>
      <c r="F228" s="388" t="s">
        <v>201</v>
      </c>
      <c r="G228" s="470" t="s">
        <v>237</v>
      </c>
      <c r="H228" s="470" t="s">
        <v>263</v>
      </c>
      <c r="I228" s="470" t="s">
        <v>322</v>
      </c>
      <c r="J228" s="387" t="s">
        <v>326</v>
      </c>
      <c r="K228" s="387" t="s">
        <v>343</v>
      </c>
      <c r="L228" s="387" t="s">
        <v>238</v>
      </c>
      <c r="M228" s="387" t="s">
        <v>264</v>
      </c>
      <c r="N228" s="387" t="s">
        <v>305</v>
      </c>
      <c r="O228" s="27"/>
    </row>
    <row r="229" spans="1:17" ht="19.5" customHeight="1" thickBot="1" x14ac:dyDescent="0.3">
      <c r="A229" s="410" t="s">
        <v>169</v>
      </c>
      <c r="B229" s="411"/>
      <c r="C229" s="412">
        <f>SUM(C230:C248)</f>
        <v>87331</v>
      </c>
      <c r="D229" s="412">
        <f t="shared" ref="D229:E229" si="120">SUM(D231:D249)</f>
        <v>129336</v>
      </c>
      <c r="E229" s="412">
        <f t="shared" si="120"/>
        <v>137207</v>
      </c>
      <c r="F229" s="412">
        <f>SUM(F230:F249)</f>
        <v>174149</v>
      </c>
      <c r="G229" s="412">
        <f t="shared" ref="G229:N229" si="121">SUM(G230:G249)</f>
        <v>249113</v>
      </c>
      <c r="H229" s="412">
        <f t="shared" si="121"/>
        <v>158714</v>
      </c>
      <c r="I229" s="412">
        <f t="shared" ref="I229" si="122">SUM(I230:I249)</f>
        <v>377462</v>
      </c>
      <c r="J229" s="412">
        <f t="shared" si="121"/>
        <v>931297</v>
      </c>
      <c r="K229" s="412">
        <f t="shared" si="121"/>
        <v>824026</v>
      </c>
      <c r="L229" s="412">
        <f t="shared" si="121"/>
        <v>571286</v>
      </c>
      <c r="M229" s="412">
        <f t="shared" si="121"/>
        <v>2000</v>
      </c>
      <c r="N229" s="412">
        <f t="shared" si="121"/>
        <v>2000</v>
      </c>
      <c r="O229" s="27"/>
    </row>
    <row r="230" spans="1:17" x14ac:dyDescent="0.25">
      <c r="A230" s="403">
        <v>453</v>
      </c>
      <c r="B230" s="404" t="s">
        <v>258</v>
      </c>
      <c r="C230" s="64">
        <v>0</v>
      </c>
      <c r="D230" s="64"/>
      <c r="E230" s="64">
        <v>0</v>
      </c>
      <c r="F230" s="64">
        <v>4901</v>
      </c>
      <c r="G230" s="64">
        <v>2349</v>
      </c>
      <c r="H230" s="64">
        <v>6000</v>
      </c>
      <c r="I230" s="64"/>
      <c r="J230" s="64">
        <v>0</v>
      </c>
      <c r="K230" s="64">
        <v>0</v>
      </c>
      <c r="L230" s="64">
        <v>0</v>
      </c>
      <c r="M230" s="64">
        <v>0</v>
      </c>
      <c r="N230" s="64">
        <v>0</v>
      </c>
      <c r="O230" s="27"/>
    </row>
    <row r="231" spans="1:17" x14ac:dyDescent="0.25">
      <c r="A231" s="403">
        <v>453</v>
      </c>
      <c r="B231" s="404" t="s">
        <v>255</v>
      </c>
      <c r="C231" s="64">
        <v>997</v>
      </c>
      <c r="D231" s="64">
        <v>561</v>
      </c>
      <c r="E231" s="64">
        <v>834</v>
      </c>
      <c r="F231" s="64">
        <v>10439</v>
      </c>
      <c r="G231" s="64">
        <v>18370</v>
      </c>
      <c r="H231" s="64">
        <v>24725</v>
      </c>
      <c r="I231" s="64">
        <v>5580</v>
      </c>
      <c r="J231" s="64">
        <v>24000</v>
      </c>
      <c r="K231" s="64">
        <v>22300</v>
      </c>
      <c r="L231" s="64">
        <f>10000+4000</f>
        <v>14000</v>
      </c>
      <c r="M231" s="64">
        <v>0</v>
      </c>
      <c r="N231" s="64">
        <v>0</v>
      </c>
      <c r="O231" s="27"/>
    </row>
    <row r="232" spans="1:17" x14ac:dyDescent="0.25">
      <c r="A232" s="403">
        <v>453</v>
      </c>
      <c r="B232" s="404" t="s">
        <v>297</v>
      </c>
      <c r="C232" s="472"/>
      <c r="D232" s="472"/>
      <c r="E232" s="472"/>
      <c r="F232" s="524">
        <v>0</v>
      </c>
      <c r="G232" s="64">
        <v>0</v>
      </c>
      <c r="H232" s="64">
        <v>0</v>
      </c>
      <c r="I232" s="64"/>
      <c r="J232" s="64">
        <v>8740</v>
      </c>
      <c r="K232" s="64">
        <v>8740</v>
      </c>
      <c r="L232" s="64">
        <v>0</v>
      </c>
      <c r="M232" s="64">
        <v>0</v>
      </c>
      <c r="N232" s="64">
        <v>0</v>
      </c>
      <c r="O232" s="27"/>
    </row>
    <row r="233" spans="1:17" x14ac:dyDescent="0.25">
      <c r="A233" s="403">
        <v>453</v>
      </c>
      <c r="B233" s="404" t="s">
        <v>289</v>
      </c>
      <c r="C233" s="64"/>
      <c r="D233" s="64">
        <v>0</v>
      </c>
      <c r="E233" s="64">
        <v>0</v>
      </c>
      <c r="F233" s="64">
        <v>0</v>
      </c>
      <c r="G233" s="64">
        <v>0</v>
      </c>
      <c r="H233" s="64">
        <v>0</v>
      </c>
      <c r="I233" s="64">
        <v>1329</v>
      </c>
      <c r="J233" s="64">
        <v>1000</v>
      </c>
      <c r="K233" s="64">
        <v>600</v>
      </c>
      <c r="L233" s="64">
        <v>1500</v>
      </c>
      <c r="M233" s="64">
        <v>0</v>
      </c>
      <c r="N233" s="64">
        <v>0</v>
      </c>
      <c r="O233" s="27"/>
    </row>
    <row r="234" spans="1:17" x14ac:dyDescent="0.25">
      <c r="A234" s="553">
        <v>453</v>
      </c>
      <c r="B234" s="377" t="s">
        <v>256</v>
      </c>
      <c r="C234" s="472"/>
      <c r="D234" s="472">
        <v>0</v>
      </c>
      <c r="E234" s="472">
        <v>0</v>
      </c>
      <c r="F234" s="472">
        <v>0</v>
      </c>
      <c r="G234" s="472">
        <v>0</v>
      </c>
      <c r="H234" s="524">
        <v>64328</v>
      </c>
      <c r="I234" s="64">
        <v>12679</v>
      </c>
      <c r="J234" s="64">
        <v>1000</v>
      </c>
      <c r="K234" s="64">
        <f>760+330</f>
        <v>1090</v>
      </c>
      <c r="L234" s="524">
        <v>2500</v>
      </c>
      <c r="M234" s="64">
        <v>0</v>
      </c>
      <c r="N234" s="64">
        <v>0</v>
      </c>
      <c r="O234" s="27"/>
    </row>
    <row r="235" spans="1:17" ht="15.75" thickBot="1" x14ac:dyDescent="0.3">
      <c r="A235" s="471">
        <v>453</v>
      </c>
      <c r="B235" s="482" t="s">
        <v>254</v>
      </c>
      <c r="C235" s="472">
        <v>709</v>
      </c>
      <c r="D235" s="472"/>
      <c r="E235" s="472">
        <v>480</v>
      </c>
      <c r="F235" s="472">
        <v>2009</v>
      </c>
      <c r="G235" s="472">
        <v>251</v>
      </c>
      <c r="H235" s="472">
        <v>0</v>
      </c>
      <c r="I235" s="472">
        <v>722</v>
      </c>
      <c r="J235" s="472">
        <v>2000</v>
      </c>
      <c r="K235" s="472">
        <v>2000</v>
      </c>
      <c r="L235" s="472">
        <v>2000</v>
      </c>
      <c r="M235" s="472">
        <v>2000</v>
      </c>
      <c r="N235" s="472">
        <v>2000</v>
      </c>
      <c r="O235" s="27"/>
    </row>
    <row r="236" spans="1:17" ht="15.75" thickBot="1" x14ac:dyDescent="0.3">
      <c r="A236" s="303">
        <v>453</v>
      </c>
      <c r="B236" s="304" t="s">
        <v>257</v>
      </c>
      <c r="C236" s="305"/>
      <c r="D236" s="305">
        <v>0</v>
      </c>
      <c r="E236" s="305">
        <v>0</v>
      </c>
      <c r="F236" s="305">
        <v>0</v>
      </c>
      <c r="G236" s="305">
        <v>0</v>
      </c>
      <c r="H236" s="305">
        <v>0</v>
      </c>
      <c r="I236" s="305">
        <v>2024</v>
      </c>
      <c r="J236" s="305">
        <v>0</v>
      </c>
      <c r="K236" s="305">
        <v>0</v>
      </c>
      <c r="L236" s="305">
        <v>0</v>
      </c>
      <c r="M236" s="305">
        <v>0</v>
      </c>
      <c r="N236" s="305">
        <v>0</v>
      </c>
      <c r="O236" s="562">
        <f>SUM(L230:L236)</f>
        <v>20000</v>
      </c>
      <c r="P236" s="562">
        <f t="shared" ref="P236:Q236" si="123">SUM(M230:M236)</f>
        <v>2000</v>
      </c>
      <c r="Q236" s="562">
        <f t="shared" si="123"/>
        <v>2000</v>
      </c>
    </row>
    <row r="237" spans="1:17" x14ac:dyDescent="0.25">
      <c r="A237" s="471">
        <v>453</v>
      </c>
      <c r="B237" s="482" t="s">
        <v>291</v>
      </c>
      <c r="C237" s="472"/>
      <c r="D237" s="472"/>
      <c r="E237" s="472"/>
      <c r="F237" s="472">
        <v>0</v>
      </c>
      <c r="G237" s="472">
        <v>0</v>
      </c>
      <c r="H237" s="472">
        <v>0</v>
      </c>
      <c r="I237" s="472"/>
      <c r="J237" s="472">
        <v>105400</v>
      </c>
      <c r="K237" s="472">
        <v>105400</v>
      </c>
      <c r="L237" s="472">
        <f>105400</f>
        <v>105400</v>
      </c>
      <c r="M237" s="472">
        <v>0</v>
      </c>
      <c r="N237" s="472">
        <v>0</v>
      </c>
      <c r="O237" s="27"/>
      <c r="P237" s="27"/>
      <c r="Q237" s="27"/>
    </row>
    <row r="238" spans="1:17" x14ac:dyDescent="0.25">
      <c r="A238" s="300">
        <v>453</v>
      </c>
      <c r="B238" s="301" t="s">
        <v>296</v>
      </c>
      <c r="C238" s="302"/>
      <c r="D238" s="302"/>
      <c r="E238" s="302"/>
      <c r="F238" s="302">
        <v>0</v>
      </c>
      <c r="G238" s="302">
        <v>0</v>
      </c>
      <c r="H238" s="302">
        <v>0</v>
      </c>
      <c r="I238" s="302"/>
      <c r="J238" s="302">
        <v>91310</v>
      </c>
      <c r="K238" s="302">
        <v>91310</v>
      </c>
      <c r="L238" s="302">
        <v>0</v>
      </c>
      <c r="M238" s="302">
        <v>0</v>
      </c>
      <c r="N238" s="302">
        <v>0</v>
      </c>
      <c r="O238" s="27"/>
      <c r="P238" s="27"/>
      <c r="Q238" s="27"/>
    </row>
    <row r="239" spans="1:17" x14ac:dyDescent="0.25">
      <c r="A239" s="403">
        <v>453</v>
      </c>
      <c r="B239" s="404" t="s">
        <v>293</v>
      </c>
      <c r="C239" s="64"/>
      <c r="D239" s="64"/>
      <c r="E239" s="64"/>
      <c r="F239" s="64">
        <v>0</v>
      </c>
      <c r="G239" s="64">
        <v>0</v>
      </c>
      <c r="H239" s="64">
        <v>0</v>
      </c>
      <c r="I239" s="64"/>
      <c r="J239" s="64">
        <v>79700</v>
      </c>
      <c r="K239" s="64">
        <v>79700</v>
      </c>
      <c r="L239" s="64">
        <v>0</v>
      </c>
      <c r="M239" s="64">
        <v>0</v>
      </c>
      <c r="N239" s="64">
        <v>0</v>
      </c>
      <c r="O239" s="27"/>
    </row>
    <row r="240" spans="1:17" x14ac:dyDescent="0.25">
      <c r="A240" s="483">
        <v>453</v>
      </c>
      <c r="B240" s="377" t="s">
        <v>304</v>
      </c>
      <c r="C240" s="484"/>
      <c r="D240" s="484"/>
      <c r="E240" s="484"/>
      <c r="F240" s="484">
        <v>0</v>
      </c>
      <c r="G240" s="484">
        <v>0</v>
      </c>
      <c r="H240" s="484">
        <v>0</v>
      </c>
      <c r="I240" s="484"/>
      <c r="J240" s="484">
        <v>70000</v>
      </c>
      <c r="K240" s="484">
        <v>70000</v>
      </c>
      <c r="L240" s="484">
        <v>100000</v>
      </c>
      <c r="M240" s="484">
        <v>0</v>
      </c>
      <c r="N240" s="484">
        <v>0</v>
      </c>
    </row>
    <row r="241" spans="1:19" ht="15.75" thickBot="1" x14ac:dyDescent="0.3">
      <c r="A241" s="471">
        <v>453</v>
      </c>
      <c r="B241" s="482" t="s">
        <v>241</v>
      </c>
      <c r="C241" s="472"/>
      <c r="D241" s="472">
        <v>0</v>
      </c>
      <c r="E241" s="472">
        <v>0</v>
      </c>
      <c r="F241" s="472">
        <v>0</v>
      </c>
      <c r="G241" s="472">
        <v>0</v>
      </c>
      <c r="H241" s="472">
        <v>0</v>
      </c>
      <c r="I241" s="472"/>
      <c r="J241" s="472">
        <v>886</v>
      </c>
      <c r="K241" s="472">
        <v>886</v>
      </c>
      <c r="L241" s="472">
        <v>886</v>
      </c>
      <c r="M241" s="472">
        <v>0</v>
      </c>
      <c r="N241" s="472">
        <v>0</v>
      </c>
      <c r="O241" s="27">
        <f>SUM(L237:L241)</f>
        <v>206286</v>
      </c>
      <c r="P241" s="27">
        <f>SUM(M237:M241)</f>
        <v>0</v>
      </c>
      <c r="Q241" s="27">
        <f>SUM(N237:N241)</f>
        <v>0</v>
      </c>
      <c r="S241" s="426">
        <f>O188</f>
        <v>551286</v>
      </c>
    </row>
    <row r="242" spans="1:19" x14ac:dyDescent="0.25">
      <c r="A242" s="378">
        <v>454</v>
      </c>
      <c r="B242" s="379" t="s">
        <v>298</v>
      </c>
      <c r="C242" s="380"/>
      <c r="D242" s="380"/>
      <c r="E242" s="380"/>
      <c r="F242" s="380">
        <v>0</v>
      </c>
      <c r="G242" s="380">
        <v>65231</v>
      </c>
      <c r="H242" s="380">
        <v>0</v>
      </c>
      <c r="I242" s="380">
        <v>0</v>
      </c>
      <c r="J242" s="380">
        <v>0</v>
      </c>
      <c r="K242" s="380">
        <v>0</v>
      </c>
      <c r="L242" s="380"/>
      <c r="M242" s="380">
        <v>0</v>
      </c>
      <c r="N242" s="380">
        <v>0</v>
      </c>
      <c r="S242" s="426">
        <f>S241-O241-O243</f>
        <v>0</v>
      </c>
    </row>
    <row r="243" spans="1:19" ht="15.75" thickBot="1" x14ac:dyDescent="0.3">
      <c r="A243" s="303">
        <v>454</v>
      </c>
      <c r="B243" s="304" t="s">
        <v>266</v>
      </c>
      <c r="C243" s="305">
        <v>85625</v>
      </c>
      <c r="D243" s="305">
        <v>128713</v>
      </c>
      <c r="E243" s="305">
        <v>135867</v>
      </c>
      <c r="F243" s="305">
        <v>92456</v>
      </c>
      <c r="G243" s="305">
        <v>154805</v>
      </c>
      <c r="H243" s="305">
        <v>36647</v>
      </c>
      <c r="I243" s="305">
        <v>333707</v>
      </c>
      <c r="J243" s="305">
        <v>543700</v>
      </c>
      <c r="K243" s="305">
        <v>442000</v>
      </c>
      <c r="L243" s="305">
        <f>152000+193000</f>
        <v>345000</v>
      </c>
      <c r="M243" s="305">
        <v>0</v>
      </c>
      <c r="N243" s="305">
        <v>0</v>
      </c>
      <c r="O243" s="27">
        <f>SUM(L242:L243)</f>
        <v>345000</v>
      </c>
      <c r="P243" s="27">
        <f t="shared" ref="P243:Q243" si="124">SUM(M242:M243)</f>
        <v>0</v>
      </c>
      <c r="Q243" s="27">
        <f t="shared" si="124"/>
        <v>0</v>
      </c>
    </row>
    <row r="244" spans="1:19" ht="15" customHeight="1" x14ac:dyDescent="0.25">
      <c r="A244" s="471">
        <v>456</v>
      </c>
      <c r="B244" s="377" t="s">
        <v>242</v>
      </c>
      <c r="C244" s="472"/>
      <c r="D244" s="472">
        <v>0</v>
      </c>
      <c r="E244" s="472">
        <v>0</v>
      </c>
      <c r="F244" s="472">
        <v>0</v>
      </c>
      <c r="G244" s="472">
        <v>0</v>
      </c>
      <c r="H244" s="472">
        <v>27000</v>
      </c>
      <c r="I244" s="472">
        <v>21421</v>
      </c>
      <c r="J244" s="472">
        <v>3421</v>
      </c>
      <c r="K244" s="472">
        <v>0</v>
      </c>
      <c r="L244" s="472">
        <v>0</v>
      </c>
      <c r="M244" s="472">
        <v>0</v>
      </c>
      <c r="N244" s="472">
        <v>0</v>
      </c>
      <c r="O244" s="1"/>
    </row>
    <row r="245" spans="1:19" ht="14.25" customHeight="1" x14ac:dyDescent="0.25">
      <c r="A245" s="403">
        <v>456</v>
      </c>
      <c r="B245" s="404" t="s">
        <v>243</v>
      </c>
      <c r="C245" s="64">
        <v>0</v>
      </c>
      <c r="D245" s="64">
        <v>0</v>
      </c>
      <c r="E245" s="64">
        <v>0</v>
      </c>
      <c r="F245" s="64">
        <v>0</v>
      </c>
      <c r="G245" s="64">
        <v>0</v>
      </c>
      <c r="H245" s="64">
        <v>0</v>
      </c>
      <c r="I245" s="64"/>
      <c r="J245" s="64">
        <v>40</v>
      </c>
      <c r="K245" s="64">
        <v>0</v>
      </c>
      <c r="L245" s="64">
        <v>0</v>
      </c>
      <c r="M245" s="64">
        <v>0</v>
      </c>
      <c r="N245" s="64">
        <v>0</v>
      </c>
      <c r="O245" s="27"/>
    </row>
    <row r="246" spans="1:19" ht="15.75" thickBot="1" x14ac:dyDescent="0.3">
      <c r="A246" s="483">
        <v>456</v>
      </c>
      <c r="B246" s="377" t="s">
        <v>259</v>
      </c>
      <c r="C246" s="484"/>
      <c r="D246" s="484">
        <v>62</v>
      </c>
      <c r="E246" s="484">
        <v>26</v>
      </c>
      <c r="F246" s="484">
        <v>28</v>
      </c>
      <c r="G246" s="484">
        <v>10</v>
      </c>
      <c r="H246" s="484">
        <v>14</v>
      </c>
      <c r="I246" s="484"/>
      <c r="J246" s="484">
        <v>100</v>
      </c>
      <c r="K246" s="484">
        <v>0</v>
      </c>
      <c r="L246" s="484">
        <v>0</v>
      </c>
      <c r="M246" s="484">
        <v>0</v>
      </c>
      <c r="N246" s="484">
        <v>0</v>
      </c>
      <c r="O246" s="27">
        <f>SUM(L244:L246)</f>
        <v>0</v>
      </c>
      <c r="P246" s="27">
        <f t="shared" ref="P246:Q246" si="125">SUM(M244:M246)</f>
        <v>0</v>
      </c>
      <c r="Q246" s="27">
        <f t="shared" si="125"/>
        <v>0</v>
      </c>
    </row>
    <row r="247" spans="1:19" x14ac:dyDescent="0.25">
      <c r="A247" s="378">
        <v>513</v>
      </c>
      <c r="B247" s="379" t="s">
        <v>170</v>
      </c>
      <c r="C247" s="380">
        <v>0</v>
      </c>
      <c r="D247" s="380"/>
      <c r="E247" s="380">
        <v>0</v>
      </c>
      <c r="F247" s="380">
        <v>0</v>
      </c>
      <c r="G247" s="380">
        <v>0</v>
      </c>
      <c r="H247" s="380">
        <v>0</v>
      </c>
      <c r="I247" s="380"/>
      <c r="J247" s="380">
        <v>0</v>
      </c>
      <c r="K247" s="380">
        <v>0</v>
      </c>
      <c r="L247" s="380">
        <v>0</v>
      </c>
      <c r="M247" s="380">
        <v>0</v>
      </c>
      <c r="N247" s="380">
        <v>0</v>
      </c>
      <c r="O247" s="27"/>
    </row>
    <row r="248" spans="1:19" ht="15.75" thickBot="1" x14ac:dyDescent="0.3">
      <c r="A248" s="303">
        <v>514</v>
      </c>
      <c r="B248" s="425" t="s">
        <v>191</v>
      </c>
      <c r="C248" s="305">
        <v>0</v>
      </c>
      <c r="D248" s="305"/>
      <c r="E248" s="305">
        <v>0</v>
      </c>
      <c r="F248" s="305">
        <v>64316</v>
      </c>
      <c r="G248" s="305">
        <v>0</v>
      </c>
      <c r="H248" s="305">
        <v>0</v>
      </c>
      <c r="I248" s="305"/>
      <c r="J248" s="305">
        <v>0</v>
      </c>
      <c r="K248" s="305">
        <v>0</v>
      </c>
      <c r="L248" s="305">
        <v>0</v>
      </c>
      <c r="M248" s="305">
        <v>0</v>
      </c>
      <c r="N248" s="305">
        <v>0</v>
      </c>
      <c r="O248" s="27"/>
    </row>
    <row r="249" spans="1:19" ht="15.75" thickBot="1" x14ac:dyDescent="0.3">
      <c r="A249" s="422">
        <v>453</v>
      </c>
      <c r="B249" s="423" t="s">
        <v>262</v>
      </c>
      <c r="C249" s="424">
        <v>0</v>
      </c>
      <c r="D249" s="424">
        <v>0</v>
      </c>
      <c r="E249" s="424">
        <v>0</v>
      </c>
      <c r="F249" s="424">
        <v>0</v>
      </c>
      <c r="G249" s="424">
        <v>8097</v>
      </c>
      <c r="H249" s="424">
        <v>0</v>
      </c>
      <c r="I249" s="424">
        <v>0</v>
      </c>
      <c r="J249" s="424">
        <v>0</v>
      </c>
      <c r="K249" s="424">
        <v>0</v>
      </c>
      <c r="L249" s="424">
        <v>0</v>
      </c>
      <c r="M249" s="424">
        <v>0</v>
      </c>
      <c r="N249" s="424">
        <v>0</v>
      </c>
      <c r="O249" s="1"/>
    </row>
    <row r="250" spans="1:19" ht="16.5" thickBot="1" x14ac:dyDescent="0.3">
      <c r="A250" s="410" t="s">
        <v>171</v>
      </c>
      <c r="B250" s="411"/>
      <c r="C250" s="412">
        <f t="shared" ref="C250:N250" si="126">SUM(C251:C255)</f>
        <v>789</v>
      </c>
      <c r="D250" s="412">
        <f t="shared" si="126"/>
        <v>879</v>
      </c>
      <c r="E250" s="412">
        <f t="shared" si="126"/>
        <v>882</v>
      </c>
      <c r="F250" s="412">
        <f t="shared" si="126"/>
        <v>916</v>
      </c>
      <c r="G250" s="412">
        <f t="shared" si="126"/>
        <v>940</v>
      </c>
      <c r="H250" s="412">
        <f t="shared" si="126"/>
        <v>9990</v>
      </c>
      <c r="I250" s="412">
        <f t="shared" ref="I250" si="127">SUM(I251:I255)</f>
        <v>19009</v>
      </c>
      <c r="J250" s="412">
        <f t="shared" si="126"/>
        <v>4601</v>
      </c>
      <c r="K250" s="412">
        <f t="shared" si="126"/>
        <v>1040</v>
      </c>
      <c r="L250" s="412">
        <f t="shared" si="126"/>
        <v>1090</v>
      </c>
      <c r="M250" s="412">
        <f t="shared" si="126"/>
        <v>1130</v>
      </c>
      <c r="N250" s="412">
        <f t="shared" si="126"/>
        <v>1180</v>
      </c>
      <c r="O250" s="1"/>
    </row>
    <row r="251" spans="1:19" ht="17.25" customHeight="1" x14ac:dyDescent="0.25">
      <c r="A251" s="306">
        <v>819</v>
      </c>
      <c r="B251" s="307" t="s">
        <v>172</v>
      </c>
      <c r="C251" s="201">
        <v>0</v>
      </c>
      <c r="D251" s="201">
        <v>62</v>
      </c>
      <c r="E251" s="201">
        <v>26</v>
      </c>
      <c r="F251" s="201">
        <v>28</v>
      </c>
      <c r="G251" s="201">
        <v>10</v>
      </c>
      <c r="H251" s="201">
        <v>14</v>
      </c>
      <c r="I251" s="201">
        <v>0</v>
      </c>
      <c r="J251" s="201">
        <v>100</v>
      </c>
      <c r="K251" s="201">
        <v>0</v>
      </c>
      <c r="L251" s="201">
        <v>0</v>
      </c>
      <c r="M251" s="201">
        <v>0</v>
      </c>
      <c r="N251" s="201">
        <v>0</v>
      </c>
      <c r="O251" s="1"/>
    </row>
    <row r="252" spans="1:19" x14ac:dyDescent="0.25">
      <c r="A252" s="308">
        <v>819</v>
      </c>
      <c r="B252" s="309" t="s">
        <v>244</v>
      </c>
      <c r="C252" s="56"/>
      <c r="D252" s="56"/>
      <c r="E252" s="56"/>
      <c r="F252" s="56">
        <v>0</v>
      </c>
      <c r="G252" s="56">
        <v>6</v>
      </c>
      <c r="H252" s="56">
        <v>15</v>
      </c>
      <c r="I252" s="56">
        <v>9</v>
      </c>
      <c r="J252" s="56">
        <v>40</v>
      </c>
      <c r="K252" s="56">
        <v>0</v>
      </c>
      <c r="L252" s="56">
        <v>0</v>
      </c>
      <c r="M252" s="56">
        <v>0</v>
      </c>
      <c r="N252" s="56">
        <v>0</v>
      </c>
      <c r="O252" s="1"/>
    </row>
    <row r="253" spans="1:19" x14ac:dyDescent="0.25">
      <c r="A253" s="308">
        <v>819</v>
      </c>
      <c r="B253" s="462" t="s">
        <v>245</v>
      </c>
      <c r="C253" s="56"/>
      <c r="D253" s="56"/>
      <c r="E253" s="56"/>
      <c r="F253" s="56">
        <v>0</v>
      </c>
      <c r="G253" s="56">
        <v>0</v>
      </c>
      <c r="H253" s="56">
        <v>9000</v>
      </c>
      <c r="I253" s="56">
        <v>18000</v>
      </c>
      <c r="J253" s="56">
        <v>3421</v>
      </c>
      <c r="K253" s="56">
        <v>0</v>
      </c>
      <c r="L253" s="56">
        <v>0</v>
      </c>
      <c r="M253" s="56">
        <v>0</v>
      </c>
      <c r="N253" s="56">
        <v>0</v>
      </c>
      <c r="O253" s="157"/>
    </row>
    <row r="254" spans="1:19" ht="15" customHeight="1" x14ac:dyDescent="0.25">
      <c r="A254" s="308">
        <v>821</v>
      </c>
      <c r="B254" s="309" t="s">
        <v>288</v>
      </c>
      <c r="C254" s="56">
        <v>0</v>
      </c>
      <c r="D254" s="56">
        <v>0</v>
      </c>
      <c r="E254" s="56">
        <v>0</v>
      </c>
      <c r="F254" s="56">
        <v>0</v>
      </c>
      <c r="G254" s="56">
        <v>0</v>
      </c>
      <c r="H254" s="56">
        <v>0</v>
      </c>
      <c r="I254" s="56">
        <v>0</v>
      </c>
      <c r="J254" s="56">
        <v>0</v>
      </c>
      <c r="K254" s="56">
        <v>0</v>
      </c>
      <c r="L254" s="56">
        <v>0</v>
      </c>
      <c r="M254" s="56">
        <v>0</v>
      </c>
      <c r="N254" s="56">
        <v>0</v>
      </c>
      <c r="O254" s="157"/>
    </row>
    <row r="255" spans="1:19" ht="15.75" thickBot="1" x14ac:dyDescent="0.3">
      <c r="A255" s="310">
        <v>821</v>
      </c>
      <c r="B255" s="311" t="s">
        <v>173</v>
      </c>
      <c r="C255" s="187">
        <v>789</v>
      </c>
      <c r="D255" s="187">
        <v>817</v>
      </c>
      <c r="E255" s="187">
        <v>856</v>
      </c>
      <c r="F255" s="187">
        <v>888</v>
      </c>
      <c r="G255" s="124">
        <v>924</v>
      </c>
      <c r="H255" s="124">
        <v>961</v>
      </c>
      <c r="I255" s="124">
        <v>1000</v>
      </c>
      <c r="J255" s="124">
        <v>1040</v>
      </c>
      <c r="K255" s="124">
        <v>1040</v>
      </c>
      <c r="L255" s="124">
        <v>1090</v>
      </c>
      <c r="M255" s="124">
        <v>1130</v>
      </c>
      <c r="N255" s="124">
        <v>1180</v>
      </c>
      <c r="O255" s="295"/>
    </row>
    <row r="256" spans="1:19" x14ac:dyDescent="0.25">
      <c r="A256" s="297"/>
      <c r="B256" s="312"/>
      <c r="C256" s="312"/>
      <c r="D256" s="312"/>
      <c r="E256" s="157"/>
      <c r="F256" s="157"/>
      <c r="G256" s="157"/>
      <c r="H256" s="157"/>
      <c r="I256" s="157"/>
      <c r="J256" s="157"/>
      <c r="K256" s="157"/>
      <c r="L256" s="157"/>
      <c r="M256" s="157"/>
      <c r="N256" s="157"/>
      <c r="O256" s="1"/>
    </row>
    <row r="257" spans="1:17" ht="15.75" x14ac:dyDescent="0.25">
      <c r="A257" s="101"/>
      <c r="B257" s="295"/>
      <c r="C257" s="295"/>
      <c r="D257" s="295"/>
      <c r="E257" s="295"/>
      <c r="F257" s="295"/>
      <c r="G257" s="295"/>
      <c r="H257" s="295"/>
      <c r="I257" s="295"/>
      <c r="J257" s="295"/>
      <c r="K257" s="295"/>
      <c r="L257" s="295"/>
      <c r="M257" s="295"/>
      <c r="N257" s="295"/>
    </row>
    <row r="258" spans="1:17" ht="25.5" customHeight="1" thickBot="1" x14ac:dyDescent="0.3">
      <c r="A258" s="882" t="s">
        <v>174</v>
      </c>
      <c r="B258" s="883"/>
      <c r="C258" s="883"/>
      <c r="D258" s="883"/>
      <c r="E258" s="883"/>
      <c r="F258" s="883"/>
      <c r="G258" s="883"/>
      <c r="H258" s="883"/>
      <c r="I258" s="883"/>
      <c r="J258" s="883"/>
      <c r="K258" s="883"/>
      <c r="L258" s="883"/>
      <c r="M258" s="883"/>
      <c r="N258" s="883"/>
      <c r="O258" s="1"/>
    </row>
    <row r="259" spans="1:17" ht="59.25" customHeight="1" thickBot="1" x14ac:dyDescent="0.3">
      <c r="A259" s="876" t="s">
        <v>1</v>
      </c>
      <c r="B259" s="877"/>
      <c r="C259" s="388" t="s">
        <v>2</v>
      </c>
      <c r="D259" s="388" t="s">
        <v>3</v>
      </c>
      <c r="E259" s="388" t="s">
        <v>186</v>
      </c>
      <c r="F259" s="388" t="s">
        <v>201</v>
      </c>
      <c r="G259" s="470" t="s">
        <v>237</v>
      </c>
      <c r="H259" s="470" t="s">
        <v>263</v>
      </c>
      <c r="I259" s="470" t="s">
        <v>322</v>
      </c>
      <c r="J259" s="387" t="s">
        <v>326</v>
      </c>
      <c r="K259" s="387" t="s">
        <v>343</v>
      </c>
      <c r="L259" s="387" t="s">
        <v>238</v>
      </c>
      <c r="M259" s="387" t="s">
        <v>264</v>
      </c>
      <c r="N259" s="387" t="s">
        <v>305</v>
      </c>
      <c r="O259" s="1"/>
    </row>
    <row r="260" spans="1:17" ht="15.75" x14ac:dyDescent="0.25">
      <c r="A260" s="313" t="s">
        <v>175</v>
      </c>
      <c r="B260" s="29"/>
      <c r="C260" s="314">
        <f t="shared" ref="C260:N260" si="128">C94</f>
        <v>1745739</v>
      </c>
      <c r="D260" s="314">
        <f t="shared" si="128"/>
        <v>1885817</v>
      </c>
      <c r="E260" s="314">
        <f t="shared" si="128"/>
        <v>2141845</v>
      </c>
      <c r="F260" s="314">
        <f t="shared" si="128"/>
        <v>2242915</v>
      </c>
      <c r="G260" s="314">
        <f t="shared" si="128"/>
        <v>2341113</v>
      </c>
      <c r="H260" s="314">
        <f t="shared" si="128"/>
        <v>2298428</v>
      </c>
      <c r="I260" s="314">
        <f t="shared" si="128"/>
        <v>2697311</v>
      </c>
      <c r="J260" s="314">
        <f t="shared" si="128"/>
        <v>2776003</v>
      </c>
      <c r="K260" s="314">
        <f t="shared" si="128"/>
        <v>3010703</v>
      </c>
      <c r="L260" s="314">
        <f t="shared" si="128"/>
        <v>2971575</v>
      </c>
      <c r="M260" s="314">
        <f t="shared" si="128"/>
        <v>2997165</v>
      </c>
      <c r="N260" s="314">
        <f t="shared" si="128"/>
        <v>2989660</v>
      </c>
      <c r="O260" s="1"/>
    </row>
    <row r="261" spans="1:17" ht="16.5" thickBot="1" x14ac:dyDescent="0.3">
      <c r="A261" s="315" t="s">
        <v>176</v>
      </c>
      <c r="B261" s="316"/>
      <c r="C261" s="317">
        <f t="shared" ref="C261:N261" si="129">C164</f>
        <v>1508309</v>
      </c>
      <c r="D261" s="317">
        <f t="shared" si="129"/>
        <v>1667910</v>
      </c>
      <c r="E261" s="317">
        <f t="shared" si="129"/>
        <v>1947235</v>
      </c>
      <c r="F261" s="317">
        <f t="shared" si="129"/>
        <v>1998056.4</v>
      </c>
      <c r="G261" s="317">
        <f t="shared" si="129"/>
        <v>2131546</v>
      </c>
      <c r="H261" s="317">
        <f t="shared" si="129"/>
        <v>2183960</v>
      </c>
      <c r="I261" s="317">
        <f t="shared" si="129"/>
        <v>2541118</v>
      </c>
      <c r="J261" s="317">
        <f t="shared" si="129"/>
        <v>2811703</v>
      </c>
      <c r="K261" s="317">
        <f t="shared" si="129"/>
        <v>3044393</v>
      </c>
      <c r="L261" s="317">
        <f t="shared" si="129"/>
        <v>2990485</v>
      </c>
      <c r="M261" s="317">
        <f t="shared" si="129"/>
        <v>2998035</v>
      </c>
      <c r="N261" s="317">
        <f t="shared" si="129"/>
        <v>2990480</v>
      </c>
      <c r="O261" s="1"/>
    </row>
    <row r="262" spans="1:17" ht="16.5" thickBot="1" x14ac:dyDescent="0.3">
      <c r="A262" s="884" t="s">
        <v>177</v>
      </c>
      <c r="B262" s="885"/>
      <c r="C262" s="318">
        <f t="shared" ref="C262:G262" si="130">C260-C261</f>
        <v>237430</v>
      </c>
      <c r="D262" s="318">
        <f t="shared" si="130"/>
        <v>217907</v>
      </c>
      <c r="E262" s="318">
        <f t="shared" si="130"/>
        <v>194610</v>
      </c>
      <c r="F262" s="318">
        <f t="shared" ref="F262" si="131">F260-F261</f>
        <v>244858.60000000009</v>
      </c>
      <c r="G262" s="318">
        <f t="shared" si="130"/>
        <v>209567</v>
      </c>
      <c r="H262" s="318">
        <f t="shared" ref="H262:I262" si="132">H260-H261</f>
        <v>114468</v>
      </c>
      <c r="I262" s="318">
        <f t="shared" si="132"/>
        <v>156193</v>
      </c>
      <c r="J262" s="318">
        <f t="shared" ref="J262:N262" si="133">J260-J261</f>
        <v>-35700</v>
      </c>
      <c r="K262" s="318">
        <f t="shared" ref="K262:L262" si="134">K260-K261</f>
        <v>-33690</v>
      </c>
      <c r="L262" s="318">
        <f t="shared" si="134"/>
        <v>-18910</v>
      </c>
      <c r="M262" s="318">
        <f t="shared" si="133"/>
        <v>-870</v>
      </c>
      <c r="N262" s="318">
        <f t="shared" si="133"/>
        <v>-820</v>
      </c>
      <c r="O262" s="562">
        <f>L262-L255</f>
        <v>-20000</v>
      </c>
      <c r="P262" s="562">
        <f t="shared" ref="P262:Q262" si="135">M262-M255</f>
        <v>-2000</v>
      </c>
      <c r="Q262" s="562">
        <f t="shared" si="135"/>
        <v>-2000</v>
      </c>
    </row>
    <row r="263" spans="1:17" ht="15.75" x14ac:dyDescent="0.25">
      <c r="A263" s="315" t="s">
        <v>178</v>
      </c>
      <c r="B263" s="18"/>
      <c r="C263" s="317">
        <f t="shared" ref="C263:N263" si="136">C169</f>
        <v>10502</v>
      </c>
      <c r="D263" s="317">
        <f t="shared" si="136"/>
        <v>445</v>
      </c>
      <c r="E263" s="317">
        <f t="shared" si="136"/>
        <v>196343</v>
      </c>
      <c r="F263" s="317">
        <f t="shared" si="136"/>
        <v>118970</v>
      </c>
      <c r="G263" s="317">
        <f t="shared" si="136"/>
        <v>93063</v>
      </c>
      <c r="H263" s="317">
        <f t="shared" si="136"/>
        <v>79290</v>
      </c>
      <c r="I263" s="317">
        <f t="shared" si="136"/>
        <v>316209</v>
      </c>
      <c r="J263" s="317">
        <f t="shared" si="136"/>
        <v>1143050</v>
      </c>
      <c r="K263" s="317">
        <f t="shared" si="136"/>
        <v>2827690</v>
      </c>
      <c r="L263" s="317">
        <f t="shared" si="136"/>
        <v>2593450</v>
      </c>
      <c r="M263" s="317">
        <f t="shared" si="136"/>
        <v>0</v>
      </c>
      <c r="N263" s="317">
        <f t="shared" si="136"/>
        <v>0</v>
      </c>
      <c r="O263" s="1"/>
    </row>
    <row r="264" spans="1:17" ht="15.75" x14ac:dyDescent="0.25">
      <c r="A264" s="315" t="s">
        <v>179</v>
      </c>
      <c r="B264" s="18"/>
      <c r="C264" s="20">
        <f t="shared" ref="C264:N264" si="137">C188</f>
        <v>54067</v>
      </c>
      <c r="D264" s="20">
        <f t="shared" si="137"/>
        <v>22442</v>
      </c>
      <c r="E264" s="20">
        <f t="shared" si="137"/>
        <v>290525</v>
      </c>
      <c r="F264" s="20">
        <f t="shared" si="137"/>
        <v>211426</v>
      </c>
      <c r="G264" s="20">
        <f t="shared" si="137"/>
        <v>247102</v>
      </c>
      <c r="H264" s="20">
        <f t="shared" si="137"/>
        <v>115817</v>
      </c>
      <c r="I264" s="20">
        <f t="shared" si="137"/>
        <v>373572</v>
      </c>
      <c r="J264" s="20">
        <f t="shared" si="137"/>
        <v>2034046</v>
      </c>
      <c r="K264" s="20">
        <f t="shared" si="137"/>
        <v>3616986</v>
      </c>
      <c r="L264" s="20">
        <f t="shared" si="137"/>
        <v>3144736</v>
      </c>
      <c r="M264" s="20">
        <f t="shared" si="137"/>
        <v>0</v>
      </c>
      <c r="N264" s="20">
        <f t="shared" si="137"/>
        <v>0</v>
      </c>
      <c r="O264" s="1"/>
    </row>
    <row r="265" spans="1:17" ht="15.75" x14ac:dyDescent="0.25">
      <c r="A265" s="884" t="s">
        <v>180</v>
      </c>
      <c r="B265" s="885"/>
      <c r="C265" s="318">
        <f t="shared" ref="C265:G265" si="138">C263-C264</f>
        <v>-43565</v>
      </c>
      <c r="D265" s="318">
        <f t="shared" si="138"/>
        <v>-21997</v>
      </c>
      <c r="E265" s="318">
        <f t="shared" si="138"/>
        <v>-94182</v>
      </c>
      <c r="F265" s="318">
        <f t="shared" ref="F265" si="139">F263-F264</f>
        <v>-92456</v>
      </c>
      <c r="G265" s="318">
        <f t="shared" si="138"/>
        <v>-154039</v>
      </c>
      <c r="H265" s="318">
        <f t="shared" ref="H265:I265" si="140">H263-H264</f>
        <v>-36527</v>
      </c>
      <c r="I265" s="318">
        <f t="shared" si="140"/>
        <v>-57363</v>
      </c>
      <c r="J265" s="318">
        <f t="shared" ref="J265:N265" si="141">J263-J264</f>
        <v>-890996</v>
      </c>
      <c r="K265" s="318">
        <f t="shared" ref="K265:L265" si="142">K263-K264</f>
        <v>-789296</v>
      </c>
      <c r="L265" s="318">
        <f t="shared" si="142"/>
        <v>-551286</v>
      </c>
      <c r="M265" s="318">
        <f t="shared" si="141"/>
        <v>0</v>
      </c>
      <c r="N265" s="318">
        <f t="shared" si="141"/>
        <v>0</v>
      </c>
      <c r="O265" s="1"/>
    </row>
    <row r="266" spans="1:17" ht="15.75" x14ac:dyDescent="0.25">
      <c r="A266" s="319" t="s">
        <v>181</v>
      </c>
      <c r="B266" s="320"/>
      <c r="C266" s="321">
        <f t="shared" ref="C266:N266" si="143">C229</f>
        <v>87331</v>
      </c>
      <c r="D266" s="321">
        <f t="shared" si="143"/>
        <v>129336</v>
      </c>
      <c r="E266" s="321">
        <f t="shared" si="143"/>
        <v>137207</v>
      </c>
      <c r="F266" s="321">
        <f t="shared" si="143"/>
        <v>174149</v>
      </c>
      <c r="G266" s="321">
        <f t="shared" si="143"/>
        <v>249113</v>
      </c>
      <c r="H266" s="321">
        <f t="shared" si="143"/>
        <v>158714</v>
      </c>
      <c r="I266" s="321">
        <f t="shared" ref="I266" si="144">I229</f>
        <v>377462</v>
      </c>
      <c r="J266" s="321">
        <f t="shared" si="143"/>
        <v>931297</v>
      </c>
      <c r="K266" s="321">
        <f t="shared" si="143"/>
        <v>824026</v>
      </c>
      <c r="L266" s="321">
        <f t="shared" si="143"/>
        <v>571286</v>
      </c>
      <c r="M266" s="321">
        <f t="shared" si="143"/>
        <v>2000</v>
      </c>
      <c r="N266" s="321">
        <f t="shared" si="143"/>
        <v>2000</v>
      </c>
      <c r="O266" s="1"/>
    </row>
    <row r="267" spans="1:17" ht="15.75" x14ac:dyDescent="0.25">
      <c r="A267" s="319" t="s">
        <v>182</v>
      </c>
      <c r="B267" s="320"/>
      <c r="C267" s="321">
        <f t="shared" ref="C267:J267" si="145">C250</f>
        <v>789</v>
      </c>
      <c r="D267" s="321">
        <f t="shared" si="145"/>
        <v>879</v>
      </c>
      <c r="E267" s="321">
        <f t="shared" si="145"/>
        <v>882</v>
      </c>
      <c r="F267" s="321">
        <f t="shared" si="145"/>
        <v>916</v>
      </c>
      <c r="G267" s="321">
        <f t="shared" si="145"/>
        <v>940</v>
      </c>
      <c r="H267" s="321">
        <f t="shared" si="145"/>
        <v>9990</v>
      </c>
      <c r="I267" s="321">
        <f t="shared" ref="I267" si="146">I250</f>
        <v>19009</v>
      </c>
      <c r="J267" s="321">
        <f t="shared" si="145"/>
        <v>4601</v>
      </c>
      <c r="K267" s="321">
        <f t="shared" ref="K267:L267" si="147">K250</f>
        <v>1040</v>
      </c>
      <c r="L267" s="321">
        <f t="shared" si="147"/>
        <v>1090</v>
      </c>
      <c r="M267" s="321">
        <f>M250</f>
        <v>1130</v>
      </c>
      <c r="N267" s="321">
        <f>N250</f>
        <v>1180</v>
      </c>
      <c r="O267" s="1"/>
    </row>
    <row r="268" spans="1:17" ht="16.5" thickBot="1" x14ac:dyDescent="0.3">
      <c r="A268" s="870" t="s">
        <v>183</v>
      </c>
      <c r="B268" s="871"/>
      <c r="C268" s="322">
        <f t="shared" ref="C268:G268" si="148">C266-C267</f>
        <v>86542</v>
      </c>
      <c r="D268" s="322">
        <f t="shared" si="148"/>
        <v>128457</v>
      </c>
      <c r="E268" s="322">
        <f t="shared" si="148"/>
        <v>136325</v>
      </c>
      <c r="F268" s="322">
        <f t="shared" ref="F268" si="149">F266-F267</f>
        <v>173233</v>
      </c>
      <c r="G268" s="322">
        <f t="shared" si="148"/>
        <v>248173</v>
      </c>
      <c r="H268" s="322">
        <f t="shared" ref="H268:I268" si="150">H266-H267</f>
        <v>148724</v>
      </c>
      <c r="I268" s="322">
        <f t="shared" si="150"/>
        <v>358453</v>
      </c>
      <c r="J268" s="322">
        <f t="shared" ref="J268:N268" si="151">J266-J267</f>
        <v>926696</v>
      </c>
      <c r="K268" s="322">
        <f t="shared" ref="K268:L268" si="152">K266-K267</f>
        <v>822986</v>
      </c>
      <c r="L268" s="322">
        <f t="shared" si="152"/>
        <v>570196</v>
      </c>
      <c r="M268" s="322">
        <f t="shared" si="151"/>
        <v>870</v>
      </c>
      <c r="N268" s="322">
        <f t="shared" si="151"/>
        <v>820</v>
      </c>
      <c r="O268" s="27"/>
    </row>
    <row r="269" spans="1:17" ht="32.25" customHeight="1" thickBot="1" x14ac:dyDescent="0.3">
      <c r="A269" s="323" t="s">
        <v>184</v>
      </c>
      <c r="B269" s="324"/>
      <c r="C269" s="325">
        <f t="shared" ref="C269:E269" si="153">C262+C265+C268</f>
        <v>280407</v>
      </c>
      <c r="D269" s="325">
        <f t="shared" si="153"/>
        <v>324367</v>
      </c>
      <c r="E269" s="325">
        <f t="shared" si="153"/>
        <v>236753</v>
      </c>
      <c r="F269" s="325">
        <f t="shared" ref="F269:N269" si="154">F262+F265+F268</f>
        <v>325635.60000000009</v>
      </c>
      <c r="G269" s="325">
        <f t="shared" si="154"/>
        <v>303701</v>
      </c>
      <c r="H269" s="325">
        <f t="shared" si="154"/>
        <v>226665</v>
      </c>
      <c r="I269" s="325">
        <f t="shared" ref="I269" si="155">I262+I265+I268</f>
        <v>457283</v>
      </c>
      <c r="J269" s="325">
        <f t="shared" si="154"/>
        <v>0</v>
      </c>
      <c r="K269" s="325">
        <f>K262+K265+K268</f>
        <v>0</v>
      </c>
      <c r="L269" s="325">
        <f t="shared" si="154"/>
        <v>0</v>
      </c>
      <c r="M269" s="325">
        <f t="shared" si="154"/>
        <v>0</v>
      </c>
      <c r="N269" s="325">
        <f t="shared" si="154"/>
        <v>0</v>
      </c>
      <c r="O269" s="1"/>
    </row>
    <row r="270" spans="1:1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7" x14ac:dyDescent="0.25">
      <c r="A271" s="1"/>
      <c r="B271" s="487" t="s">
        <v>267</v>
      </c>
      <c r="C271" s="488">
        <f t="shared" ref="C271:E272" si="156">C260+C263+C266</f>
        <v>1843572</v>
      </c>
      <c r="D271" s="488">
        <f t="shared" si="156"/>
        <v>2015598</v>
      </c>
      <c r="E271" s="488">
        <f t="shared" si="156"/>
        <v>2475395</v>
      </c>
      <c r="F271" s="488">
        <f t="shared" ref="F271:N271" si="157">F260+F263+F266</f>
        <v>2536034</v>
      </c>
      <c r="G271" s="488">
        <f t="shared" si="157"/>
        <v>2683289</v>
      </c>
      <c r="H271" s="488">
        <f t="shared" si="157"/>
        <v>2536432</v>
      </c>
      <c r="I271" s="488">
        <f t="shared" ref="I271" si="158">I260+I263+I266</f>
        <v>3390982</v>
      </c>
      <c r="J271" s="488">
        <f t="shared" si="157"/>
        <v>4850350</v>
      </c>
      <c r="K271" s="488">
        <f t="shared" si="157"/>
        <v>6662419</v>
      </c>
      <c r="L271" s="488">
        <f t="shared" si="157"/>
        <v>6136311</v>
      </c>
      <c r="M271" s="488">
        <f t="shared" si="157"/>
        <v>2999165</v>
      </c>
      <c r="N271" s="488">
        <f t="shared" si="157"/>
        <v>2991660</v>
      </c>
      <c r="O271" s="1"/>
    </row>
    <row r="272" spans="1:17" x14ac:dyDescent="0.25">
      <c r="A272" s="1"/>
      <c r="B272" s="487" t="s">
        <v>268</v>
      </c>
      <c r="C272" s="488">
        <f t="shared" si="156"/>
        <v>1563165</v>
      </c>
      <c r="D272" s="488">
        <f t="shared" si="156"/>
        <v>1691231</v>
      </c>
      <c r="E272" s="488">
        <f t="shared" si="156"/>
        <v>2238642</v>
      </c>
      <c r="F272" s="488">
        <f t="shared" ref="F272:N272" si="159">F261+F264+F267</f>
        <v>2210398.4</v>
      </c>
      <c r="G272" s="488">
        <f t="shared" si="159"/>
        <v>2379588</v>
      </c>
      <c r="H272" s="488">
        <f t="shared" si="159"/>
        <v>2309767</v>
      </c>
      <c r="I272" s="488">
        <f t="shared" ref="I272" si="160">I261+I264+I267</f>
        <v>2933699</v>
      </c>
      <c r="J272" s="488">
        <f t="shared" si="159"/>
        <v>4850350</v>
      </c>
      <c r="K272" s="488">
        <f t="shared" si="159"/>
        <v>6662419</v>
      </c>
      <c r="L272" s="488">
        <f t="shared" si="159"/>
        <v>6136311</v>
      </c>
      <c r="M272" s="488">
        <f t="shared" si="159"/>
        <v>2999165</v>
      </c>
      <c r="N272" s="488">
        <f t="shared" si="159"/>
        <v>2991660</v>
      </c>
      <c r="O272" s="1"/>
    </row>
    <row r="273" spans="1:15" x14ac:dyDescent="0.25">
      <c r="A273" s="1"/>
      <c r="B273" s="487"/>
      <c r="C273" s="488"/>
      <c r="D273" s="488"/>
      <c r="E273" s="488"/>
      <c r="F273" s="488"/>
      <c r="G273" s="488"/>
      <c r="H273" s="488"/>
      <c r="I273" s="488"/>
      <c r="J273" s="488"/>
      <c r="K273" s="488"/>
      <c r="L273" s="488"/>
      <c r="M273" s="488"/>
      <c r="N273" s="488"/>
      <c r="O273" s="1"/>
    </row>
    <row r="274" spans="1:15" x14ac:dyDescent="0.25">
      <c r="A274" s="1"/>
      <c r="B274" s="487" t="s">
        <v>269</v>
      </c>
      <c r="C274" s="488">
        <f>C271-C93</f>
        <v>1831896</v>
      </c>
      <c r="D274" s="488">
        <f>D271-D93</f>
        <v>1996461</v>
      </c>
      <c r="E274" s="488">
        <f>E271-E93</f>
        <v>2404424</v>
      </c>
      <c r="F274" s="488">
        <f>F271-F93</f>
        <v>2494555</v>
      </c>
      <c r="G274" s="488">
        <f>G271-G93-G249</f>
        <v>2624587</v>
      </c>
      <c r="H274" s="488">
        <f t="shared" ref="H274:N274" si="161">H271-H93</f>
        <v>2519892</v>
      </c>
      <c r="I274" s="488">
        <f t="shared" si="161"/>
        <v>3375474</v>
      </c>
      <c r="J274" s="488">
        <f t="shared" si="161"/>
        <v>4832850</v>
      </c>
      <c r="K274" s="488">
        <f t="shared" si="161"/>
        <v>6644569</v>
      </c>
      <c r="L274" s="488">
        <f t="shared" si="161"/>
        <v>6117611</v>
      </c>
      <c r="M274" s="488">
        <f t="shared" si="161"/>
        <v>2980465</v>
      </c>
      <c r="N274" s="488">
        <f t="shared" si="161"/>
        <v>2972960</v>
      </c>
      <c r="O274" s="1"/>
    </row>
    <row r="275" spans="1:15" x14ac:dyDescent="0.25">
      <c r="A275" s="1"/>
      <c r="B275" s="487" t="s">
        <v>270</v>
      </c>
      <c r="C275" s="488">
        <f t="shared" ref="C275:N275" si="162">C272-C163</f>
        <v>1030275</v>
      </c>
      <c r="D275" s="488">
        <f t="shared" si="162"/>
        <v>1010682</v>
      </c>
      <c r="E275" s="488">
        <f t="shared" si="162"/>
        <v>1451847</v>
      </c>
      <c r="F275" s="488">
        <f t="shared" si="162"/>
        <v>1338080.3999999999</v>
      </c>
      <c r="G275" s="488">
        <f t="shared" si="162"/>
        <v>1503497</v>
      </c>
      <c r="H275" s="488">
        <f t="shared" si="162"/>
        <v>1405532</v>
      </c>
      <c r="I275" s="488">
        <f t="shared" si="162"/>
        <v>1932177</v>
      </c>
      <c r="J275" s="488">
        <f t="shared" si="162"/>
        <v>3839878</v>
      </c>
      <c r="K275" s="488">
        <f t="shared" si="162"/>
        <v>5588434</v>
      </c>
      <c r="L275" s="488">
        <f t="shared" si="162"/>
        <v>5065211</v>
      </c>
      <c r="M275" s="488">
        <f t="shared" si="162"/>
        <v>1911865</v>
      </c>
      <c r="N275" s="488">
        <f t="shared" si="162"/>
        <v>1904360</v>
      </c>
      <c r="O275" s="1"/>
    </row>
    <row r="276" spans="1:15" x14ac:dyDescent="0.25">
      <c r="A276" s="1"/>
      <c r="B276" s="487"/>
      <c r="C276" s="488"/>
      <c r="D276" s="488"/>
      <c r="E276" s="488"/>
      <c r="F276" s="488"/>
      <c r="G276" s="488"/>
      <c r="H276" s="488"/>
      <c r="I276" s="488"/>
      <c r="J276" s="488"/>
      <c r="K276" s="488"/>
      <c r="L276" s="488"/>
      <c r="M276" s="488"/>
      <c r="N276" s="488"/>
      <c r="O276" s="1"/>
    </row>
    <row r="277" spans="1:15" x14ac:dyDescent="0.25">
      <c r="A277" s="1"/>
      <c r="B277" s="485" t="s">
        <v>271</v>
      </c>
      <c r="C277" s="486">
        <f t="shared" ref="C277:C278" si="163">C270-C273</f>
        <v>0</v>
      </c>
      <c r="D277" s="486">
        <f t="shared" ref="D277:D278" si="164">D271-D274</f>
        <v>19137</v>
      </c>
      <c r="E277" s="486">
        <f t="shared" ref="E277:F277" si="165">E271-E274</f>
        <v>70971</v>
      </c>
      <c r="F277" s="486">
        <f t="shared" si="165"/>
        <v>41479</v>
      </c>
      <c r="G277" s="486">
        <f t="shared" ref="G277:N277" si="166">G271-G274</f>
        <v>58702</v>
      </c>
      <c r="H277" s="486">
        <f t="shared" si="166"/>
        <v>16540</v>
      </c>
      <c r="I277" s="486">
        <f t="shared" ref="I277" si="167">I271-I274</f>
        <v>15508</v>
      </c>
      <c r="J277" s="486">
        <f t="shared" si="166"/>
        <v>17500</v>
      </c>
      <c r="K277" s="486">
        <f t="shared" si="166"/>
        <v>17850</v>
      </c>
      <c r="L277" s="486">
        <f t="shared" si="166"/>
        <v>18700</v>
      </c>
      <c r="M277" s="486">
        <f t="shared" si="166"/>
        <v>18700</v>
      </c>
      <c r="N277" s="486">
        <f t="shared" si="166"/>
        <v>18700</v>
      </c>
      <c r="O277" s="1"/>
    </row>
    <row r="278" spans="1:15" x14ac:dyDescent="0.25">
      <c r="A278" s="100"/>
      <c r="B278" s="485" t="s">
        <v>272</v>
      </c>
      <c r="C278" s="486">
        <f t="shared" si="163"/>
        <v>11676</v>
      </c>
      <c r="D278" s="486">
        <f t="shared" si="164"/>
        <v>680549</v>
      </c>
      <c r="E278" s="486">
        <f t="shared" ref="E278:F278" si="168">E272-E275</f>
        <v>786795</v>
      </c>
      <c r="F278" s="486">
        <f t="shared" si="168"/>
        <v>872318</v>
      </c>
      <c r="G278" s="486">
        <f t="shared" ref="G278:N278" si="169">G272-G275</f>
        <v>876091</v>
      </c>
      <c r="H278" s="486">
        <f t="shared" si="169"/>
        <v>904235</v>
      </c>
      <c r="I278" s="486">
        <f t="shared" ref="I278" si="170">I272-I275</f>
        <v>1001522</v>
      </c>
      <c r="J278" s="486">
        <f t="shared" si="169"/>
        <v>1010472</v>
      </c>
      <c r="K278" s="486">
        <f t="shared" si="169"/>
        <v>1073985</v>
      </c>
      <c r="L278" s="486">
        <f t="shared" si="169"/>
        <v>1071100</v>
      </c>
      <c r="M278" s="486">
        <f t="shared" si="169"/>
        <v>1087300</v>
      </c>
      <c r="N278" s="486">
        <f t="shared" si="169"/>
        <v>1087300</v>
      </c>
      <c r="O278" s="1"/>
    </row>
    <row r="279" spans="1:15" x14ac:dyDescent="0.25">
      <c r="A279" s="1"/>
      <c r="B279" s="489"/>
      <c r="C279" s="486">
        <f>C278-C277+C268</f>
        <v>98218</v>
      </c>
      <c r="D279" s="486">
        <f>D278-D277+D269</f>
        <v>985779</v>
      </c>
      <c r="E279" s="486">
        <f t="shared" ref="E279:F279" si="171">E278-E277+E269</f>
        <v>952577</v>
      </c>
      <c r="F279" s="486">
        <f t="shared" si="171"/>
        <v>1156474.6000000001</v>
      </c>
      <c r="G279" s="486">
        <f t="shared" ref="G279:N279" si="172">G278-G277+G269</f>
        <v>1121090</v>
      </c>
      <c r="H279" s="486">
        <f t="shared" si="172"/>
        <v>1114360</v>
      </c>
      <c r="I279" s="486">
        <f t="shared" ref="I279" si="173">I278-I277+I269</f>
        <v>1443297</v>
      </c>
      <c r="J279" s="486">
        <f t="shared" si="172"/>
        <v>992972</v>
      </c>
      <c r="K279" s="486">
        <f t="shared" si="172"/>
        <v>1056135</v>
      </c>
      <c r="L279" s="486">
        <f t="shared" si="172"/>
        <v>1052400</v>
      </c>
      <c r="M279" s="486">
        <f t="shared" si="172"/>
        <v>1068600</v>
      </c>
      <c r="N279" s="486">
        <f t="shared" si="172"/>
        <v>1068600</v>
      </c>
      <c r="O279" s="1"/>
    </row>
    <row r="280" spans="1:15" x14ac:dyDescent="0.25">
      <c r="A280" s="1"/>
      <c r="B280" s="327" t="s">
        <v>185</v>
      </c>
      <c r="C280" s="327"/>
      <c r="D280" s="327"/>
      <c r="E280" s="327"/>
      <c r="F280" s="327"/>
      <c r="G280" s="327"/>
      <c r="H280" s="327"/>
      <c r="I280" s="327"/>
      <c r="J280" s="469"/>
      <c r="K280" s="469"/>
      <c r="L280" s="469"/>
      <c r="M280" s="327"/>
      <c r="N280" s="327"/>
      <c r="O280" s="1"/>
    </row>
    <row r="281" spans="1:15" x14ac:dyDescent="0.25">
      <c r="A281" s="1"/>
      <c r="B281" s="327" t="s">
        <v>295</v>
      </c>
      <c r="C281" s="327"/>
      <c r="D281" s="327"/>
      <c r="E281" s="327"/>
      <c r="F281" s="327"/>
      <c r="G281" s="327"/>
      <c r="H281" s="327"/>
      <c r="I281" s="327"/>
      <c r="J281" s="327"/>
      <c r="K281" s="327"/>
      <c r="L281" s="523"/>
      <c r="M281" s="327"/>
      <c r="N281" s="327"/>
      <c r="O281" s="1"/>
    </row>
    <row r="282" spans="1:15" x14ac:dyDescent="0.25">
      <c r="A282" s="1"/>
      <c r="B282" s="327"/>
      <c r="C282" s="327"/>
      <c r="D282" s="327"/>
      <c r="E282" s="327"/>
      <c r="F282" s="327"/>
      <c r="G282" s="327"/>
      <c r="H282" s="327"/>
      <c r="I282" s="327"/>
      <c r="J282" s="327"/>
      <c r="K282" s="327"/>
      <c r="L282" s="327"/>
      <c r="M282" s="327"/>
      <c r="N282" s="327"/>
      <c r="O282" s="1"/>
    </row>
    <row r="283" spans="1:15" x14ac:dyDescent="0.25">
      <c r="A283" s="1"/>
      <c r="B283" s="327"/>
      <c r="C283" s="327"/>
      <c r="D283" s="327"/>
      <c r="E283" s="327"/>
      <c r="F283" s="327"/>
      <c r="G283" s="327"/>
      <c r="H283" s="327"/>
      <c r="I283" s="327"/>
      <c r="J283" s="327"/>
      <c r="K283" s="327"/>
      <c r="L283" s="327"/>
      <c r="M283" s="327"/>
      <c r="N283" s="327"/>
      <c r="O283" s="1"/>
    </row>
    <row r="284" spans="1:15" x14ac:dyDescent="0.25">
      <c r="A284" s="1"/>
      <c r="C284" s="327"/>
      <c r="D284" s="327"/>
      <c r="E284" s="327"/>
      <c r="F284" s="327"/>
      <c r="G284" s="327"/>
      <c r="H284" s="327"/>
      <c r="I284" s="327"/>
      <c r="J284" s="327"/>
      <c r="K284" s="327"/>
      <c r="L284" s="327"/>
      <c r="M284" s="327"/>
      <c r="N284" s="327"/>
      <c r="O284" s="1"/>
    </row>
    <row r="285" spans="1:15" x14ac:dyDescent="0.25">
      <c r="A285" s="1"/>
      <c r="B285" s="328" t="s">
        <v>358</v>
      </c>
      <c r="C285" s="328"/>
      <c r="D285" s="328"/>
      <c r="E285" s="327"/>
      <c r="F285" s="327"/>
      <c r="G285" s="384"/>
      <c r="H285" s="327"/>
      <c r="I285" s="327"/>
      <c r="J285" s="327"/>
      <c r="K285" s="327"/>
      <c r="L285" s="327"/>
      <c r="M285" s="327"/>
      <c r="N285" s="327"/>
      <c r="O285" s="1"/>
    </row>
    <row r="286" spans="1:15" x14ac:dyDescent="0.25">
      <c r="A286" s="1"/>
      <c r="C286" s="328"/>
      <c r="D286" s="328"/>
      <c r="E286" s="327"/>
      <c r="F286" s="327"/>
      <c r="G286" s="327"/>
      <c r="H286" s="327"/>
      <c r="I286" s="327"/>
      <c r="J286" s="327"/>
      <c r="K286" s="327"/>
      <c r="L286" s="327"/>
      <c r="M286" s="327"/>
      <c r="N286" s="327"/>
      <c r="O286" s="1"/>
    </row>
    <row r="287" spans="1:15" x14ac:dyDescent="0.25">
      <c r="A287" s="1"/>
      <c r="B287" s="327" t="s">
        <v>360</v>
      </c>
      <c r="C287" s="328"/>
      <c r="D287" s="328"/>
      <c r="E287" s="327"/>
      <c r="F287" s="327"/>
      <c r="G287" s="327"/>
      <c r="H287" s="327"/>
      <c r="I287" s="327"/>
      <c r="J287" s="327"/>
      <c r="K287" s="327"/>
      <c r="L287" s="327"/>
      <c r="M287" s="327"/>
      <c r="N287" s="327"/>
      <c r="O287" s="1"/>
    </row>
    <row r="288" spans="1:15" x14ac:dyDescent="0.25">
      <c r="A288" s="1"/>
      <c r="B288" s="327" t="s">
        <v>359</v>
      </c>
      <c r="C288" s="328"/>
      <c r="D288" s="328"/>
      <c r="E288" s="327"/>
      <c r="F288" s="327"/>
      <c r="G288" s="327"/>
      <c r="H288" s="327"/>
      <c r="I288" s="327"/>
      <c r="J288" s="327"/>
      <c r="K288" s="327"/>
      <c r="L288" s="327"/>
      <c r="M288" s="327"/>
      <c r="N288" s="327"/>
      <c r="O288" s="1"/>
    </row>
    <row r="289" spans="1:15" x14ac:dyDescent="0.25">
      <c r="A289" s="1"/>
      <c r="B289" s="327"/>
      <c r="C289" s="327"/>
      <c r="D289" s="327"/>
      <c r="E289" s="327"/>
      <c r="F289" s="327"/>
      <c r="G289" s="327"/>
      <c r="H289" s="327"/>
      <c r="I289" s="327"/>
      <c r="J289" s="327"/>
      <c r="K289" s="327"/>
      <c r="L289" s="327"/>
      <c r="M289" s="327"/>
      <c r="N289" s="327"/>
      <c r="O289" s="1"/>
    </row>
    <row r="290" spans="1:15" x14ac:dyDescent="0.25">
      <c r="A290" s="1"/>
      <c r="B290" s="329" t="s">
        <v>361</v>
      </c>
      <c r="C290" s="329"/>
      <c r="D290" s="329"/>
      <c r="E290" s="327"/>
      <c r="F290" s="327"/>
      <c r="G290" s="327"/>
      <c r="H290" s="327"/>
      <c r="I290" s="327"/>
      <c r="J290" s="327"/>
      <c r="K290" s="327"/>
      <c r="L290" s="327"/>
      <c r="M290" s="327"/>
      <c r="N290" s="327"/>
      <c r="O290" s="1"/>
    </row>
    <row r="291" spans="1:15" x14ac:dyDescent="0.25">
      <c r="A291" s="1"/>
      <c r="B291" s="329" t="s">
        <v>362</v>
      </c>
      <c r="C291" s="329"/>
      <c r="D291" s="329"/>
      <c r="E291" s="327"/>
      <c r="F291" s="327"/>
      <c r="G291" s="327"/>
      <c r="H291" s="327"/>
      <c r="I291" s="327"/>
      <c r="J291" s="327"/>
      <c r="K291" s="327"/>
      <c r="L291" s="327"/>
      <c r="M291" s="327"/>
      <c r="N291" s="327"/>
      <c r="O291" s="1"/>
    </row>
    <row r="292" spans="1:15" x14ac:dyDescent="0.25">
      <c r="A292" s="1"/>
      <c r="B292" s="329"/>
      <c r="C292" s="329"/>
      <c r="D292" s="329"/>
      <c r="E292" s="327"/>
      <c r="F292" s="327"/>
      <c r="G292" s="327"/>
      <c r="H292" s="327"/>
      <c r="I292" s="327"/>
      <c r="J292" s="327"/>
      <c r="K292" s="327"/>
      <c r="L292" s="327"/>
      <c r="M292" s="327"/>
      <c r="N292" s="327"/>
      <c r="O292" s="1"/>
    </row>
    <row r="293" spans="1:15" x14ac:dyDescent="0.25">
      <c r="A293" s="1"/>
      <c r="B293" s="327"/>
      <c r="C293" s="327"/>
      <c r="D293" s="327"/>
      <c r="E293" s="327"/>
      <c r="F293" s="327"/>
      <c r="G293" s="327"/>
      <c r="H293" s="327"/>
      <c r="I293" s="327"/>
      <c r="J293" s="327"/>
      <c r="K293" s="327"/>
      <c r="L293" s="327"/>
      <c r="M293" s="327"/>
      <c r="N293" s="327"/>
      <c r="O293" s="1"/>
    </row>
    <row r="294" spans="1:15" x14ac:dyDescent="0.25">
      <c r="A294" s="1"/>
      <c r="B294" s="326"/>
      <c r="C294" s="326"/>
      <c r="D294" s="326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x14ac:dyDescent="0.25">
      <c r="A295" s="1"/>
      <c r="B295" s="326"/>
      <c r="C295" s="326"/>
      <c r="D295" s="326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x14ac:dyDescent="0.25">
      <c r="A296" s="1"/>
      <c r="B296" s="326"/>
      <c r="C296" s="326"/>
      <c r="D296" s="326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5" x14ac:dyDescent="0.25">
      <c r="A297" s="1"/>
      <c r="B297" s="326"/>
      <c r="C297" s="326"/>
      <c r="D297" s="326"/>
      <c r="E297" s="1"/>
      <c r="F297" s="1"/>
      <c r="G297" s="1"/>
      <c r="H297" s="1"/>
      <c r="I297" s="1"/>
      <c r="J297" s="1"/>
      <c r="K297" s="1"/>
      <c r="L297" s="1"/>
      <c r="M297" s="1"/>
      <c r="N297" s="1"/>
    </row>
  </sheetData>
  <mergeCells count="24">
    <mergeCell ref="A98:B98"/>
    <mergeCell ref="A168:B168"/>
    <mergeCell ref="A228:B228"/>
    <mergeCell ref="A259:B259"/>
    <mergeCell ref="A92:B92"/>
    <mergeCell ref="A163:B163"/>
    <mergeCell ref="A114:B114"/>
    <mergeCell ref="A158:B158"/>
    <mergeCell ref="A162:B162"/>
    <mergeCell ref="A97:N97"/>
    <mergeCell ref="A93:B93"/>
    <mergeCell ref="A167:N167"/>
    <mergeCell ref="A262:B262"/>
    <mergeCell ref="A265:B265"/>
    <mergeCell ref="A268:B268"/>
    <mergeCell ref="A169:B169"/>
    <mergeCell ref="A188:B188"/>
    <mergeCell ref="A227:N227"/>
    <mergeCell ref="A258:N258"/>
    <mergeCell ref="A2:B2"/>
    <mergeCell ref="A1:N1"/>
    <mergeCell ref="A3:B3"/>
    <mergeCell ref="A11:B11"/>
    <mergeCell ref="A89:B89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 xml:space="preserve">&amp;CViacročný rozpočet
na roky 2025-2027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64FE8-2A31-47C2-A7FF-BC831B0460CA}">
  <sheetPr>
    <pageSetUpPr fitToPage="1"/>
  </sheetPr>
  <dimension ref="A1:AE64"/>
  <sheetViews>
    <sheetView zoomScaleNormal="100" workbookViewId="0">
      <selection sqref="A1:C1"/>
    </sheetView>
  </sheetViews>
  <sheetFormatPr defaultRowHeight="15" x14ac:dyDescent="0.25"/>
  <cols>
    <col min="1" max="1" width="11" customWidth="1"/>
    <col min="2" max="2" width="48.28515625" customWidth="1"/>
    <col min="3" max="3" width="12.85546875" customWidth="1"/>
    <col min="6" max="6" width="50.7109375" customWidth="1"/>
    <col min="7" max="7" width="14" customWidth="1"/>
    <col min="10" max="10" width="46.42578125" customWidth="1"/>
    <col min="11" max="11" width="14.140625" customWidth="1"/>
    <col min="14" max="14" width="38" customWidth="1"/>
    <col min="15" max="15" width="14.28515625" customWidth="1"/>
    <col min="18" max="18" width="54.28515625" customWidth="1"/>
    <col min="19" max="19" width="13.140625" customWidth="1"/>
    <col min="22" max="22" width="51.85546875" customWidth="1"/>
    <col min="23" max="23" width="14.42578125" customWidth="1"/>
    <col min="26" max="26" width="55.5703125" customWidth="1"/>
    <col min="27" max="27" width="17.7109375" customWidth="1"/>
    <col min="29" max="29" width="12.7109375" customWidth="1"/>
    <col min="30" max="30" width="43" customWidth="1"/>
    <col min="31" max="31" width="13.28515625" customWidth="1"/>
  </cols>
  <sheetData>
    <row r="1" spans="1:31" ht="18" x14ac:dyDescent="0.25">
      <c r="A1" s="917" t="s">
        <v>910</v>
      </c>
      <c r="B1" s="917"/>
      <c r="C1" s="917"/>
      <c r="E1" s="917" t="s">
        <v>877</v>
      </c>
      <c r="F1" s="917"/>
      <c r="G1" s="917"/>
      <c r="I1" s="917" t="s">
        <v>785</v>
      </c>
      <c r="J1" s="917"/>
      <c r="K1" s="917"/>
      <c r="M1" s="917" t="s">
        <v>663</v>
      </c>
      <c r="N1" s="917"/>
      <c r="O1" s="917"/>
      <c r="Q1" s="917" t="s">
        <v>617</v>
      </c>
      <c r="R1" s="917"/>
      <c r="S1" s="917"/>
      <c r="U1" s="917" t="s">
        <v>574</v>
      </c>
      <c r="V1" s="917"/>
      <c r="W1" s="917"/>
      <c r="Y1" s="917" t="s">
        <v>513</v>
      </c>
      <c r="Z1" s="917"/>
      <c r="AA1" s="917"/>
      <c r="AC1" s="917" t="s">
        <v>490</v>
      </c>
      <c r="AD1" s="917"/>
      <c r="AE1" s="917"/>
    </row>
    <row r="2" spans="1:31" x14ac:dyDescent="0.25">
      <c r="A2" s="918" t="s">
        <v>403</v>
      </c>
      <c r="B2" s="918"/>
      <c r="C2" s="918"/>
      <c r="E2" s="918" t="s">
        <v>403</v>
      </c>
      <c r="F2" s="918"/>
      <c r="G2" s="918"/>
      <c r="I2" s="918" t="s">
        <v>403</v>
      </c>
      <c r="J2" s="918"/>
      <c r="K2" s="918"/>
      <c r="M2" s="918" t="s">
        <v>403</v>
      </c>
      <c r="N2" s="918"/>
      <c r="O2" s="918"/>
      <c r="Q2" s="918" t="s">
        <v>403</v>
      </c>
      <c r="R2" s="918"/>
      <c r="S2" s="918"/>
      <c r="U2" s="918" t="s">
        <v>403</v>
      </c>
      <c r="V2" s="918"/>
      <c r="W2" s="918"/>
      <c r="Y2" s="918" t="s">
        <v>403</v>
      </c>
      <c r="Z2" s="918"/>
      <c r="AA2" s="918"/>
      <c r="AC2" s="918" t="s">
        <v>403</v>
      </c>
      <c r="AD2" s="918"/>
      <c r="AE2" s="918"/>
    </row>
    <row r="3" spans="1:31" x14ac:dyDescent="0.25">
      <c r="A3" s="919" t="s">
        <v>404</v>
      </c>
      <c r="B3" s="919"/>
      <c r="C3" s="919"/>
      <c r="E3" s="919" t="s">
        <v>404</v>
      </c>
      <c r="F3" s="919"/>
      <c r="G3" s="919"/>
      <c r="I3" s="919" t="s">
        <v>404</v>
      </c>
      <c r="J3" s="919"/>
      <c r="K3" s="919"/>
      <c r="M3" s="919" t="s">
        <v>404</v>
      </c>
      <c r="N3" s="919"/>
      <c r="O3" s="919"/>
      <c r="Q3" s="919" t="s">
        <v>404</v>
      </c>
      <c r="R3" s="919"/>
      <c r="S3" s="919"/>
      <c r="U3" s="919" t="s">
        <v>404</v>
      </c>
      <c r="V3" s="919"/>
      <c r="W3" s="919"/>
      <c r="Y3" s="919" t="s">
        <v>404</v>
      </c>
      <c r="Z3" s="919"/>
      <c r="AA3" s="919"/>
      <c r="AC3" s="919" t="s">
        <v>404</v>
      </c>
      <c r="AD3" s="919"/>
      <c r="AE3" s="919"/>
    </row>
    <row r="4" spans="1:31" x14ac:dyDescent="0.25">
      <c r="A4" s="858"/>
      <c r="B4" s="858"/>
      <c r="C4" s="858"/>
      <c r="E4" s="849"/>
      <c r="F4" s="849"/>
      <c r="G4" s="849"/>
      <c r="I4" s="827"/>
      <c r="J4" s="827"/>
      <c r="K4" s="827"/>
      <c r="M4" s="791"/>
      <c r="N4" s="791"/>
      <c r="O4" s="791"/>
      <c r="Q4" s="783"/>
      <c r="R4" s="783"/>
      <c r="S4" s="783"/>
      <c r="U4" s="778"/>
      <c r="V4" s="778"/>
      <c r="W4" s="778"/>
      <c r="Y4" s="765"/>
      <c r="Z4" s="765"/>
      <c r="AA4" s="765"/>
      <c r="AC4" s="615"/>
      <c r="AD4" s="615"/>
      <c r="AE4" s="615"/>
    </row>
    <row r="5" spans="1:31" ht="15.75" thickBot="1" x14ac:dyDescent="0.3">
      <c r="A5" s="909" t="s">
        <v>405</v>
      </c>
      <c r="B5" s="909"/>
      <c r="C5" s="909"/>
      <c r="E5" s="909" t="s">
        <v>405</v>
      </c>
      <c r="F5" s="909"/>
      <c r="G5" s="909"/>
      <c r="I5" s="909" t="s">
        <v>405</v>
      </c>
      <c r="J5" s="909"/>
      <c r="K5" s="909"/>
      <c r="M5" s="909" t="s">
        <v>405</v>
      </c>
      <c r="N5" s="909"/>
      <c r="O5" s="909"/>
      <c r="Q5" s="909" t="s">
        <v>405</v>
      </c>
      <c r="R5" s="909"/>
      <c r="S5" s="909"/>
      <c r="U5" s="909" t="s">
        <v>405</v>
      </c>
      <c r="V5" s="909"/>
      <c r="W5" s="909"/>
      <c r="Y5" s="909" t="s">
        <v>405</v>
      </c>
      <c r="Z5" s="909"/>
      <c r="AA5" s="909"/>
      <c r="AC5" s="909" t="s">
        <v>405</v>
      </c>
      <c r="AD5" s="909"/>
      <c r="AE5" s="909"/>
    </row>
    <row r="6" spans="1:31" ht="15.75" thickBot="1" x14ac:dyDescent="0.3">
      <c r="A6" s="616" t="s">
        <v>406</v>
      </c>
      <c r="B6" s="617" t="s">
        <v>407</v>
      </c>
      <c r="C6" s="618" t="s">
        <v>408</v>
      </c>
      <c r="E6" s="616" t="s">
        <v>406</v>
      </c>
      <c r="F6" s="617" t="s">
        <v>407</v>
      </c>
      <c r="G6" s="618" t="s">
        <v>408</v>
      </c>
      <c r="I6" s="616" t="s">
        <v>406</v>
      </c>
      <c r="J6" s="617" t="s">
        <v>407</v>
      </c>
      <c r="K6" s="618" t="s">
        <v>408</v>
      </c>
      <c r="M6" s="616" t="s">
        <v>406</v>
      </c>
      <c r="N6" s="617" t="s">
        <v>407</v>
      </c>
      <c r="O6" s="618" t="s">
        <v>408</v>
      </c>
      <c r="Q6" s="616" t="s">
        <v>406</v>
      </c>
      <c r="R6" s="617" t="s">
        <v>407</v>
      </c>
      <c r="S6" s="618" t="s">
        <v>408</v>
      </c>
      <c r="U6" s="616" t="s">
        <v>406</v>
      </c>
      <c r="V6" s="617" t="s">
        <v>407</v>
      </c>
      <c r="W6" s="618" t="s">
        <v>408</v>
      </c>
      <c r="Y6" s="616" t="s">
        <v>406</v>
      </c>
      <c r="Z6" s="617" t="s">
        <v>407</v>
      </c>
      <c r="AA6" s="618" t="s">
        <v>408</v>
      </c>
      <c r="AC6" s="616" t="s">
        <v>406</v>
      </c>
      <c r="AD6" s="617" t="s">
        <v>407</v>
      </c>
      <c r="AE6" s="618" t="s">
        <v>408</v>
      </c>
    </row>
    <row r="7" spans="1:31" ht="15.75" thickBot="1" x14ac:dyDescent="0.3">
      <c r="A7" s="910" t="s">
        <v>409</v>
      </c>
      <c r="B7" s="911"/>
      <c r="C7" s="619">
        <f>SUM(C8:C10)</f>
        <v>0</v>
      </c>
      <c r="E7" s="910" t="s">
        <v>409</v>
      </c>
      <c r="F7" s="911"/>
      <c r="G7" s="619">
        <f>SUM(G8:G10)</f>
        <v>0</v>
      </c>
      <c r="I7" s="910" t="s">
        <v>409</v>
      </c>
      <c r="J7" s="911"/>
      <c r="K7" s="619">
        <f>SUM(K8:K10)</f>
        <v>0</v>
      </c>
      <c r="M7" s="910" t="s">
        <v>409</v>
      </c>
      <c r="N7" s="911"/>
      <c r="O7" s="619">
        <f>SUM(O8:O10)</f>
        <v>0</v>
      </c>
      <c r="Q7" s="910" t="s">
        <v>409</v>
      </c>
      <c r="R7" s="911"/>
      <c r="S7" s="619">
        <f>SUM(S8:S10)</f>
        <v>1545</v>
      </c>
      <c r="U7" s="910" t="s">
        <v>409</v>
      </c>
      <c r="V7" s="911"/>
      <c r="W7" s="619">
        <f>SUM(W8:W10)</f>
        <v>924</v>
      </c>
      <c r="Y7" s="910" t="s">
        <v>409</v>
      </c>
      <c r="Z7" s="911"/>
      <c r="AA7" s="619">
        <f>SUM(AA8:AA10)</f>
        <v>0</v>
      </c>
      <c r="AC7" s="910" t="s">
        <v>409</v>
      </c>
      <c r="AD7" s="911"/>
      <c r="AE7" s="619">
        <f>SUM(AE8:AE10)</f>
        <v>17110</v>
      </c>
    </row>
    <row r="8" spans="1:31" x14ac:dyDescent="0.25">
      <c r="A8" s="620"/>
      <c r="B8" s="621"/>
      <c r="C8" s="622"/>
      <c r="E8" s="620"/>
      <c r="F8" s="621"/>
      <c r="G8" s="622"/>
      <c r="I8" s="620"/>
      <c r="J8" s="621"/>
      <c r="K8" s="622"/>
      <c r="M8" s="620"/>
      <c r="N8" s="621"/>
      <c r="O8" s="622"/>
      <c r="Q8" s="620">
        <v>212</v>
      </c>
      <c r="R8" s="621" t="s">
        <v>618</v>
      </c>
      <c r="S8" s="622">
        <v>1005</v>
      </c>
      <c r="U8" s="620">
        <v>212</v>
      </c>
      <c r="V8" s="621" t="s">
        <v>13</v>
      </c>
      <c r="W8" s="622">
        <f>3-160+306</f>
        <v>149</v>
      </c>
      <c r="Y8" s="620"/>
      <c r="Z8" s="621"/>
      <c r="AA8" s="622"/>
      <c r="AC8" s="620">
        <v>292</v>
      </c>
      <c r="AD8" s="621" t="s">
        <v>463</v>
      </c>
      <c r="AE8" s="622">
        <f>4250-4250+4250</f>
        <v>4250</v>
      </c>
    </row>
    <row r="9" spans="1:31" x14ac:dyDescent="0.25">
      <c r="A9" s="620"/>
      <c r="B9" s="621"/>
      <c r="C9" s="622"/>
      <c r="E9" s="620"/>
      <c r="F9" s="621"/>
      <c r="G9" s="622"/>
      <c r="I9" s="620"/>
      <c r="J9" s="621"/>
      <c r="K9" s="622"/>
      <c r="M9" s="620"/>
      <c r="N9" s="621"/>
      <c r="O9" s="622"/>
      <c r="Q9" s="620">
        <v>292</v>
      </c>
      <c r="R9" s="621" t="s">
        <v>641</v>
      </c>
      <c r="S9" s="622">
        <v>540</v>
      </c>
      <c r="U9" s="620">
        <v>212</v>
      </c>
      <c r="V9" s="621" t="s">
        <v>634</v>
      </c>
      <c r="W9" s="622">
        <f>-204+55</f>
        <v>-149</v>
      </c>
      <c r="Y9" s="620"/>
      <c r="Z9" s="621"/>
      <c r="AA9" s="622"/>
      <c r="AC9" s="620">
        <v>312</v>
      </c>
      <c r="AD9" s="621" t="s">
        <v>335</v>
      </c>
      <c r="AE9" s="622">
        <f>10930+1930</f>
        <v>12860</v>
      </c>
    </row>
    <row r="10" spans="1:31" x14ac:dyDescent="0.25">
      <c r="A10" s="620"/>
      <c r="B10" s="621"/>
      <c r="C10" s="622"/>
      <c r="E10" s="620"/>
      <c r="F10" s="621"/>
      <c r="G10" s="622"/>
      <c r="I10" s="620"/>
      <c r="J10" s="621"/>
      <c r="K10" s="622"/>
      <c r="M10" s="620"/>
      <c r="N10" s="621"/>
      <c r="O10" s="622"/>
      <c r="Q10" s="620"/>
      <c r="R10" s="621"/>
      <c r="S10" s="622"/>
      <c r="U10" s="620">
        <v>292</v>
      </c>
      <c r="V10" s="621" t="s">
        <v>571</v>
      </c>
      <c r="W10" s="622">
        <v>924</v>
      </c>
      <c r="Y10" s="620"/>
      <c r="Z10" s="621"/>
      <c r="AA10" s="622"/>
      <c r="AC10" s="620"/>
      <c r="AD10" s="621"/>
      <c r="AE10" s="622"/>
    </row>
    <row r="11" spans="1:31" ht="15.75" thickBot="1" x14ac:dyDescent="0.3">
      <c r="A11" s="920"/>
      <c r="B11" s="921"/>
      <c r="C11" s="922"/>
      <c r="E11" s="920"/>
      <c r="F11" s="921"/>
      <c r="G11" s="922"/>
      <c r="I11" s="920"/>
      <c r="J11" s="921"/>
      <c r="K11" s="922"/>
      <c r="M11" s="920"/>
      <c r="N11" s="921"/>
      <c r="O11" s="922"/>
      <c r="Q11" s="920"/>
      <c r="R11" s="921"/>
      <c r="S11" s="922"/>
      <c r="U11" s="920"/>
      <c r="V11" s="921"/>
      <c r="W11" s="922"/>
      <c r="Y11" s="920"/>
      <c r="Z11" s="921"/>
      <c r="AA11" s="922"/>
      <c r="AC11" s="920"/>
      <c r="AD11" s="921"/>
      <c r="AE11" s="922"/>
    </row>
    <row r="12" spans="1:31" ht="15.75" thickBot="1" x14ac:dyDescent="0.3">
      <c r="A12" s="912" t="s">
        <v>156</v>
      </c>
      <c r="B12" s="923"/>
      <c r="C12" s="623">
        <f>SUM(C13:C15)</f>
        <v>0</v>
      </c>
      <c r="E12" s="912" t="s">
        <v>156</v>
      </c>
      <c r="F12" s="923"/>
      <c r="G12" s="623">
        <f>SUM(G13:G18)</f>
        <v>0</v>
      </c>
      <c r="I12" s="912" t="s">
        <v>156</v>
      </c>
      <c r="J12" s="923"/>
      <c r="K12" s="623">
        <f>SUM(K13:K18)</f>
        <v>1140300</v>
      </c>
      <c r="M12" s="912" t="s">
        <v>156</v>
      </c>
      <c r="N12" s="923"/>
      <c r="O12" s="623">
        <f>SUM(O13:O15)</f>
        <v>100200</v>
      </c>
      <c r="Q12" s="912" t="s">
        <v>156</v>
      </c>
      <c r="R12" s="923"/>
      <c r="S12" s="623">
        <f>SUM(S13:S13)</f>
        <v>73400</v>
      </c>
      <c r="U12" s="912" t="s">
        <v>156</v>
      </c>
      <c r="V12" s="923"/>
      <c r="W12" s="623">
        <f>SUM(W13:W13)</f>
        <v>0</v>
      </c>
      <c r="Y12" s="912" t="s">
        <v>156</v>
      </c>
      <c r="Z12" s="923"/>
      <c r="AA12" s="623">
        <f>SUM(AA13:AA15)</f>
        <v>29800</v>
      </c>
      <c r="AC12" s="912" t="s">
        <v>156</v>
      </c>
      <c r="AD12" s="923"/>
      <c r="AE12" s="623">
        <f>SUM(AE13:AE15)</f>
        <v>-12180</v>
      </c>
    </row>
    <row r="13" spans="1:31" x14ac:dyDescent="0.25">
      <c r="A13" s="624"/>
      <c r="B13" s="625"/>
      <c r="C13" s="626"/>
      <c r="E13" s="624"/>
      <c r="F13" s="625"/>
      <c r="G13" s="626"/>
      <c r="I13" s="624">
        <v>322</v>
      </c>
      <c r="J13" s="625" t="s">
        <v>786</v>
      </c>
      <c r="K13" s="626">
        <v>9000</v>
      </c>
      <c r="M13" s="624">
        <v>322</v>
      </c>
      <c r="N13" s="625" t="s">
        <v>353</v>
      </c>
      <c r="O13" s="626">
        <f>180+20</f>
        <v>200</v>
      </c>
      <c r="Q13" s="624">
        <v>322</v>
      </c>
      <c r="R13" s="625" t="s">
        <v>624</v>
      </c>
      <c r="S13" s="626">
        <v>73400</v>
      </c>
      <c r="U13" s="624"/>
      <c r="V13" s="625"/>
      <c r="W13" s="626"/>
      <c r="Y13" s="624">
        <v>322</v>
      </c>
      <c r="Z13" s="667" t="s">
        <v>516</v>
      </c>
      <c r="AA13" s="668">
        <v>29800</v>
      </c>
      <c r="AC13" s="624">
        <v>322</v>
      </c>
      <c r="AD13" s="667" t="s">
        <v>511</v>
      </c>
      <c r="AE13" s="668">
        <f>-10930-1930</f>
        <v>-12860</v>
      </c>
    </row>
    <row r="14" spans="1:31" ht="15.75" thickBot="1" x14ac:dyDescent="0.3">
      <c r="A14" s="624"/>
      <c r="B14" s="625"/>
      <c r="C14" s="626"/>
      <c r="E14" s="624"/>
      <c r="F14" s="625"/>
      <c r="G14" s="626"/>
      <c r="I14" s="624">
        <v>322</v>
      </c>
      <c r="J14" s="625" t="s">
        <v>808</v>
      </c>
      <c r="K14" s="626">
        <v>30000</v>
      </c>
      <c r="M14" s="624">
        <v>322</v>
      </c>
      <c r="N14" s="625" t="s">
        <v>675</v>
      </c>
      <c r="O14" s="626">
        <v>100000</v>
      </c>
      <c r="Q14" s="924"/>
      <c r="R14" s="925"/>
      <c r="S14" s="926"/>
      <c r="U14" s="924"/>
      <c r="V14" s="925"/>
      <c r="W14" s="926"/>
      <c r="Y14" s="624"/>
      <c r="Z14" s="667"/>
      <c r="AA14" s="668"/>
      <c r="AC14" s="624">
        <v>322</v>
      </c>
      <c r="AD14" s="667" t="s">
        <v>510</v>
      </c>
      <c r="AE14" s="668">
        <v>680</v>
      </c>
    </row>
    <row r="15" spans="1:31" ht="15.75" thickBot="1" x14ac:dyDescent="0.3">
      <c r="A15" s="924"/>
      <c r="B15" s="925"/>
      <c r="C15" s="926"/>
      <c r="E15" s="624"/>
      <c r="F15" s="625"/>
      <c r="G15" s="626"/>
      <c r="I15" s="624">
        <v>322</v>
      </c>
      <c r="J15" s="625" t="s">
        <v>810</v>
      </c>
      <c r="K15" s="626">
        <v>70000</v>
      </c>
      <c r="M15" s="624"/>
      <c r="N15" s="625"/>
      <c r="O15" s="626"/>
      <c r="Q15" s="914" t="s">
        <v>168</v>
      </c>
      <c r="R15" s="927"/>
      <c r="S15" s="627">
        <f>SUM(S16:S17)</f>
        <v>0</v>
      </c>
      <c r="U15" s="914" t="s">
        <v>168</v>
      </c>
      <c r="V15" s="927"/>
      <c r="W15" s="627">
        <f>SUM(W16:W17)</f>
        <v>0</v>
      </c>
      <c r="Y15" s="624"/>
      <c r="Z15" s="625"/>
      <c r="AA15" s="626"/>
      <c r="AC15" s="624"/>
      <c r="AD15" s="625"/>
      <c r="AE15" s="626"/>
    </row>
    <row r="16" spans="1:31" ht="15.75" thickBot="1" x14ac:dyDescent="0.3">
      <c r="A16" s="914" t="s">
        <v>168</v>
      </c>
      <c r="B16" s="927"/>
      <c r="C16" s="627">
        <f>SUM(C17:C18)</f>
        <v>0</v>
      </c>
      <c r="E16" s="624"/>
      <c r="F16" s="625"/>
      <c r="G16" s="626"/>
      <c r="I16" s="624">
        <v>322</v>
      </c>
      <c r="J16" s="625" t="s">
        <v>809</v>
      </c>
      <c r="K16" s="626">
        <v>200000</v>
      </c>
      <c r="M16" s="924"/>
      <c r="N16" s="925"/>
      <c r="O16" s="926"/>
      <c r="Q16" s="669"/>
      <c r="R16" s="670"/>
      <c r="S16" s="671"/>
      <c r="U16" s="669"/>
      <c r="V16" s="670"/>
      <c r="W16" s="671"/>
      <c r="Y16" s="924"/>
      <c r="Z16" s="925"/>
      <c r="AA16" s="926"/>
      <c r="AC16" s="924"/>
      <c r="AD16" s="925"/>
      <c r="AE16" s="926"/>
    </row>
    <row r="17" spans="1:31" ht="15.75" thickBot="1" x14ac:dyDescent="0.3">
      <c r="A17" s="669"/>
      <c r="B17" s="670"/>
      <c r="C17" s="671"/>
      <c r="E17" s="624"/>
      <c r="F17" s="625"/>
      <c r="G17" s="626"/>
      <c r="I17" s="624">
        <v>322</v>
      </c>
      <c r="J17" s="625" t="s">
        <v>811</v>
      </c>
      <c r="K17" s="626">
        <v>831300</v>
      </c>
      <c r="M17" s="914" t="s">
        <v>168</v>
      </c>
      <c r="N17" s="927"/>
      <c r="O17" s="627">
        <f>SUM(O18:O19)</f>
        <v>305000</v>
      </c>
      <c r="Q17" s="672"/>
      <c r="R17" s="632"/>
      <c r="S17" s="673"/>
      <c r="U17" s="672"/>
      <c r="V17" s="632"/>
      <c r="W17" s="673"/>
      <c r="Y17" s="914" t="s">
        <v>168</v>
      </c>
      <c r="Z17" s="927"/>
      <c r="AA17" s="627">
        <f>SUM(AA18:AA19)</f>
        <v>54025</v>
      </c>
      <c r="AC17" s="914" t="s">
        <v>168</v>
      </c>
      <c r="AD17" s="927"/>
      <c r="AE17" s="627">
        <f>SUM(AE18:AE19)</f>
        <v>0</v>
      </c>
    </row>
    <row r="18" spans="1:31" ht="15.75" thickBot="1" x14ac:dyDescent="0.3">
      <c r="A18" s="672"/>
      <c r="B18" s="632"/>
      <c r="C18" s="673"/>
      <c r="E18" s="924"/>
      <c r="F18" s="925"/>
      <c r="G18" s="926"/>
      <c r="I18" s="924"/>
      <c r="J18" s="925"/>
      <c r="K18" s="926"/>
      <c r="M18" s="669">
        <v>454</v>
      </c>
      <c r="N18" s="670" t="s">
        <v>676</v>
      </c>
      <c r="O18" s="671">
        <v>305000</v>
      </c>
      <c r="Q18" s="905" t="s">
        <v>464</v>
      </c>
      <c r="R18" s="906"/>
      <c r="S18" s="634">
        <f>S7+S12+S15</f>
        <v>74945</v>
      </c>
      <c r="U18" s="905" t="s">
        <v>464</v>
      </c>
      <c r="V18" s="906"/>
      <c r="W18" s="634">
        <f>W7+W12+W15</f>
        <v>924</v>
      </c>
      <c r="Y18" s="669">
        <v>456</v>
      </c>
      <c r="Z18" s="670" t="s">
        <v>575</v>
      </c>
      <c r="AA18" s="671">
        <v>54025</v>
      </c>
      <c r="AC18" s="669"/>
      <c r="AD18" s="670"/>
      <c r="AE18" s="671"/>
    </row>
    <row r="19" spans="1:31" ht="15.75" thickBot="1" x14ac:dyDescent="0.3">
      <c r="A19" s="905" t="s">
        <v>464</v>
      </c>
      <c r="B19" s="906"/>
      <c r="C19" s="634">
        <f>C7+C12+C16</f>
        <v>0</v>
      </c>
      <c r="E19" s="914" t="s">
        <v>168</v>
      </c>
      <c r="F19" s="927"/>
      <c r="G19" s="627">
        <f>SUM(G20:G21)</f>
        <v>0</v>
      </c>
      <c r="I19" s="914" t="s">
        <v>168</v>
      </c>
      <c r="J19" s="927"/>
      <c r="K19" s="627">
        <f>SUM(K20:K21)</f>
        <v>-54025</v>
      </c>
      <c r="M19" s="672"/>
      <c r="N19" s="632"/>
      <c r="O19" s="673"/>
      <c r="Q19" s="635" t="s">
        <v>53</v>
      </c>
      <c r="R19" s="636" t="s">
        <v>410</v>
      </c>
      <c r="S19" s="637"/>
      <c r="U19" s="635" t="s">
        <v>53</v>
      </c>
      <c r="V19" s="636" t="s">
        <v>410</v>
      </c>
      <c r="W19" s="637"/>
      <c r="Y19" s="672"/>
      <c r="Z19" s="632"/>
      <c r="AA19" s="673"/>
      <c r="AC19" s="672"/>
      <c r="AD19" s="632"/>
      <c r="AE19" s="673"/>
    </row>
    <row r="20" spans="1:31" ht="15.75" thickBot="1" x14ac:dyDescent="0.3">
      <c r="A20" s="635" t="s">
        <v>53</v>
      </c>
      <c r="B20" s="636" t="s">
        <v>410</v>
      </c>
      <c r="C20" s="637">
        <v>-320</v>
      </c>
      <c r="E20" s="669"/>
      <c r="F20" s="670"/>
      <c r="G20" s="671"/>
      <c r="I20" s="669">
        <v>456</v>
      </c>
      <c r="J20" s="670" t="s">
        <v>575</v>
      </c>
      <c r="K20" s="671">
        <v>-54025</v>
      </c>
      <c r="M20" s="905" t="s">
        <v>464</v>
      </c>
      <c r="N20" s="906"/>
      <c r="O20" s="634">
        <f>O7+O12+O17</f>
        <v>405200</v>
      </c>
      <c r="Q20" s="638" t="s">
        <v>53</v>
      </c>
      <c r="R20" s="639" t="s">
        <v>423</v>
      </c>
      <c r="S20" s="640"/>
      <c r="U20" s="638" t="s">
        <v>53</v>
      </c>
      <c r="V20" s="639" t="s">
        <v>423</v>
      </c>
      <c r="W20" s="640"/>
      <c r="Y20" s="905" t="s">
        <v>464</v>
      </c>
      <c r="Z20" s="906"/>
      <c r="AA20" s="634">
        <f>AA7+AA12+AA17</f>
        <v>83825</v>
      </c>
      <c r="AC20" s="905" t="s">
        <v>464</v>
      </c>
      <c r="AD20" s="906"/>
      <c r="AE20" s="634">
        <f>AE7+AE12+AE17</f>
        <v>4930</v>
      </c>
    </row>
    <row r="21" spans="1:31" ht="15.75" thickBot="1" x14ac:dyDescent="0.3">
      <c r="A21" s="638" t="s">
        <v>53</v>
      </c>
      <c r="B21" s="639" t="s">
        <v>423</v>
      </c>
      <c r="C21" s="640">
        <v>-466</v>
      </c>
      <c r="E21" s="672"/>
      <c r="F21" s="632"/>
      <c r="G21" s="673"/>
      <c r="I21" s="672"/>
      <c r="J21" s="632"/>
      <c r="K21" s="673"/>
      <c r="M21" s="635" t="s">
        <v>53</v>
      </c>
      <c r="N21" s="636" t="s">
        <v>410</v>
      </c>
      <c r="O21" s="637"/>
      <c r="Q21" s="907" t="s">
        <v>413</v>
      </c>
      <c r="R21" s="908"/>
      <c r="S21" s="642">
        <f>SUM(S18:S20)</f>
        <v>74945</v>
      </c>
      <c r="U21" s="907" t="s">
        <v>413</v>
      </c>
      <c r="V21" s="908"/>
      <c r="W21" s="642">
        <f>SUM(W18:W20)</f>
        <v>924</v>
      </c>
      <c r="Y21" s="635" t="s">
        <v>53</v>
      </c>
      <c r="Z21" s="636" t="s">
        <v>410</v>
      </c>
      <c r="AA21" s="637"/>
      <c r="AC21" s="635" t="s">
        <v>53</v>
      </c>
      <c r="AD21" s="636" t="s">
        <v>410</v>
      </c>
      <c r="AE21" s="637"/>
    </row>
    <row r="22" spans="1:31" ht="15.75" thickBot="1" x14ac:dyDescent="0.3">
      <c r="A22" s="907" t="s">
        <v>413</v>
      </c>
      <c r="B22" s="908"/>
      <c r="C22" s="642">
        <f>SUM(C19:C21)</f>
        <v>-786</v>
      </c>
      <c r="E22" s="905" t="s">
        <v>464</v>
      </c>
      <c r="F22" s="906"/>
      <c r="G22" s="634">
        <f>G7+G12+G19</f>
        <v>0</v>
      </c>
      <c r="I22" s="905" t="s">
        <v>464</v>
      </c>
      <c r="J22" s="906"/>
      <c r="K22" s="634">
        <f>K7+K12+K19</f>
        <v>1086275</v>
      </c>
      <c r="M22" s="638" t="s">
        <v>53</v>
      </c>
      <c r="N22" s="639" t="s">
        <v>423</v>
      </c>
      <c r="O22" s="640"/>
      <c r="R22" s="643"/>
      <c r="S22" s="426"/>
      <c r="V22" s="643"/>
      <c r="W22" s="426"/>
      <c r="Y22" s="638" t="s">
        <v>53</v>
      </c>
      <c r="Z22" s="639" t="s">
        <v>423</v>
      </c>
      <c r="AA22" s="640"/>
      <c r="AC22" s="638" t="s">
        <v>53</v>
      </c>
      <c r="AD22" s="639" t="s">
        <v>423</v>
      </c>
      <c r="AE22" s="640"/>
    </row>
    <row r="23" spans="1:31" ht="15.75" thickBot="1" x14ac:dyDescent="0.3">
      <c r="B23" s="643"/>
      <c r="C23" s="426"/>
      <c r="E23" s="635" t="s">
        <v>53</v>
      </c>
      <c r="F23" s="636" t="s">
        <v>410</v>
      </c>
      <c r="G23" s="637"/>
      <c r="I23" s="635" t="s">
        <v>53</v>
      </c>
      <c r="J23" s="636" t="s">
        <v>410</v>
      </c>
      <c r="K23" s="637"/>
      <c r="M23" s="907" t="s">
        <v>413</v>
      </c>
      <c r="N23" s="908"/>
      <c r="O23" s="642">
        <f>SUM(O20:O22)</f>
        <v>405200</v>
      </c>
      <c r="Q23" s="909" t="s">
        <v>414</v>
      </c>
      <c r="R23" s="909"/>
      <c r="S23" s="909"/>
      <c r="U23" s="909" t="s">
        <v>414</v>
      </c>
      <c r="V23" s="909"/>
      <c r="W23" s="909"/>
      <c r="Y23" s="907" t="s">
        <v>413</v>
      </c>
      <c r="Z23" s="908"/>
      <c r="AA23" s="642">
        <f>SUM(AA20:AA22)</f>
        <v>83825</v>
      </c>
      <c r="AC23" s="907" t="s">
        <v>413</v>
      </c>
      <c r="AD23" s="908"/>
      <c r="AE23" s="642">
        <f>SUM(AE20:AE22)</f>
        <v>4930</v>
      </c>
    </row>
    <row r="24" spans="1:31" ht="15.75" thickBot="1" x14ac:dyDescent="0.3">
      <c r="A24" s="909" t="s">
        <v>414</v>
      </c>
      <c r="B24" s="909"/>
      <c r="C24" s="909"/>
      <c r="E24" s="638" t="s">
        <v>53</v>
      </c>
      <c r="F24" s="639" t="s">
        <v>423</v>
      </c>
      <c r="G24" s="640"/>
      <c r="I24" s="638" t="s">
        <v>53</v>
      </c>
      <c r="J24" s="639" t="s">
        <v>423</v>
      </c>
      <c r="K24" s="640">
        <v>-1000</v>
      </c>
      <c r="N24" s="643"/>
      <c r="O24" s="426"/>
      <c r="Q24" s="644" t="s">
        <v>221</v>
      </c>
      <c r="R24" s="645" t="s">
        <v>415</v>
      </c>
      <c r="S24" s="646" t="s">
        <v>416</v>
      </c>
      <c r="U24" s="644" t="s">
        <v>221</v>
      </c>
      <c r="V24" s="645" t="s">
        <v>415</v>
      </c>
      <c r="W24" s="646" t="s">
        <v>416</v>
      </c>
      <c r="Z24" s="643"/>
      <c r="AA24" s="426"/>
      <c r="AD24" s="643"/>
      <c r="AE24" s="426"/>
    </row>
    <row r="25" spans="1:31" ht="15.75" thickBot="1" x14ac:dyDescent="0.3">
      <c r="A25" s="644" t="s">
        <v>221</v>
      </c>
      <c r="B25" s="645" t="s">
        <v>415</v>
      </c>
      <c r="C25" s="646" t="s">
        <v>416</v>
      </c>
      <c r="E25" s="907" t="s">
        <v>413</v>
      </c>
      <c r="F25" s="908"/>
      <c r="G25" s="642">
        <f>SUM(G22:G24)</f>
        <v>0</v>
      </c>
      <c r="I25" s="907" t="s">
        <v>413</v>
      </c>
      <c r="J25" s="908"/>
      <c r="K25" s="642">
        <f>SUM(K22:K24)</f>
        <v>1085275</v>
      </c>
      <c r="M25" s="909" t="s">
        <v>414</v>
      </c>
      <c r="N25" s="909"/>
      <c r="O25" s="909"/>
      <c r="Q25" s="910" t="s">
        <v>409</v>
      </c>
      <c r="R25" s="911"/>
      <c r="S25" s="647">
        <f>SUM(S26:S28)</f>
        <v>1545</v>
      </c>
      <c r="U25" s="910" t="s">
        <v>409</v>
      </c>
      <c r="V25" s="911"/>
      <c r="W25" s="647">
        <f>SUM(W26:W29)</f>
        <v>924</v>
      </c>
      <c r="Y25" s="909" t="s">
        <v>414</v>
      </c>
      <c r="Z25" s="909"/>
      <c r="AA25" s="909"/>
      <c r="AC25" s="909" t="s">
        <v>414</v>
      </c>
      <c r="AD25" s="909"/>
      <c r="AE25" s="909"/>
    </row>
    <row r="26" spans="1:31" ht="15.75" thickBot="1" x14ac:dyDescent="0.3">
      <c r="A26" s="910" t="s">
        <v>409</v>
      </c>
      <c r="B26" s="911"/>
      <c r="C26" s="647">
        <f>SUM(C27:C28)</f>
        <v>0</v>
      </c>
      <c r="F26" s="643"/>
      <c r="G26" s="426"/>
      <c r="J26" s="643"/>
      <c r="K26" s="426"/>
      <c r="M26" s="644" t="s">
        <v>221</v>
      </c>
      <c r="N26" s="645" t="s">
        <v>415</v>
      </c>
      <c r="O26" s="646" t="s">
        <v>416</v>
      </c>
      <c r="Q26" s="648" t="s">
        <v>96</v>
      </c>
      <c r="R26" s="649" t="s">
        <v>640</v>
      </c>
      <c r="S26" s="622">
        <f>-900-700-55</f>
        <v>-1655</v>
      </c>
      <c r="U26" s="648" t="s">
        <v>119</v>
      </c>
      <c r="V26" s="649" t="s">
        <v>636</v>
      </c>
      <c r="W26" s="622">
        <f>424+500</f>
        <v>924</v>
      </c>
      <c r="Y26" s="644" t="s">
        <v>221</v>
      </c>
      <c r="Z26" s="645" t="s">
        <v>415</v>
      </c>
      <c r="AA26" s="646" t="s">
        <v>416</v>
      </c>
      <c r="AC26" s="644" t="s">
        <v>221</v>
      </c>
      <c r="AD26" s="645" t="s">
        <v>415</v>
      </c>
      <c r="AE26" s="646" t="s">
        <v>416</v>
      </c>
    </row>
    <row r="27" spans="1:31" ht="15.75" thickBot="1" x14ac:dyDescent="0.3">
      <c r="A27" s="648"/>
      <c r="B27" s="649"/>
      <c r="C27" s="622"/>
      <c r="E27" s="909" t="s">
        <v>414</v>
      </c>
      <c r="F27" s="909"/>
      <c r="G27" s="909"/>
      <c r="I27" s="909" t="s">
        <v>414</v>
      </c>
      <c r="J27" s="909"/>
      <c r="K27" s="909"/>
      <c r="M27" s="910" t="s">
        <v>409</v>
      </c>
      <c r="N27" s="911"/>
      <c r="O27" s="647">
        <f>SUM(O28:O34)</f>
        <v>0</v>
      </c>
      <c r="Q27" s="648" t="s">
        <v>113</v>
      </c>
      <c r="R27" s="649" t="s">
        <v>639</v>
      </c>
      <c r="S27" s="622">
        <v>7200</v>
      </c>
      <c r="U27" s="648"/>
      <c r="V27" s="649"/>
      <c r="W27" s="622"/>
      <c r="Y27" s="910" t="s">
        <v>409</v>
      </c>
      <c r="Z27" s="911"/>
      <c r="AA27" s="647">
        <f>SUM(AA28:AA31)</f>
        <v>0</v>
      </c>
      <c r="AC27" s="910" t="s">
        <v>409</v>
      </c>
      <c r="AD27" s="911"/>
      <c r="AE27" s="647">
        <f>SUM(AE28:AE38)</f>
        <v>17110</v>
      </c>
    </row>
    <row r="28" spans="1:31" ht="15.75" thickBot="1" x14ac:dyDescent="0.3">
      <c r="A28" s="648"/>
      <c r="B28" s="649"/>
      <c r="C28" s="622"/>
      <c r="E28" s="644" t="s">
        <v>221</v>
      </c>
      <c r="F28" s="645" t="s">
        <v>415</v>
      </c>
      <c r="G28" s="646" t="s">
        <v>416</v>
      </c>
      <c r="I28" s="644" t="s">
        <v>221</v>
      </c>
      <c r="J28" s="645" t="s">
        <v>415</v>
      </c>
      <c r="K28" s="646" t="s">
        <v>416</v>
      </c>
      <c r="M28" s="648" t="s">
        <v>84</v>
      </c>
      <c r="N28" s="649" t="s">
        <v>678</v>
      </c>
      <c r="O28" s="622">
        <v>-2000</v>
      </c>
      <c r="Q28" s="648" t="s">
        <v>135</v>
      </c>
      <c r="R28" s="649" t="s">
        <v>631</v>
      </c>
      <c r="S28" s="622">
        <v>-4000</v>
      </c>
      <c r="U28" s="648"/>
      <c r="V28" s="649"/>
      <c r="W28" s="622"/>
      <c r="Y28" s="648"/>
      <c r="Z28" s="649"/>
      <c r="AA28" s="622"/>
      <c r="AC28" s="648" t="s">
        <v>63</v>
      </c>
      <c r="AD28" s="649" t="s">
        <v>495</v>
      </c>
      <c r="AE28" s="622">
        <f>-400+400</f>
        <v>0</v>
      </c>
    </row>
    <row r="29" spans="1:31" ht="15.75" thickBot="1" x14ac:dyDescent="0.3">
      <c r="A29" s="650"/>
      <c r="B29" s="651"/>
      <c r="C29" s="652"/>
      <c r="E29" s="910" t="s">
        <v>409</v>
      </c>
      <c r="F29" s="911"/>
      <c r="G29" s="647">
        <f>SUM(G30:G33)</f>
        <v>0</v>
      </c>
      <c r="I29" s="910" t="s">
        <v>409</v>
      </c>
      <c r="J29" s="911"/>
      <c r="K29" s="647">
        <f>SUM(K30:K33)</f>
        <v>0</v>
      </c>
      <c r="M29" s="648" t="s">
        <v>87</v>
      </c>
      <c r="N29" s="649" t="s">
        <v>698</v>
      </c>
      <c r="O29" s="622">
        <f>590+500-255+1165</f>
        <v>2000</v>
      </c>
      <c r="Q29" s="650"/>
      <c r="R29" s="651"/>
      <c r="S29" s="652"/>
      <c r="U29" s="648"/>
      <c r="V29" s="649"/>
      <c r="W29" s="622"/>
      <c r="Y29" s="648" t="s">
        <v>549</v>
      </c>
      <c r="Z29" s="649" t="s">
        <v>550</v>
      </c>
      <c r="AA29" s="622">
        <v>-5300</v>
      </c>
      <c r="AC29" s="648" t="s">
        <v>75</v>
      </c>
      <c r="AD29" s="649" t="s">
        <v>507</v>
      </c>
      <c r="AE29" s="622">
        <v>-2500</v>
      </c>
    </row>
    <row r="30" spans="1:31" ht="15.75" thickBot="1" x14ac:dyDescent="0.3">
      <c r="A30" s="912" t="s">
        <v>156</v>
      </c>
      <c r="B30" s="913"/>
      <c r="C30" s="653">
        <f>SUM(C31:C37)</f>
        <v>0</v>
      </c>
      <c r="E30" s="648" t="s">
        <v>96</v>
      </c>
      <c r="F30" s="649" t="s">
        <v>896</v>
      </c>
      <c r="G30" s="622">
        <f>9000-2000</f>
        <v>7000</v>
      </c>
      <c r="I30" s="648" t="s">
        <v>96</v>
      </c>
      <c r="J30" s="649" t="s">
        <v>813</v>
      </c>
      <c r="K30" s="622">
        <f>1500-1500</f>
        <v>0</v>
      </c>
      <c r="M30" s="648" t="s">
        <v>98</v>
      </c>
      <c r="N30" s="649" t="s">
        <v>697</v>
      </c>
      <c r="O30" s="622">
        <f>-900-100+2000</f>
        <v>1000</v>
      </c>
      <c r="Q30" s="912" t="s">
        <v>156</v>
      </c>
      <c r="R30" s="913"/>
      <c r="S30" s="653">
        <f>SUM(S31:S35)</f>
        <v>73400</v>
      </c>
      <c r="U30" s="650"/>
      <c r="V30" s="651"/>
      <c r="W30" s="652"/>
      <c r="Y30" s="648" t="s">
        <v>125</v>
      </c>
      <c r="Z30" s="649" t="s">
        <v>551</v>
      </c>
      <c r="AA30" s="622">
        <v>5300</v>
      </c>
      <c r="AC30" s="648" t="s">
        <v>89</v>
      </c>
      <c r="AD30" s="649" t="s">
        <v>492</v>
      </c>
      <c r="AE30" s="622">
        <f>-325-750-500</f>
        <v>-1575</v>
      </c>
    </row>
    <row r="31" spans="1:31" ht="15.75" thickBot="1" x14ac:dyDescent="0.3">
      <c r="A31" s="674" t="s">
        <v>82</v>
      </c>
      <c r="B31" s="667" t="s">
        <v>961</v>
      </c>
      <c r="C31" s="668">
        <v>-5800</v>
      </c>
      <c r="E31" s="648" t="s">
        <v>84</v>
      </c>
      <c r="F31" s="649" t="s">
        <v>895</v>
      </c>
      <c r="G31" s="622">
        <v>-7000</v>
      </c>
      <c r="I31" s="648" t="s">
        <v>135</v>
      </c>
      <c r="J31" s="649" t="s">
        <v>812</v>
      </c>
      <c r="K31" s="622">
        <v>-14300</v>
      </c>
      <c r="M31" s="648" t="s">
        <v>111</v>
      </c>
      <c r="N31" s="649" t="s">
        <v>696</v>
      </c>
      <c r="O31" s="622">
        <f>1000-1000+300-300</f>
        <v>0</v>
      </c>
      <c r="Q31" s="674" t="s">
        <v>96</v>
      </c>
      <c r="R31" s="667" t="s">
        <v>357</v>
      </c>
      <c r="S31" s="668">
        <v>-8200</v>
      </c>
      <c r="U31" s="912" t="s">
        <v>156</v>
      </c>
      <c r="V31" s="913"/>
      <c r="W31" s="653">
        <f>SUM(W32:W36)</f>
        <v>0</v>
      </c>
      <c r="Y31" s="648"/>
      <c r="Z31" s="649"/>
      <c r="AA31" s="622"/>
      <c r="AC31" s="648" t="s">
        <v>93</v>
      </c>
      <c r="AD31" s="649" t="s">
        <v>491</v>
      </c>
      <c r="AE31" s="622">
        <f>12860+325+13000</f>
        <v>26185</v>
      </c>
    </row>
    <row r="32" spans="1:31" ht="15.75" thickBot="1" x14ac:dyDescent="0.3">
      <c r="A32" s="674" t="s">
        <v>84</v>
      </c>
      <c r="B32" s="667" t="s">
        <v>962</v>
      </c>
      <c r="C32" s="675">
        <v>3800</v>
      </c>
      <c r="E32" s="648"/>
      <c r="F32" s="649"/>
      <c r="G32" s="622"/>
      <c r="I32" s="648" t="s">
        <v>135</v>
      </c>
      <c r="J32" s="649" t="s">
        <v>781</v>
      </c>
      <c r="K32" s="622">
        <v>14300</v>
      </c>
      <c r="M32" s="648" t="s">
        <v>115</v>
      </c>
      <c r="N32" s="649" t="s">
        <v>694</v>
      </c>
      <c r="O32" s="622">
        <f>-500-100-400+1000</f>
        <v>0</v>
      </c>
      <c r="Q32" s="674" t="s">
        <v>124</v>
      </c>
      <c r="R32" s="667" t="s">
        <v>623</v>
      </c>
      <c r="S32" s="675">
        <v>81600</v>
      </c>
      <c r="U32" s="674" t="s">
        <v>111</v>
      </c>
      <c r="V32" s="667" t="s">
        <v>619</v>
      </c>
      <c r="W32" s="668">
        <v>520</v>
      </c>
      <c r="Y32" s="650"/>
      <c r="Z32" s="651"/>
      <c r="AA32" s="652"/>
      <c r="AC32" s="648" t="s">
        <v>98</v>
      </c>
      <c r="AD32" s="649" t="s">
        <v>503</v>
      </c>
      <c r="AE32" s="622">
        <f>-13000-500-500</f>
        <v>-14000</v>
      </c>
    </row>
    <row r="33" spans="1:31" ht="15.75" thickBot="1" x14ac:dyDescent="0.3">
      <c r="A33" s="674" t="s">
        <v>93</v>
      </c>
      <c r="B33" s="667" t="s">
        <v>965</v>
      </c>
      <c r="C33" s="675">
        <v>2000</v>
      </c>
      <c r="E33" s="648"/>
      <c r="F33" s="649"/>
      <c r="G33" s="622"/>
      <c r="I33" s="648"/>
      <c r="J33" s="649"/>
      <c r="K33" s="622"/>
      <c r="M33" s="648" t="s">
        <v>117</v>
      </c>
      <c r="N33" s="649" t="s">
        <v>674</v>
      </c>
      <c r="O33" s="622">
        <v>-1000</v>
      </c>
      <c r="Q33" s="674"/>
      <c r="R33" s="667"/>
      <c r="S33" s="675"/>
      <c r="T33" s="426">
        <f>S32-S13</f>
        <v>8200</v>
      </c>
      <c r="U33" s="674" t="s">
        <v>111</v>
      </c>
      <c r="V33" s="667" t="s">
        <v>337</v>
      </c>
      <c r="W33" s="675">
        <v>-520</v>
      </c>
      <c r="Y33" s="912" t="s">
        <v>156</v>
      </c>
      <c r="Z33" s="913"/>
      <c r="AA33" s="653">
        <f>SUM(AA34:AA38)</f>
        <v>29800</v>
      </c>
      <c r="AC33" s="648" t="s">
        <v>111</v>
      </c>
      <c r="AD33" s="649" t="s">
        <v>493</v>
      </c>
      <c r="AE33" s="622">
        <v>-2000</v>
      </c>
    </row>
    <row r="34" spans="1:31" ht="15" customHeight="1" thickBot="1" x14ac:dyDescent="0.3">
      <c r="A34" s="674" t="s">
        <v>124</v>
      </c>
      <c r="B34" s="667" t="s">
        <v>963</v>
      </c>
      <c r="C34" s="675">
        <f>14280+2520-16800+10</f>
        <v>10</v>
      </c>
      <c r="E34" s="650"/>
      <c r="F34" s="651"/>
      <c r="G34" s="652"/>
      <c r="I34" s="650"/>
      <c r="J34" s="651"/>
      <c r="K34" s="652"/>
      <c r="M34" s="648"/>
      <c r="N34" s="649"/>
      <c r="O34" s="622"/>
      <c r="Q34" s="674"/>
      <c r="R34" s="667"/>
      <c r="S34" s="675"/>
      <c r="U34" s="674"/>
      <c r="V34" s="667"/>
      <c r="W34" s="675"/>
      <c r="Y34" s="674" t="s">
        <v>96</v>
      </c>
      <c r="Z34" s="667" t="s">
        <v>357</v>
      </c>
      <c r="AA34" s="668">
        <f>-55000-300</f>
        <v>-55300</v>
      </c>
      <c r="AC34" s="648" t="s">
        <v>113</v>
      </c>
      <c r="AD34" s="649" t="s">
        <v>494</v>
      </c>
      <c r="AE34" s="622">
        <v>1700</v>
      </c>
    </row>
    <row r="35" spans="1:31" ht="15.75" thickBot="1" x14ac:dyDescent="0.3">
      <c r="A35" s="674" t="s">
        <v>124</v>
      </c>
      <c r="B35" s="667" t="s">
        <v>964</v>
      </c>
      <c r="C35" s="675">
        <v>-10</v>
      </c>
      <c r="E35" s="912" t="s">
        <v>156</v>
      </c>
      <c r="F35" s="913"/>
      <c r="G35" s="653">
        <f>SUM(G36:G42)</f>
        <v>0</v>
      </c>
      <c r="I35" s="912" t="s">
        <v>156</v>
      </c>
      <c r="J35" s="913"/>
      <c r="K35" s="653">
        <f>SUM(K36:K53)</f>
        <v>1140300</v>
      </c>
      <c r="M35" s="650"/>
      <c r="N35" s="651"/>
      <c r="O35" s="652"/>
      <c r="Q35" s="674"/>
      <c r="R35" s="676"/>
      <c r="S35" s="675"/>
      <c r="U35" s="674"/>
      <c r="V35" s="667"/>
      <c r="W35" s="675"/>
      <c r="Y35" s="674" t="s">
        <v>98</v>
      </c>
      <c r="Z35" s="667" t="s">
        <v>481</v>
      </c>
      <c r="AA35" s="675">
        <v>300</v>
      </c>
      <c r="AC35" s="648" t="s">
        <v>119</v>
      </c>
      <c r="AD35" s="649" t="s">
        <v>505</v>
      </c>
      <c r="AE35" s="622">
        <v>100</v>
      </c>
    </row>
    <row r="36" spans="1:31" ht="15.75" thickBot="1" x14ac:dyDescent="0.3">
      <c r="A36" s="674"/>
      <c r="B36" s="667"/>
      <c r="C36" s="668"/>
      <c r="E36" s="674" t="s">
        <v>93</v>
      </c>
      <c r="F36" s="667" t="s">
        <v>335</v>
      </c>
      <c r="G36" s="668">
        <v>3070</v>
      </c>
      <c r="I36" s="674" t="s">
        <v>82</v>
      </c>
      <c r="J36" s="667" t="s">
        <v>814</v>
      </c>
      <c r="K36" s="668">
        <f>9000+2000</f>
        <v>11000</v>
      </c>
      <c r="M36" s="912" t="s">
        <v>156</v>
      </c>
      <c r="N36" s="913"/>
      <c r="O36" s="653">
        <f>SUM(O37:O45)</f>
        <v>405200</v>
      </c>
      <c r="Q36" s="914" t="s">
        <v>168</v>
      </c>
      <c r="R36" s="915"/>
      <c r="S36" s="627">
        <f>SUM(S37)</f>
        <v>0</v>
      </c>
      <c r="U36" s="674"/>
      <c r="V36" s="676"/>
      <c r="W36" s="675"/>
      <c r="Y36" s="674" t="s">
        <v>111</v>
      </c>
      <c r="Z36" s="667" t="s">
        <v>330</v>
      </c>
      <c r="AA36" s="675">
        <v>29800</v>
      </c>
      <c r="AC36" s="648" t="s">
        <v>119</v>
      </c>
      <c r="AD36" s="649" t="s">
        <v>504</v>
      </c>
      <c r="AE36" s="622">
        <v>500</v>
      </c>
    </row>
    <row r="37" spans="1:31" ht="15.75" thickBot="1" x14ac:dyDescent="0.3">
      <c r="A37" s="674"/>
      <c r="B37" s="625"/>
      <c r="C37" s="626"/>
      <c r="E37" s="674" t="s">
        <v>98</v>
      </c>
      <c r="F37" s="667" t="s">
        <v>805</v>
      </c>
      <c r="G37" s="675">
        <v>6000</v>
      </c>
      <c r="I37" s="674" t="s">
        <v>89</v>
      </c>
      <c r="J37" s="667" t="s">
        <v>816</v>
      </c>
      <c r="K37" s="675">
        <f>35000+15000-50000</f>
        <v>0</v>
      </c>
      <c r="M37" s="674" t="s">
        <v>87</v>
      </c>
      <c r="N37" s="667" t="s">
        <v>328</v>
      </c>
      <c r="O37" s="668">
        <v>3530</v>
      </c>
      <c r="Q37" s="628"/>
      <c r="R37" s="670"/>
      <c r="S37" s="671"/>
      <c r="U37" s="914" t="s">
        <v>168</v>
      </c>
      <c r="V37" s="915"/>
      <c r="W37" s="627">
        <f>SUM(W38)</f>
        <v>0</v>
      </c>
      <c r="Y37" s="674" t="s">
        <v>111</v>
      </c>
      <c r="Z37" s="667" t="s">
        <v>337</v>
      </c>
      <c r="AA37" s="675">
        <f>-1800</f>
        <v>-1800</v>
      </c>
      <c r="AC37" s="648" t="s">
        <v>122</v>
      </c>
      <c r="AD37" s="649" t="s">
        <v>489</v>
      </c>
      <c r="AE37" s="622">
        <f>5000-5000+5000</f>
        <v>5000</v>
      </c>
    </row>
    <row r="38" spans="1:31" ht="15.75" thickBot="1" x14ac:dyDescent="0.3">
      <c r="A38" s="914" t="s">
        <v>168</v>
      </c>
      <c r="B38" s="915"/>
      <c r="C38" s="627">
        <f>SUM(C39)</f>
        <v>0</v>
      </c>
      <c r="E38" s="674" t="s">
        <v>111</v>
      </c>
      <c r="F38" s="667" t="s">
        <v>878</v>
      </c>
      <c r="G38" s="675">
        <v>-29790</v>
      </c>
      <c r="I38" s="674" t="s">
        <v>93</v>
      </c>
      <c r="J38" s="667" t="s">
        <v>806</v>
      </c>
      <c r="K38" s="675">
        <f>30000+300</f>
        <v>30300</v>
      </c>
      <c r="M38" s="674" t="s">
        <v>96</v>
      </c>
      <c r="N38" s="667" t="s">
        <v>357</v>
      </c>
      <c r="O38" s="675">
        <v>142470</v>
      </c>
      <c r="Q38" s="679"/>
      <c r="R38" s="680"/>
      <c r="S38" s="681"/>
      <c r="U38" s="628"/>
      <c r="V38" s="670"/>
      <c r="W38" s="671"/>
      <c r="Y38" s="674" t="s">
        <v>111</v>
      </c>
      <c r="Z38" s="676" t="s">
        <v>548</v>
      </c>
      <c r="AA38" s="675">
        <f>1800+55000</f>
        <v>56800</v>
      </c>
      <c r="AC38" s="648" t="s">
        <v>125</v>
      </c>
      <c r="AD38" s="649" t="s">
        <v>509</v>
      </c>
      <c r="AE38" s="622">
        <v>3700</v>
      </c>
    </row>
    <row r="39" spans="1:31" ht="15.75" thickBot="1" x14ac:dyDescent="0.3">
      <c r="A39" s="628"/>
      <c r="B39" s="670"/>
      <c r="C39" s="671"/>
      <c r="E39" s="674" t="s">
        <v>111</v>
      </c>
      <c r="F39" s="667" t="s">
        <v>802</v>
      </c>
      <c r="G39" s="675">
        <v>19720</v>
      </c>
      <c r="I39" s="674" t="s">
        <v>164</v>
      </c>
      <c r="J39" s="667" t="s">
        <v>815</v>
      </c>
      <c r="K39" s="675">
        <v>-20000</v>
      </c>
      <c r="M39" s="674" t="s">
        <v>301</v>
      </c>
      <c r="N39" s="667" t="s">
        <v>313</v>
      </c>
      <c r="O39" s="675">
        <v>71000</v>
      </c>
      <c r="Q39" s="905" t="s">
        <v>464</v>
      </c>
      <c r="R39" s="906"/>
      <c r="S39" s="634">
        <f>S25+S30+S36</f>
        <v>74945</v>
      </c>
      <c r="U39" s="679"/>
      <c r="V39" s="680"/>
      <c r="W39" s="681"/>
      <c r="Y39" s="914" t="s">
        <v>168</v>
      </c>
      <c r="Z39" s="915"/>
      <c r="AA39" s="627">
        <f>SUM(AA40)</f>
        <v>54025</v>
      </c>
      <c r="AC39" s="650"/>
      <c r="AD39" s="651"/>
      <c r="AE39" s="652"/>
    </row>
    <row r="40" spans="1:31" ht="15.75" thickBot="1" x14ac:dyDescent="0.3">
      <c r="A40" s="679"/>
      <c r="B40" s="680"/>
      <c r="C40" s="681"/>
      <c r="E40" s="674" t="s">
        <v>113</v>
      </c>
      <c r="F40" s="667" t="s">
        <v>325</v>
      </c>
      <c r="G40" s="675">
        <v>1000</v>
      </c>
      <c r="I40" s="674" t="s">
        <v>96</v>
      </c>
      <c r="J40" s="667" t="s">
        <v>247</v>
      </c>
      <c r="K40" s="675">
        <v>-4300</v>
      </c>
      <c r="M40" s="674" t="s">
        <v>113</v>
      </c>
      <c r="N40" s="667" t="s">
        <v>496</v>
      </c>
      <c r="O40" s="675">
        <v>32000</v>
      </c>
      <c r="Q40" s="660" t="s">
        <v>53</v>
      </c>
      <c r="R40" s="661" t="s">
        <v>417</v>
      </c>
      <c r="S40" s="662"/>
      <c r="U40" s="905" t="s">
        <v>464</v>
      </c>
      <c r="V40" s="906"/>
      <c r="W40" s="634">
        <f>W25+W31+W37</f>
        <v>924</v>
      </c>
      <c r="Y40" s="628">
        <v>819</v>
      </c>
      <c r="Z40" s="670" t="s">
        <v>514</v>
      </c>
      <c r="AA40" s="671">
        <v>54025</v>
      </c>
      <c r="AC40" s="912" t="s">
        <v>156</v>
      </c>
      <c r="AD40" s="913"/>
      <c r="AE40" s="653">
        <f>SUM(AE41:AE45)</f>
        <v>-12180</v>
      </c>
    </row>
    <row r="41" spans="1:31" ht="15.75" thickBot="1" x14ac:dyDescent="0.3">
      <c r="A41" s="905" t="s">
        <v>464</v>
      </c>
      <c r="B41" s="906"/>
      <c r="C41" s="634">
        <f>C26+C30+C38</f>
        <v>0</v>
      </c>
      <c r="E41" s="674"/>
      <c r="F41" s="667"/>
      <c r="G41" s="668"/>
      <c r="I41" s="674" t="s">
        <v>96</v>
      </c>
      <c r="J41" s="667" t="s">
        <v>357</v>
      </c>
      <c r="K41" s="675">
        <v>-222630</v>
      </c>
      <c r="M41" s="674" t="s">
        <v>113</v>
      </c>
      <c r="N41" s="667" t="s">
        <v>675</v>
      </c>
      <c r="O41" s="675">
        <f>100000+10000</f>
        <v>110000</v>
      </c>
      <c r="Q41" s="663" t="s">
        <v>53</v>
      </c>
      <c r="R41" s="664" t="s">
        <v>418</v>
      </c>
      <c r="S41" s="665"/>
      <c r="U41" s="660" t="s">
        <v>53</v>
      </c>
      <c r="V41" s="661" t="s">
        <v>417</v>
      </c>
      <c r="W41" s="662"/>
      <c r="Y41" s="679"/>
      <c r="Z41" s="680"/>
      <c r="AA41" s="681"/>
      <c r="AC41" s="674" t="s">
        <v>93</v>
      </c>
      <c r="AD41" s="667" t="s">
        <v>335</v>
      </c>
      <c r="AE41" s="675">
        <f>-10930-1930</f>
        <v>-12860</v>
      </c>
    </row>
    <row r="42" spans="1:31" ht="15.75" thickBot="1" x14ac:dyDescent="0.3">
      <c r="A42" s="660" t="s">
        <v>53</v>
      </c>
      <c r="B42" s="661" t="s">
        <v>417</v>
      </c>
      <c r="C42" s="662">
        <v>-320</v>
      </c>
      <c r="E42" s="674"/>
      <c r="F42" s="625"/>
      <c r="G42" s="626"/>
      <c r="I42" s="674" t="s">
        <v>98</v>
      </c>
      <c r="J42" s="667" t="s">
        <v>805</v>
      </c>
      <c r="K42" s="675">
        <v>73000</v>
      </c>
      <c r="M42" s="674" t="s">
        <v>122</v>
      </c>
      <c r="N42" s="667" t="s">
        <v>695</v>
      </c>
      <c r="O42" s="675">
        <f>-245000+245000+46000</f>
        <v>46000</v>
      </c>
      <c r="Q42" s="907" t="s">
        <v>413</v>
      </c>
      <c r="R42" s="916"/>
      <c r="S42" s="642">
        <f>SUM(S39:S41)</f>
        <v>74945</v>
      </c>
      <c r="U42" s="663" t="s">
        <v>53</v>
      </c>
      <c r="V42" s="664" t="s">
        <v>418</v>
      </c>
      <c r="W42" s="665"/>
      <c r="Y42" s="905" t="s">
        <v>464</v>
      </c>
      <c r="Z42" s="906"/>
      <c r="AA42" s="634">
        <f>AA27+AA33+AA39</f>
        <v>83825</v>
      </c>
      <c r="AC42" s="674" t="s">
        <v>96</v>
      </c>
      <c r="AD42" s="667" t="s">
        <v>247</v>
      </c>
      <c r="AE42" s="675">
        <v>-5700</v>
      </c>
    </row>
    <row r="43" spans="1:31" ht="15.75" thickBot="1" x14ac:dyDescent="0.3">
      <c r="A43" s="663" t="s">
        <v>53</v>
      </c>
      <c r="B43" s="664" t="s">
        <v>418</v>
      </c>
      <c r="C43" s="665">
        <v>-466</v>
      </c>
      <c r="E43" s="914" t="s">
        <v>168</v>
      </c>
      <c r="F43" s="915"/>
      <c r="G43" s="627">
        <f>SUM(G44)</f>
        <v>0</v>
      </c>
      <c r="I43" s="674" t="s">
        <v>111</v>
      </c>
      <c r="J43" s="667" t="s">
        <v>337</v>
      </c>
      <c r="K43" s="675">
        <v>-2680</v>
      </c>
      <c r="M43" s="804" t="s">
        <v>124</v>
      </c>
      <c r="N43" s="667" t="s">
        <v>353</v>
      </c>
      <c r="O43" s="668">
        <v>200</v>
      </c>
      <c r="R43" s="666" t="s">
        <v>419</v>
      </c>
      <c r="S43" s="426">
        <f>S42-S21</f>
        <v>0</v>
      </c>
      <c r="U43" s="907" t="s">
        <v>413</v>
      </c>
      <c r="V43" s="916"/>
      <c r="W43" s="642">
        <f>SUM(W40:W42)</f>
        <v>924</v>
      </c>
      <c r="Y43" s="660" t="s">
        <v>53</v>
      </c>
      <c r="Z43" s="661" t="s">
        <v>417</v>
      </c>
      <c r="AA43" s="662"/>
      <c r="AC43" s="674" t="s">
        <v>96</v>
      </c>
      <c r="AD43" s="667" t="s">
        <v>357</v>
      </c>
      <c r="AE43" s="675">
        <f>-33430-946</f>
        <v>-34376</v>
      </c>
    </row>
    <row r="44" spans="1:31" ht="15.75" thickBot="1" x14ac:dyDescent="0.3">
      <c r="A44" s="907" t="s">
        <v>413</v>
      </c>
      <c r="B44" s="916"/>
      <c r="C44" s="642">
        <f>SUM(C41:C43)</f>
        <v>-786</v>
      </c>
      <c r="E44" s="628"/>
      <c r="F44" s="670"/>
      <c r="G44" s="671"/>
      <c r="I44" s="674" t="s">
        <v>111</v>
      </c>
      <c r="J44" s="667" t="s">
        <v>817</v>
      </c>
      <c r="K44" s="675">
        <v>24000</v>
      </c>
      <c r="M44" s="809"/>
      <c r="N44" s="625"/>
      <c r="O44" s="626"/>
      <c r="V44" s="666" t="s">
        <v>419</v>
      </c>
      <c r="W44" s="426">
        <f>W43-W21</f>
        <v>0</v>
      </c>
      <c r="Y44" s="663" t="s">
        <v>53</v>
      </c>
      <c r="Z44" s="664" t="s">
        <v>418</v>
      </c>
      <c r="AA44" s="665"/>
      <c r="AC44" s="674" t="s">
        <v>113</v>
      </c>
      <c r="AD44" s="676" t="s">
        <v>508</v>
      </c>
      <c r="AE44" s="675">
        <f>5700+33430+680+946</f>
        <v>40756</v>
      </c>
    </row>
    <row r="45" spans="1:31" ht="15.75" thickBot="1" x14ac:dyDescent="0.3">
      <c r="B45" s="666" t="s">
        <v>419</v>
      </c>
      <c r="C45" s="426">
        <f>C44-C22</f>
        <v>0</v>
      </c>
      <c r="E45" s="679"/>
      <c r="F45" s="680"/>
      <c r="G45" s="681"/>
      <c r="I45" s="674" t="s">
        <v>111</v>
      </c>
      <c r="J45" s="667" t="s">
        <v>802</v>
      </c>
      <c r="K45" s="675">
        <f>200000+2280</f>
        <v>202280</v>
      </c>
      <c r="M45" s="674"/>
      <c r="N45" s="625"/>
      <c r="O45" s="626"/>
      <c r="Y45" s="907" t="s">
        <v>413</v>
      </c>
      <c r="Z45" s="916"/>
      <c r="AA45" s="642">
        <f>SUM(AA42:AA44)</f>
        <v>83825</v>
      </c>
      <c r="AC45" s="674"/>
      <c r="AD45" s="676"/>
      <c r="AE45" s="675"/>
    </row>
    <row r="46" spans="1:31" ht="15.75" thickBot="1" x14ac:dyDescent="0.3">
      <c r="B46" s="666"/>
      <c r="C46" s="426"/>
      <c r="E46" s="905" t="s">
        <v>464</v>
      </c>
      <c r="F46" s="906"/>
      <c r="G46" s="634">
        <f>G29+G35+G43</f>
        <v>0</v>
      </c>
      <c r="I46" s="674" t="s">
        <v>113</v>
      </c>
      <c r="J46" s="667" t="s">
        <v>782</v>
      </c>
      <c r="K46" s="675">
        <v>4900</v>
      </c>
      <c r="M46" s="914" t="s">
        <v>168</v>
      </c>
      <c r="N46" s="915"/>
      <c r="O46" s="627">
        <f>SUM(O47)</f>
        <v>0</v>
      </c>
      <c r="Q46" s="613" t="s">
        <v>664</v>
      </c>
      <c r="Z46" s="666" t="s">
        <v>419</v>
      </c>
      <c r="AA46" s="426">
        <f>AA45-AA23</f>
        <v>0</v>
      </c>
      <c r="AC46" s="914" t="s">
        <v>168</v>
      </c>
      <c r="AD46" s="915"/>
      <c r="AE46" s="627">
        <f>SUM(AE47)</f>
        <v>0</v>
      </c>
    </row>
    <row r="47" spans="1:31" x14ac:dyDescent="0.25">
      <c r="A47" s="613" t="s">
        <v>944</v>
      </c>
      <c r="E47" s="660" t="s">
        <v>53</v>
      </c>
      <c r="F47" s="661" t="s">
        <v>417</v>
      </c>
      <c r="G47" s="662"/>
      <c r="I47" s="674" t="s">
        <v>113</v>
      </c>
      <c r="J47" s="667" t="s">
        <v>329</v>
      </c>
      <c r="K47" s="675">
        <v>-15000</v>
      </c>
      <c r="M47" s="628"/>
      <c r="N47" s="670"/>
      <c r="O47" s="671"/>
      <c r="Q47" t="s">
        <v>420</v>
      </c>
      <c r="U47" s="613" t="s">
        <v>584</v>
      </c>
      <c r="AC47" s="628"/>
      <c r="AD47" s="677"/>
      <c r="AE47" s="678"/>
    </row>
    <row r="48" spans="1:31" ht="15.75" thickBot="1" x14ac:dyDescent="0.3">
      <c r="A48" t="s">
        <v>420</v>
      </c>
      <c r="C48" s="426"/>
      <c r="E48" s="663" t="s">
        <v>53</v>
      </c>
      <c r="F48" s="664" t="s">
        <v>418</v>
      </c>
      <c r="G48" s="665"/>
      <c r="I48" s="674" t="s">
        <v>113</v>
      </c>
      <c r="J48" s="667" t="s">
        <v>325</v>
      </c>
      <c r="K48" s="675">
        <v>175400</v>
      </c>
      <c r="M48" s="679"/>
      <c r="N48" s="680"/>
      <c r="O48" s="681"/>
      <c r="U48" t="s">
        <v>420</v>
      </c>
      <c r="AC48" s="679"/>
      <c r="AD48" s="680"/>
      <c r="AE48" s="681"/>
    </row>
    <row r="49" spans="5:31" ht="15.75" thickBot="1" x14ac:dyDescent="0.3">
      <c r="E49" s="907" t="s">
        <v>413</v>
      </c>
      <c r="F49" s="916"/>
      <c r="G49" s="642">
        <f>SUM(G46:G48)</f>
        <v>0</v>
      </c>
      <c r="I49" s="674" t="s">
        <v>122</v>
      </c>
      <c r="J49" s="667" t="s">
        <v>780</v>
      </c>
      <c r="K49" s="675">
        <v>7300</v>
      </c>
      <c r="M49" s="905" t="s">
        <v>464</v>
      </c>
      <c r="N49" s="906"/>
      <c r="O49" s="634">
        <f>O27+O36+O46</f>
        <v>405200</v>
      </c>
      <c r="Y49" s="613" t="s">
        <v>552</v>
      </c>
      <c r="AC49" s="905" t="s">
        <v>464</v>
      </c>
      <c r="AD49" s="906"/>
      <c r="AE49" s="634">
        <f>AE27+AE40+AE46</f>
        <v>4930</v>
      </c>
    </row>
    <row r="50" spans="5:31" x14ac:dyDescent="0.25">
      <c r="F50" s="666" t="s">
        <v>419</v>
      </c>
      <c r="G50" s="426">
        <f>G49-G25</f>
        <v>0</v>
      </c>
      <c r="I50" s="804" t="s">
        <v>122</v>
      </c>
      <c r="J50" s="667" t="s">
        <v>801</v>
      </c>
      <c r="K50" s="675">
        <v>39430</v>
      </c>
      <c r="M50" s="660" t="s">
        <v>53</v>
      </c>
      <c r="N50" s="661" t="s">
        <v>417</v>
      </c>
      <c r="O50" s="662"/>
      <c r="Y50" t="s">
        <v>420</v>
      </c>
      <c r="AC50" s="660" t="s">
        <v>53</v>
      </c>
      <c r="AD50" s="661" t="s">
        <v>417</v>
      </c>
      <c r="AE50" s="662"/>
    </row>
    <row r="51" spans="5:31" ht="15.75" thickBot="1" x14ac:dyDescent="0.3">
      <c r="F51" s="666"/>
      <c r="G51" s="426"/>
      <c r="I51" s="809" t="s">
        <v>124</v>
      </c>
      <c r="J51" s="625" t="s">
        <v>797</v>
      </c>
      <c r="K51" s="668">
        <v>6000</v>
      </c>
      <c r="M51" s="663" t="s">
        <v>53</v>
      </c>
      <c r="N51" s="664" t="s">
        <v>418</v>
      </c>
      <c r="O51" s="665"/>
      <c r="AC51" s="663" t="s">
        <v>53</v>
      </c>
      <c r="AD51" s="664" t="s">
        <v>418</v>
      </c>
      <c r="AE51" s="665"/>
    </row>
    <row r="52" spans="5:31" ht="15.75" thickBot="1" x14ac:dyDescent="0.3">
      <c r="E52" s="613" t="s">
        <v>899</v>
      </c>
      <c r="I52" s="809" t="s">
        <v>125</v>
      </c>
      <c r="J52" s="625" t="s">
        <v>775</v>
      </c>
      <c r="K52" s="626">
        <v>831300</v>
      </c>
      <c r="M52" s="907" t="s">
        <v>413</v>
      </c>
      <c r="N52" s="916"/>
      <c r="O52" s="642">
        <f>SUM(O49:O51)</f>
        <v>405200</v>
      </c>
      <c r="AC52" s="907" t="s">
        <v>413</v>
      </c>
      <c r="AD52" s="916"/>
      <c r="AE52" s="642">
        <f>SUM(AE49:AE51)</f>
        <v>4930</v>
      </c>
    </row>
    <row r="53" spans="5:31" ht="15.75" thickBot="1" x14ac:dyDescent="0.3">
      <c r="E53" t="s">
        <v>420</v>
      </c>
      <c r="G53" s="426"/>
      <c r="I53" s="674"/>
      <c r="J53" s="625"/>
      <c r="K53" s="626"/>
      <c r="N53" s="666" t="s">
        <v>419</v>
      </c>
      <c r="O53" s="426">
        <f>O52-O23</f>
        <v>0</v>
      </c>
      <c r="AD53" s="666" t="s">
        <v>419</v>
      </c>
      <c r="AE53" s="426">
        <f>AE52-AE23</f>
        <v>0</v>
      </c>
    </row>
    <row r="54" spans="5:31" ht="15.75" thickBot="1" x14ac:dyDescent="0.3">
      <c r="I54" s="914" t="s">
        <v>168</v>
      </c>
      <c r="J54" s="915"/>
      <c r="K54" s="627">
        <f>SUM(K55)</f>
        <v>-54025</v>
      </c>
      <c r="N54" s="666"/>
      <c r="O54" s="426"/>
    </row>
    <row r="55" spans="5:31" x14ac:dyDescent="0.25">
      <c r="I55" s="628">
        <v>819</v>
      </c>
      <c r="J55" s="670" t="s">
        <v>778</v>
      </c>
      <c r="K55" s="671">
        <v>-54025</v>
      </c>
      <c r="M55" s="613" t="s">
        <v>692</v>
      </c>
    </row>
    <row r="56" spans="5:31" ht="15.75" thickBot="1" x14ac:dyDescent="0.3">
      <c r="I56" s="679"/>
      <c r="J56" s="680"/>
      <c r="K56" s="681"/>
      <c r="M56" t="s">
        <v>420</v>
      </c>
      <c r="AC56" s="613" t="s">
        <v>517</v>
      </c>
    </row>
    <row r="57" spans="5:31" ht="15.75" thickBot="1" x14ac:dyDescent="0.3">
      <c r="I57" s="905" t="s">
        <v>464</v>
      </c>
      <c r="J57" s="906"/>
      <c r="K57" s="634">
        <f>K29+K35+K54</f>
        <v>1086275</v>
      </c>
      <c r="AC57" t="s">
        <v>420</v>
      </c>
    </row>
    <row r="58" spans="5:31" x14ac:dyDescent="0.25">
      <c r="I58" s="660" t="s">
        <v>53</v>
      </c>
      <c r="J58" s="661" t="s">
        <v>417</v>
      </c>
      <c r="K58" s="662"/>
    </row>
    <row r="59" spans="5:31" ht="15.75" thickBot="1" x14ac:dyDescent="0.3">
      <c r="I59" s="663" t="s">
        <v>53</v>
      </c>
      <c r="J59" s="664" t="s">
        <v>418</v>
      </c>
      <c r="K59" s="665">
        <v>-1000</v>
      </c>
    </row>
    <row r="60" spans="5:31" ht="15.75" thickBot="1" x14ac:dyDescent="0.3">
      <c r="I60" s="907" t="s">
        <v>413</v>
      </c>
      <c r="J60" s="916"/>
      <c r="K60" s="642">
        <f>SUM(K57:K59)</f>
        <v>1085275</v>
      </c>
    </row>
    <row r="61" spans="5:31" x14ac:dyDescent="0.25">
      <c r="J61" s="666" t="s">
        <v>419</v>
      </c>
      <c r="K61" s="426">
        <f>K60-K25</f>
        <v>0</v>
      </c>
    </row>
    <row r="62" spans="5:31" x14ac:dyDescent="0.25">
      <c r="J62" s="666"/>
      <c r="K62" s="426"/>
    </row>
    <row r="63" spans="5:31" x14ac:dyDescent="0.25">
      <c r="I63" s="613" t="s">
        <v>795</v>
      </c>
    </row>
    <row r="64" spans="5:31" x14ac:dyDescent="0.25">
      <c r="I64" t="s">
        <v>420</v>
      </c>
    </row>
  </sheetData>
  <sortState ref="A31:C35">
    <sortCondition ref="A31"/>
  </sortState>
  <mergeCells count="136">
    <mergeCell ref="AC52:AD52"/>
    <mergeCell ref="AC25:AE25"/>
    <mergeCell ref="AC1:AE1"/>
    <mergeCell ref="AC2:AE2"/>
    <mergeCell ref="AC3:AE3"/>
    <mergeCell ref="AC5:AE5"/>
    <mergeCell ref="AC7:AD7"/>
    <mergeCell ref="AC11:AE11"/>
    <mergeCell ref="AC12:AD12"/>
    <mergeCell ref="AC16:AE16"/>
    <mergeCell ref="AC17:AD17"/>
    <mergeCell ref="AC20:AD20"/>
    <mergeCell ref="AC23:AD23"/>
    <mergeCell ref="Y1:AA1"/>
    <mergeCell ref="Y2:AA2"/>
    <mergeCell ref="Y3:AA3"/>
    <mergeCell ref="Y5:AA5"/>
    <mergeCell ref="Y7:Z7"/>
    <mergeCell ref="AC27:AD27"/>
    <mergeCell ref="AC40:AD40"/>
    <mergeCell ref="AC46:AD46"/>
    <mergeCell ref="AC49:AD49"/>
    <mergeCell ref="Y42:Z42"/>
    <mergeCell ref="Y45:Z45"/>
    <mergeCell ref="Y23:Z23"/>
    <mergeCell ref="Y25:AA25"/>
    <mergeCell ref="Y27:Z27"/>
    <mergeCell ref="Y33:Z33"/>
    <mergeCell ref="Y39:Z39"/>
    <mergeCell ref="Y11:AA11"/>
    <mergeCell ref="Y12:Z12"/>
    <mergeCell ref="Y16:AA16"/>
    <mergeCell ref="Y17:Z17"/>
    <mergeCell ref="Y20:Z20"/>
    <mergeCell ref="Q1:S1"/>
    <mergeCell ref="Q2:S2"/>
    <mergeCell ref="Q3:S3"/>
    <mergeCell ref="Q5:S5"/>
    <mergeCell ref="Q7:R7"/>
    <mergeCell ref="U40:V40"/>
    <mergeCell ref="U43:V43"/>
    <mergeCell ref="U21:V21"/>
    <mergeCell ref="U23:W23"/>
    <mergeCell ref="U25:V25"/>
    <mergeCell ref="U31:V31"/>
    <mergeCell ref="U37:V37"/>
    <mergeCell ref="U11:W11"/>
    <mergeCell ref="U12:V12"/>
    <mergeCell ref="U14:W14"/>
    <mergeCell ref="U15:V15"/>
    <mergeCell ref="U18:V18"/>
    <mergeCell ref="U1:W1"/>
    <mergeCell ref="U2:W2"/>
    <mergeCell ref="U3:W3"/>
    <mergeCell ref="U5:W5"/>
    <mergeCell ref="U7:V7"/>
    <mergeCell ref="Q39:R39"/>
    <mergeCell ref="Q42:R42"/>
    <mergeCell ref="Q21:R21"/>
    <mergeCell ref="Q23:S23"/>
    <mergeCell ref="Q25:R25"/>
    <mergeCell ref="Q30:R30"/>
    <mergeCell ref="Q36:R36"/>
    <mergeCell ref="Q11:S11"/>
    <mergeCell ref="Q12:R12"/>
    <mergeCell ref="Q14:S14"/>
    <mergeCell ref="Q15:R15"/>
    <mergeCell ref="Q18:R18"/>
    <mergeCell ref="I1:K1"/>
    <mergeCell ref="I2:K2"/>
    <mergeCell ref="I3:K3"/>
    <mergeCell ref="I5:K5"/>
    <mergeCell ref="I7:J7"/>
    <mergeCell ref="M49:N49"/>
    <mergeCell ref="M52:N52"/>
    <mergeCell ref="M23:N23"/>
    <mergeCell ref="M25:O25"/>
    <mergeCell ref="M27:N27"/>
    <mergeCell ref="M36:N36"/>
    <mergeCell ref="M46:N46"/>
    <mergeCell ref="M11:O11"/>
    <mergeCell ref="M12:N12"/>
    <mergeCell ref="M16:O16"/>
    <mergeCell ref="M17:N17"/>
    <mergeCell ref="M20:N20"/>
    <mergeCell ref="M1:O1"/>
    <mergeCell ref="M2:O2"/>
    <mergeCell ref="M3:O3"/>
    <mergeCell ref="M5:O5"/>
    <mergeCell ref="M7:N7"/>
    <mergeCell ref="I57:J57"/>
    <mergeCell ref="I60:J60"/>
    <mergeCell ref="I25:J25"/>
    <mergeCell ref="I27:K27"/>
    <mergeCell ref="I29:J29"/>
    <mergeCell ref="I35:J35"/>
    <mergeCell ref="I54:J54"/>
    <mergeCell ref="I11:K11"/>
    <mergeCell ref="I12:J12"/>
    <mergeCell ref="I18:K18"/>
    <mergeCell ref="I19:J19"/>
    <mergeCell ref="I22:J22"/>
    <mergeCell ref="E22:F22"/>
    <mergeCell ref="E25:F25"/>
    <mergeCell ref="E27:G27"/>
    <mergeCell ref="E29:F29"/>
    <mergeCell ref="E35:F35"/>
    <mergeCell ref="E43:F43"/>
    <mergeCell ref="E46:F46"/>
    <mergeCell ref="E49:F49"/>
    <mergeCell ref="E1:G1"/>
    <mergeCell ref="E2:G2"/>
    <mergeCell ref="E3:G3"/>
    <mergeCell ref="E5:G5"/>
    <mergeCell ref="E7:F7"/>
    <mergeCell ref="E11:G11"/>
    <mergeCell ref="E12:F12"/>
    <mergeCell ref="E18:G18"/>
    <mergeCell ref="E19:F19"/>
    <mergeCell ref="A19:B19"/>
    <mergeCell ref="A22:B22"/>
    <mergeCell ref="A24:C24"/>
    <mergeCell ref="A26:B26"/>
    <mergeCell ref="A30:B30"/>
    <mergeCell ref="A38:B38"/>
    <mergeCell ref="A41:B41"/>
    <mergeCell ref="A44:B44"/>
    <mergeCell ref="A1:C1"/>
    <mergeCell ref="A2:C2"/>
    <mergeCell ref="A3:C3"/>
    <mergeCell ref="A5:C5"/>
    <mergeCell ref="A7:B7"/>
    <mergeCell ref="A11:C11"/>
    <mergeCell ref="A12:B12"/>
    <mergeCell ref="A15:C15"/>
    <mergeCell ref="A16:B16"/>
  </mergeCells>
  <pageMargins left="0.7" right="0.7" top="0.75" bottom="0.75" header="0.3" footer="0.3"/>
  <pageSetup paperSize="9" scale="1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0B752-5874-43D0-82EB-9CA1EEBF2817}">
  <sheetPr>
    <pageSetUpPr fitToPage="1"/>
  </sheetPr>
  <dimension ref="A1:P406"/>
  <sheetViews>
    <sheetView zoomScale="110" zoomScaleNormal="110" workbookViewId="0">
      <selection sqref="A1:I1"/>
    </sheetView>
  </sheetViews>
  <sheetFormatPr defaultRowHeight="15" x14ac:dyDescent="0.25"/>
  <cols>
    <col min="1" max="1" width="8" customWidth="1"/>
    <col min="2" max="2" width="50.5703125" customWidth="1"/>
    <col min="3" max="3" width="14" bestFit="1" customWidth="1"/>
    <col min="4" max="4" width="10.5703125" bestFit="1" customWidth="1"/>
    <col min="5" max="7" width="11.5703125" customWidth="1"/>
    <col min="8" max="8" width="14.28515625" customWidth="1"/>
    <col min="10" max="10" width="9.85546875" customWidth="1"/>
    <col min="11" max="12" width="10.5703125" customWidth="1"/>
    <col min="14" max="14" width="63.140625" customWidth="1"/>
    <col min="15" max="15" width="13.42578125" customWidth="1"/>
    <col min="16" max="16" width="17.7109375" customWidth="1"/>
  </cols>
  <sheetData>
    <row r="1" spans="1:16" ht="18" x14ac:dyDescent="0.25">
      <c r="A1" s="928" t="s">
        <v>331</v>
      </c>
      <c r="B1" s="928"/>
      <c r="C1" s="928"/>
      <c r="D1" s="928"/>
      <c r="E1" s="928"/>
      <c r="F1" s="928"/>
      <c r="G1" s="928"/>
      <c r="H1" s="928"/>
      <c r="I1" s="928"/>
    </row>
    <row r="2" spans="1:16" ht="15.75" thickBot="1" x14ac:dyDescent="0.3">
      <c r="A2" s="427"/>
      <c r="B2" s="427"/>
      <c r="C2" s="427"/>
      <c r="D2" s="427"/>
      <c r="E2" s="427"/>
      <c r="F2" s="427"/>
      <c r="G2" s="427"/>
      <c r="H2" s="427"/>
      <c r="I2" s="427"/>
      <c r="J2" s="427"/>
    </row>
    <row r="3" spans="1:16" ht="45.75" thickBot="1" x14ac:dyDescent="0.3">
      <c r="A3" s="428" t="s">
        <v>221</v>
      </c>
      <c r="B3" s="428" t="s">
        <v>222</v>
      </c>
      <c r="C3" s="429" t="s">
        <v>223</v>
      </c>
      <c r="D3" s="429" t="s">
        <v>310</v>
      </c>
      <c r="E3" s="429" t="s">
        <v>316</v>
      </c>
      <c r="F3" s="429" t="s">
        <v>224</v>
      </c>
      <c r="G3" s="429" t="s">
        <v>338</v>
      </c>
      <c r="H3" s="429" t="s">
        <v>235</v>
      </c>
      <c r="I3" s="536" t="s">
        <v>311</v>
      </c>
      <c r="J3" s="547" t="s">
        <v>225</v>
      </c>
      <c r="L3" t="s">
        <v>339</v>
      </c>
      <c r="N3" s="929" t="s">
        <v>226</v>
      </c>
      <c r="O3" s="930"/>
      <c r="P3" s="931"/>
    </row>
    <row r="4" spans="1:16" ht="16.5" thickBot="1" x14ac:dyDescent="0.3">
      <c r="A4" s="737" t="s">
        <v>82</v>
      </c>
      <c r="B4" s="738" t="s">
        <v>229</v>
      </c>
      <c r="C4" s="774">
        <f>30000-5800</f>
        <v>24200</v>
      </c>
      <c r="D4" s="739"/>
      <c r="E4" s="739"/>
      <c r="F4" s="774">
        <f>30000-5800</f>
        <v>24200</v>
      </c>
      <c r="G4" s="739"/>
      <c r="H4" s="739"/>
      <c r="I4" s="739"/>
      <c r="J4" s="551">
        <f>SUM(D4:I4)</f>
        <v>24200</v>
      </c>
      <c r="K4" s="431">
        <f>C4-J4</f>
        <v>0</v>
      </c>
      <c r="L4" s="534"/>
      <c r="N4" s="432" t="s">
        <v>227</v>
      </c>
      <c r="O4" s="540" t="s">
        <v>228</v>
      </c>
      <c r="P4" s="541" t="s">
        <v>317</v>
      </c>
    </row>
    <row r="5" spans="1:16" ht="15.75" x14ac:dyDescent="0.25">
      <c r="A5" s="433" t="s">
        <v>82</v>
      </c>
      <c r="B5" s="807" t="s">
        <v>818</v>
      </c>
      <c r="C5" s="270">
        <v>11000</v>
      </c>
      <c r="D5" s="270">
        <v>9000</v>
      </c>
      <c r="E5" s="270"/>
      <c r="F5" s="270">
        <v>2000</v>
      </c>
      <c r="G5" s="270"/>
      <c r="H5" s="270"/>
      <c r="I5" s="270"/>
      <c r="J5" s="548">
        <f>SUM(D5:I5)</f>
        <v>11000</v>
      </c>
      <c r="K5" s="431">
        <f>C5-J5</f>
        <v>0</v>
      </c>
      <c r="L5" s="534"/>
      <c r="N5" s="437" t="s">
        <v>327</v>
      </c>
      <c r="O5" s="441">
        <f>20000-500-16700+2276-2000-2700</f>
        <v>376</v>
      </c>
      <c r="P5" s="543"/>
    </row>
    <row r="6" spans="1:16" ht="16.5" thickBot="1" x14ac:dyDescent="0.3">
      <c r="A6" s="735" t="s">
        <v>82</v>
      </c>
      <c r="B6" s="853" t="s">
        <v>163</v>
      </c>
      <c r="C6" s="274">
        <v>1500</v>
      </c>
      <c r="D6" s="274"/>
      <c r="E6" s="274"/>
      <c r="F6" s="274">
        <v>1500</v>
      </c>
      <c r="G6" s="274"/>
      <c r="H6" s="274"/>
      <c r="I6" s="274"/>
      <c r="J6" s="548">
        <f t="shared" ref="J6:J9" si="0">SUM(D6:I6)</f>
        <v>1500</v>
      </c>
      <c r="K6" s="431">
        <f t="shared" ref="K6:K31" si="1">C6-J6</f>
        <v>0</v>
      </c>
      <c r="L6" s="533">
        <f>SUM(C4:C6)</f>
        <v>36700</v>
      </c>
      <c r="N6" s="437" t="s">
        <v>318</v>
      </c>
      <c r="O6" s="435">
        <f>5000+10000+1500+200-6276-1000+15000</f>
        <v>24424</v>
      </c>
      <c r="P6" s="542">
        <f>4400+2400+6600-6276</f>
        <v>7124</v>
      </c>
    </row>
    <row r="7" spans="1:16" ht="15.75" x14ac:dyDescent="0.25">
      <c r="A7" s="747" t="s">
        <v>84</v>
      </c>
      <c r="B7" s="867" t="s">
        <v>991</v>
      </c>
      <c r="C7" s="742">
        <v>3800</v>
      </c>
      <c r="D7" s="276"/>
      <c r="E7" s="276"/>
      <c r="F7" s="742">
        <v>3800</v>
      </c>
      <c r="G7" s="276"/>
      <c r="H7" s="276"/>
      <c r="I7" s="276"/>
      <c r="J7" s="548">
        <f t="shared" ref="J7" si="2">SUM(D7:I7)</f>
        <v>3800</v>
      </c>
      <c r="K7" s="431">
        <f t="shared" ref="K7" si="3">C7-J7</f>
        <v>0</v>
      </c>
      <c r="L7" s="533"/>
      <c r="N7" s="437" t="s">
        <v>319</v>
      </c>
      <c r="O7" s="441">
        <v>2000</v>
      </c>
      <c r="P7" s="543"/>
    </row>
    <row r="8" spans="1:16" ht="15.75" x14ac:dyDescent="0.25">
      <c r="A8" s="438" t="s">
        <v>87</v>
      </c>
      <c r="B8" s="537" t="s">
        <v>328</v>
      </c>
      <c r="C8" s="279">
        <f>151200+3530</f>
        <v>154730</v>
      </c>
      <c r="D8" s="279">
        <v>138200</v>
      </c>
      <c r="E8" s="279"/>
      <c r="F8" s="279">
        <f>13000+3530</f>
        <v>16530</v>
      </c>
      <c r="G8" s="279"/>
      <c r="H8" s="279"/>
      <c r="I8" s="279"/>
      <c r="J8" s="548">
        <f t="shared" si="0"/>
        <v>154730</v>
      </c>
      <c r="K8" s="431">
        <f t="shared" si="1"/>
        <v>0</v>
      </c>
      <c r="L8" s="534"/>
      <c r="N8" s="437" t="s">
        <v>506</v>
      </c>
      <c r="O8" s="435">
        <v>500</v>
      </c>
      <c r="P8" s="542" t="s">
        <v>798</v>
      </c>
    </row>
    <row r="9" spans="1:16" ht="15.75" x14ac:dyDescent="0.25">
      <c r="A9" s="433" t="s">
        <v>89</v>
      </c>
      <c r="B9" s="283" t="s">
        <v>800</v>
      </c>
      <c r="C9" s="270">
        <f>100000-50000</f>
        <v>50000</v>
      </c>
      <c r="D9" s="270">
        <v>0</v>
      </c>
      <c r="E9" s="270"/>
      <c r="F9" s="270">
        <v>0</v>
      </c>
      <c r="G9" s="270"/>
      <c r="H9" s="557"/>
      <c r="I9" s="557">
        <f>100000-50000</f>
        <v>50000</v>
      </c>
      <c r="J9" s="550">
        <f t="shared" si="0"/>
        <v>50000</v>
      </c>
      <c r="K9" s="431">
        <f t="shared" si="1"/>
        <v>0</v>
      </c>
      <c r="L9" s="534"/>
      <c r="N9" s="437" t="s">
        <v>792</v>
      </c>
      <c r="O9" s="435">
        <v>2700</v>
      </c>
      <c r="P9" s="542"/>
    </row>
    <row r="10" spans="1:16" ht="15.75" x14ac:dyDescent="0.25">
      <c r="A10" s="442" t="s">
        <v>89</v>
      </c>
      <c r="B10" s="854" t="s">
        <v>799</v>
      </c>
      <c r="C10" s="282">
        <v>50000</v>
      </c>
      <c r="D10" s="282"/>
      <c r="E10" s="282"/>
      <c r="F10" s="282"/>
      <c r="G10" s="282"/>
      <c r="H10" s="832"/>
      <c r="I10" s="832">
        <f>35000+15000</f>
        <v>50000</v>
      </c>
      <c r="J10" s="550">
        <f t="shared" ref="J10" si="4">SUM(D10:I10)</f>
        <v>50000</v>
      </c>
      <c r="K10" s="431">
        <f t="shared" si="1"/>
        <v>0</v>
      </c>
      <c r="L10" s="534"/>
      <c r="N10" s="437"/>
      <c r="O10" s="441"/>
      <c r="P10" s="542"/>
    </row>
    <row r="11" spans="1:16" ht="15.75" x14ac:dyDescent="0.25">
      <c r="A11" s="442" t="s">
        <v>93</v>
      </c>
      <c r="B11" s="854" t="s">
        <v>807</v>
      </c>
      <c r="C11" s="282">
        <v>30300</v>
      </c>
      <c r="D11" s="282">
        <v>30000</v>
      </c>
      <c r="E11" s="282"/>
      <c r="F11" s="282">
        <v>300</v>
      </c>
      <c r="G11" s="282"/>
      <c r="H11" s="832"/>
      <c r="I11" s="832"/>
      <c r="J11" s="550">
        <f t="shared" ref="J11:J14" si="5">SUM(D11:I11)</f>
        <v>30300</v>
      </c>
      <c r="K11" s="431">
        <f t="shared" si="1"/>
        <v>0</v>
      </c>
      <c r="L11" s="534"/>
      <c r="N11" s="437"/>
      <c r="O11" s="441"/>
      <c r="P11" s="542"/>
    </row>
    <row r="12" spans="1:16" ht="16.5" thickBot="1" x14ac:dyDescent="0.3">
      <c r="A12" s="748" t="s">
        <v>93</v>
      </c>
      <c r="B12" s="749" t="s">
        <v>335</v>
      </c>
      <c r="C12" s="750">
        <f>196500-12860+3070+2000</f>
        <v>188710</v>
      </c>
      <c r="D12" s="273">
        <f>196500-12860</f>
        <v>183640</v>
      </c>
      <c r="E12" s="273"/>
      <c r="F12" s="750">
        <f>3070+2000</f>
        <v>5070</v>
      </c>
      <c r="G12" s="273"/>
      <c r="H12" s="440"/>
      <c r="I12" s="440"/>
      <c r="J12" s="550">
        <f t="shared" si="5"/>
        <v>188710</v>
      </c>
      <c r="K12" s="431">
        <f t="shared" si="1"/>
        <v>0</v>
      </c>
      <c r="L12" s="533">
        <f>SUM(C11:C12)</f>
        <v>219010</v>
      </c>
      <c r="N12" s="467"/>
      <c r="O12" s="468"/>
      <c r="P12" s="544"/>
    </row>
    <row r="13" spans="1:16" ht="15.75" x14ac:dyDescent="0.25">
      <c r="A13" s="438" t="s">
        <v>164</v>
      </c>
      <c r="B13" s="445" t="s">
        <v>165</v>
      </c>
      <c r="C13" s="279">
        <f>3000+20000-20000</f>
        <v>3000</v>
      </c>
      <c r="D13" s="279"/>
      <c r="E13" s="279">
        <v>3000</v>
      </c>
      <c r="F13" s="279">
        <f>20000-20000</f>
        <v>0</v>
      </c>
      <c r="G13" s="279"/>
      <c r="H13" s="279"/>
      <c r="I13" s="279"/>
      <c r="J13" s="548">
        <f t="shared" si="5"/>
        <v>3000</v>
      </c>
      <c r="K13" s="431">
        <f t="shared" si="1"/>
        <v>0</v>
      </c>
      <c r="L13" s="534"/>
      <c r="N13" s="467"/>
      <c r="O13" s="468"/>
      <c r="P13" s="544"/>
    </row>
    <row r="14" spans="1:16" ht="15.75" x14ac:dyDescent="0.25">
      <c r="A14" s="433" t="s">
        <v>96</v>
      </c>
      <c r="B14" s="443" t="s">
        <v>247</v>
      </c>
      <c r="C14" s="270">
        <f>10000-5700-4300</f>
        <v>0</v>
      </c>
      <c r="D14" s="270"/>
      <c r="E14" s="270"/>
      <c r="F14" s="270">
        <f>10000-5700-4300</f>
        <v>0</v>
      </c>
      <c r="G14" s="270"/>
      <c r="H14" s="270"/>
      <c r="I14" s="270"/>
      <c r="J14" s="550">
        <f t="shared" si="5"/>
        <v>0</v>
      </c>
      <c r="K14" s="431">
        <f t="shared" si="1"/>
        <v>0</v>
      </c>
      <c r="L14" s="534"/>
      <c r="M14" s="426"/>
      <c r="N14" s="467"/>
      <c r="O14" s="468"/>
      <c r="P14" s="544"/>
    </row>
    <row r="15" spans="1:16" ht="16.5" thickBot="1" x14ac:dyDescent="0.3">
      <c r="A15" s="439" t="s">
        <v>96</v>
      </c>
      <c r="B15" s="521" t="s">
        <v>357</v>
      </c>
      <c r="C15" s="273">
        <f>15036+43800+163000-33430-946-55000-300-8200+142470-210200-12430</f>
        <v>43800</v>
      </c>
      <c r="D15" s="273"/>
      <c r="E15" s="273"/>
      <c r="F15" s="273">
        <f>50000+9036-44000+163000-33430-946-55000-300-8200+142470-2000-19500-175400-7300-6000-12430</f>
        <v>0</v>
      </c>
      <c r="G15" s="846">
        <v>43800</v>
      </c>
      <c r="H15" s="273"/>
      <c r="I15" s="273"/>
      <c r="J15" s="549">
        <f t="shared" ref="J15" si="6">SUM(D15:I15)</f>
        <v>43800</v>
      </c>
      <c r="K15" s="431">
        <f t="shared" si="1"/>
        <v>0</v>
      </c>
      <c r="L15" s="533">
        <f>SUM(C14:C15)</f>
        <v>43800</v>
      </c>
      <c r="N15" s="467"/>
      <c r="O15" s="468"/>
      <c r="P15" s="544"/>
    </row>
    <row r="16" spans="1:16" ht="16.5" thickBot="1" x14ac:dyDescent="0.3">
      <c r="A16" s="430" t="s">
        <v>301</v>
      </c>
      <c r="B16" s="492" t="s">
        <v>313</v>
      </c>
      <c r="C16" s="449">
        <f>145000+71000+71000</f>
        <v>287000</v>
      </c>
      <c r="D16" s="276">
        <v>145000</v>
      </c>
      <c r="E16" s="276"/>
      <c r="F16" s="276">
        <f>12700+58300-71000+71000</f>
        <v>71000</v>
      </c>
      <c r="G16" s="276">
        <v>71000</v>
      </c>
      <c r="H16" s="276"/>
      <c r="I16" s="276"/>
      <c r="J16" s="548">
        <f>SUM(D16:I16)</f>
        <v>287000</v>
      </c>
      <c r="K16" s="431">
        <f t="shared" si="1"/>
        <v>0</v>
      </c>
      <c r="L16" s="534"/>
      <c r="N16" s="458" t="s">
        <v>230</v>
      </c>
      <c r="O16" s="746">
        <v>0</v>
      </c>
      <c r="P16" s="544"/>
    </row>
    <row r="17" spans="1:16" ht="16.5" thickBot="1" x14ac:dyDescent="0.3">
      <c r="A17" s="433" t="s">
        <v>98</v>
      </c>
      <c r="B17" s="443" t="s">
        <v>804</v>
      </c>
      <c r="C17" s="270">
        <f>70000+42000+300</f>
        <v>112300</v>
      </c>
      <c r="D17" s="270">
        <f>70000</f>
        <v>70000</v>
      </c>
      <c r="E17" s="270"/>
      <c r="F17" s="270">
        <f>12000+30000+300</f>
        <v>42300</v>
      </c>
      <c r="G17" s="270"/>
      <c r="H17" s="270"/>
      <c r="I17" s="270"/>
      <c r="J17" s="550">
        <f t="shared" ref="J17" si="7">SUM(D17:I17)</f>
        <v>112300</v>
      </c>
      <c r="K17" s="431">
        <f t="shared" si="1"/>
        <v>0</v>
      </c>
      <c r="L17" s="534"/>
      <c r="N17" s="459" t="s">
        <v>231</v>
      </c>
      <c r="O17" s="545">
        <f>SUM(O5:O16)</f>
        <v>30000</v>
      </c>
      <c r="P17" s="546">
        <f>SUM(P5:P16)</f>
        <v>7124</v>
      </c>
    </row>
    <row r="18" spans="1:16" ht="16.5" thickBot="1" x14ac:dyDescent="0.3">
      <c r="A18" s="735" t="s">
        <v>98</v>
      </c>
      <c r="B18" s="861" t="s">
        <v>947</v>
      </c>
      <c r="C18" s="274">
        <f>73000+6000</f>
        <v>79000</v>
      </c>
      <c r="D18" s="274">
        <f>70000</f>
        <v>70000</v>
      </c>
      <c r="E18" s="274"/>
      <c r="F18" s="274">
        <f>3000+6000</f>
        <v>9000</v>
      </c>
      <c r="G18" s="274"/>
      <c r="H18" s="274"/>
      <c r="I18" s="274"/>
      <c r="J18" s="550">
        <f t="shared" ref="J18:J21" si="8">SUM(D18:I18)</f>
        <v>79000</v>
      </c>
      <c r="K18" s="431">
        <f t="shared" si="1"/>
        <v>0</v>
      </c>
      <c r="L18" s="533">
        <f>SUM(C17:C18)</f>
        <v>191300</v>
      </c>
      <c r="M18" s="426"/>
      <c r="N18" s="437" t="s">
        <v>246</v>
      </c>
      <c r="O18" s="441">
        <f>8000+7000</f>
        <v>15000</v>
      </c>
      <c r="P18" s="543" t="s">
        <v>791</v>
      </c>
    </row>
    <row r="19" spans="1:16" x14ac:dyDescent="0.25">
      <c r="A19" s="436" t="s">
        <v>111</v>
      </c>
      <c r="B19" s="741" t="s">
        <v>337</v>
      </c>
      <c r="C19" s="268">
        <f>50000+5000-1800-520-2680</f>
        <v>50000</v>
      </c>
      <c r="D19" s="268">
        <v>50000</v>
      </c>
      <c r="E19" s="268"/>
      <c r="F19" s="268">
        <f>5000-1800-520-2680</f>
        <v>0</v>
      </c>
      <c r="G19" s="268"/>
      <c r="H19" s="268"/>
      <c r="I19" s="268"/>
      <c r="J19" s="548">
        <f t="shared" si="8"/>
        <v>50000</v>
      </c>
      <c r="K19" s="431">
        <f t="shared" si="1"/>
        <v>0</v>
      </c>
      <c r="L19" s="534"/>
    </row>
    <row r="20" spans="1:16" x14ac:dyDescent="0.25">
      <c r="A20" s="430" t="s">
        <v>111</v>
      </c>
      <c r="B20" s="740" t="s">
        <v>547</v>
      </c>
      <c r="C20" s="276">
        <f>196100-7590+1800+55000+24000</f>
        <v>269310</v>
      </c>
      <c r="D20" s="276">
        <f>105400+35350-7590</f>
        <v>133160</v>
      </c>
      <c r="E20" s="276"/>
      <c r="F20" s="276">
        <f>55350-55000+1800+55000+24000</f>
        <v>81150</v>
      </c>
      <c r="G20" s="276">
        <v>55000</v>
      </c>
      <c r="H20" s="276"/>
      <c r="I20" s="276"/>
      <c r="J20" s="548">
        <f t="shared" si="8"/>
        <v>269310</v>
      </c>
      <c r="K20" s="431">
        <f t="shared" si="1"/>
        <v>0</v>
      </c>
      <c r="L20" s="534"/>
    </row>
    <row r="21" spans="1:16" x14ac:dyDescent="0.25">
      <c r="A21" s="430" t="s">
        <v>111</v>
      </c>
      <c r="B21" s="555" t="s">
        <v>582</v>
      </c>
      <c r="C21" s="276">
        <f>30000+29800+520-29790</f>
        <v>30530</v>
      </c>
      <c r="D21" s="276">
        <v>29800</v>
      </c>
      <c r="E21" s="276"/>
      <c r="F21" s="276">
        <f>30000+520-29790</f>
        <v>730</v>
      </c>
      <c r="G21" s="276"/>
      <c r="H21" s="276"/>
      <c r="I21" s="276"/>
      <c r="J21" s="550">
        <f t="shared" si="8"/>
        <v>30530</v>
      </c>
      <c r="K21" s="431">
        <f t="shared" si="1"/>
        <v>0</v>
      </c>
      <c r="L21" s="534"/>
    </row>
    <row r="22" spans="1:16" ht="15.75" thickBot="1" x14ac:dyDescent="0.3">
      <c r="A22" s="439" t="s">
        <v>111</v>
      </c>
      <c r="B22" s="568" t="s">
        <v>802</v>
      </c>
      <c r="C22" s="273">
        <f>200000+2280+19720</f>
        <v>222000</v>
      </c>
      <c r="D22" s="273">
        <v>200000</v>
      </c>
      <c r="E22" s="273"/>
      <c r="F22" s="273">
        <f>2280+19720</f>
        <v>22000</v>
      </c>
      <c r="G22" s="273"/>
      <c r="H22" s="273"/>
      <c r="I22" s="273"/>
      <c r="J22" s="549">
        <f t="shared" ref="J22" si="9">SUM(D22:I22)</f>
        <v>222000</v>
      </c>
      <c r="K22" s="431">
        <f t="shared" si="1"/>
        <v>0</v>
      </c>
      <c r="L22" s="533">
        <f>SUM(C19:C22)</f>
        <v>571840</v>
      </c>
      <c r="M22" s="564"/>
    </row>
    <row r="23" spans="1:16" x14ac:dyDescent="0.25">
      <c r="A23" s="430" t="s">
        <v>113</v>
      </c>
      <c r="B23" s="285" t="s">
        <v>232</v>
      </c>
      <c r="C23" s="276">
        <v>0</v>
      </c>
      <c r="D23" s="276"/>
      <c r="E23" s="276"/>
      <c r="F23" s="276">
        <v>0</v>
      </c>
      <c r="G23" s="276"/>
      <c r="H23" s="276"/>
      <c r="I23" s="276"/>
      <c r="J23" s="548">
        <f t="shared" ref="J23:J26" si="10">SUM(D23:I23)</f>
        <v>0</v>
      </c>
      <c r="K23" s="431">
        <f t="shared" si="1"/>
        <v>0</v>
      </c>
      <c r="L23" s="569"/>
      <c r="M23" s="564"/>
    </row>
    <row r="24" spans="1:16" x14ac:dyDescent="0.25">
      <c r="A24" s="430" t="s">
        <v>113</v>
      </c>
      <c r="B24" s="555" t="s">
        <v>946</v>
      </c>
      <c r="C24" s="276">
        <v>4900</v>
      </c>
      <c r="D24" s="276"/>
      <c r="E24" s="276"/>
      <c r="F24" s="276">
        <f>4200+700</f>
        <v>4900</v>
      </c>
      <c r="G24" s="276"/>
      <c r="H24" s="276"/>
      <c r="I24" s="276"/>
      <c r="J24" s="548">
        <f t="shared" si="10"/>
        <v>4900</v>
      </c>
      <c r="K24" s="431">
        <f t="shared" si="1"/>
        <v>0</v>
      </c>
      <c r="L24" s="569"/>
    </row>
    <row r="25" spans="1:16" x14ac:dyDescent="0.25">
      <c r="A25" s="433" t="s">
        <v>113</v>
      </c>
      <c r="B25" s="807" t="s">
        <v>329</v>
      </c>
      <c r="C25" s="270">
        <f>15000-15000</f>
        <v>0</v>
      </c>
      <c r="D25" s="270"/>
      <c r="E25" s="270"/>
      <c r="F25" s="270">
        <f>15000-15000</f>
        <v>0</v>
      </c>
      <c r="G25" s="270"/>
      <c r="H25" s="270"/>
      <c r="I25" s="270"/>
      <c r="J25" s="548">
        <f t="shared" si="10"/>
        <v>0</v>
      </c>
      <c r="K25" s="431">
        <f t="shared" si="1"/>
        <v>0</v>
      </c>
      <c r="L25" s="534"/>
    </row>
    <row r="26" spans="1:16" x14ac:dyDescent="0.25">
      <c r="A26" s="438" t="s">
        <v>113</v>
      </c>
      <c r="B26" s="554" t="s">
        <v>679</v>
      </c>
      <c r="C26" s="279">
        <f>110000</f>
        <v>110000</v>
      </c>
      <c r="D26" s="279">
        <v>100000</v>
      </c>
      <c r="E26" s="279"/>
      <c r="F26" s="276">
        <v>10000</v>
      </c>
      <c r="G26" s="276"/>
      <c r="H26" s="276"/>
      <c r="I26" s="276"/>
      <c r="J26" s="550">
        <f t="shared" si="10"/>
        <v>110000</v>
      </c>
      <c r="K26" s="431">
        <f t="shared" si="1"/>
        <v>0</v>
      </c>
      <c r="L26" s="534"/>
      <c r="M26" s="426">
        <f>F27+G27</f>
        <v>280590</v>
      </c>
    </row>
    <row r="27" spans="1:16" ht="15.75" thickBot="1" x14ac:dyDescent="0.3">
      <c r="A27" s="442" t="s">
        <v>113</v>
      </c>
      <c r="B27" s="444" t="s">
        <v>496</v>
      </c>
      <c r="C27" s="282">
        <f>379400+33000+5700+33430+680+946+32000+175400+1000</f>
        <v>661556</v>
      </c>
      <c r="D27" s="282">
        <f>379400+680</f>
        <v>380080</v>
      </c>
      <c r="E27" s="282">
        <f>886</f>
        <v>886</v>
      </c>
      <c r="F27" s="270">
        <f>32114-32000+5700+33430+946+32000+175400+1000</f>
        <v>248590</v>
      </c>
      <c r="G27" s="270">
        <v>32000</v>
      </c>
      <c r="H27" s="270"/>
      <c r="I27" s="270"/>
      <c r="J27" s="549">
        <f>SUM(D27:I27)</f>
        <v>661556</v>
      </c>
      <c r="K27" s="431">
        <f t="shared" si="1"/>
        <v>0</v>
      </c>
      <c r="L27" s="533">
        <f>SUM(C23:C27)</f>
        <v>776456</v>
      </c>
    </row>
    <row r="28" spans="1:16" x14ac:dyDescent="0.25">
      <c r="A28" s="436" t="s">
        <v>122</v>
      </c>
      <c r="B28" s="525" t="s">
        <v>779</v>
      </c>
      <c r="C28" s="268">
        <f>475100-230100+46000+7300</f>
        <v>298300</v>
      </c>
      <c r="D28" s="268">
        <v>430000</v>
      </c>
      <c r="E28" s="268"/>
      <c r="F28" s="268">
        <f>46000-46000+46000+7300</f>
        <v>53300</v>
      </c>
      <c r="G28" s="268">
        <f>-230100+45100</f>
        <v>-185000</v>
      </c>
      <c r="H28" s="268"/>
      <c r="I28" s="268"/>
      <c r="J28" s="548">
        <f t="shared" ref="J28" si="11">SUM(D28:I28)</f>
        <v>298300</v>
      </c>
      <c r="K28" s="431">
        <f t="shared" si="1"/>
        <v>0</v>
      </c>
      <c r="L28" s="533"/>
    </row>
    <row r="29" spans="1:16" ht="15.75" thickBot="1" x14ac:dyDescent="0.3">
      <c r="A29" s="439" t="s">
        <v>122</v>
      </c>
      <c r="B29" s="843" t="s">
        <v>801</v>
      </c>
      <c r="C29" s="273">
        <v>39430</v>
      </c>
      <c r="D29" s="273"/>
      <c r="E29" s="273"/>
      <c r="F29" s="273">
        <v>39430</v>
      </c>
      <c r="G29" s="273"/>
      <c r="H29" s="273"/>
      <c r="I29" s="273"/>
      <c r="J29" s="549">
        <f t="shared" ref="J29:J31" si="12">SUM(D29:I29)</f>
        <v>39430</v>
      </c>
      <c r="K29" s="431">
        <f t="shared" si="1"/>
        <v>0</v>
      </c>
      <c r="L29" s="533">
        <f>SUM(C28:C29)</f>
        <v>337730</v>
      </c>
    </row>
    <row r="30" spans="1:16" x14ac:dyDescent="0.25">
      <c r="A30" s="430" t="s">
        <v>124</v>
      </c>
      <c r="B30" s="793" t="s">
        <v>625</v>
      </c>
      <c r="C30" s="276">
        <v>81600</v>
      </c>
      <c r="D30" s="276">
        <v>73400</v>
      </c>
      <c r="E30" s="276"/>
      <c r="F30" s="276">
        <v>8200</v>
      </c>
      <c r="G30" s="276"/>
      <c r="H30" s="276"/>
      <c r="I30" s="276"/>
      <c r="J30" s="548">
        <f t="shared" si="12"/>
        <v>81600</v>
      </c>
      <c r="K30" s="431">
        <f t="shared" si="1"/>
        <v>0</v>
      </c>
      <c r="L30" s="533"/>
    </row>
    <row r="31" spans="1:16" x14ac:dyDescent="0.25">
      <c r="A31" s="433" t="s">
        <v>124</v>
      </c>
      <c r="B31" s="842" t="s">
        <v>797</v>
      </c>
      <c r="C31" s="753">
        <f>95000+6000-10</f>
        <v>100990</v>
      </c>
      <c r="D31" s="270">
        <v>95000</v>
      </c>
      <c r="E31" s="270"/>
      <c r="F31" s="753">
        <f>6000-10</f>
        <v>5990</v>
      </c>
      <c r="G31" s="270"/>
      <c r="H31" s="270"/>
      <c r="I31" s="270"/>
      <c r="J31" s="550">
        <f t="shared" si="12"/>
        <v>100990</v>
      </c>
      <c r="K31" s="431">
        <f t="shared" si="1"/>
        <v>0</v>
      </c>
      <c r="L31" s="533"/>
    </row>
    <row r="32" spans="1:16" ht="15.75" thickBot="1" x14ac:dyDescent="0.3">
      <c r="A32" s="439" t="s">
        <v>124</v>
      </c>
      <c r="B32" s="841" t="s">
        <v>314</v>
      </c>
      <c r="C32" s="750">
        <f>1146000-16800+200+10</f>
        <v>1129410</v>
      </c>
      <c r="D32" s="273">
        <f>1220380-74380+200</f>
        <v>1146200</v>
      </c>
      <c r="E32" s="273"/>
      <c r="F32" s="750">
        <v>10</v>
      </c>
      <c r="G32" s="273">
        <v>-16800</v>
      </c>
      <c r="H32" s="273"/>
      <c r="I32" s="273"/>
      <c r="J32" s="549">
        <f t="shared" ref="J32" si="13">SUM(D32:I32)</f>
        <v>1129410</v>
      </c>
      <c r="K32" s="431">
        <f>C32-J32</f>
        <v>0</v>
      </c>
      <c r="L32" s="533">
        <f>SUM(C30:C32)</f>
        <v>1312000</v>
      </c>
    </row>
    <row r="33" spans="1:16" ht="15.75" thickBot="1" x14ac:dyDescent="0.3">
      <c r="A33" s="430" t="s">
        <v>125</v>
      </c>
      <c r="B33" s="793" t="s">
        <v>775</v>
      </c>
      <c r="C33" s="276">
        <f>831300</f>
        <v>831300</v>
      </c>
      <c r="D33" s="276">
        <v>831300</v>
      </c>
      <c r="E33" s="276"/>
      <c r="F33" s="276">
        <v>0</v>
      </c>
      <c r="G33" s="276"/>
      <c r="H33" s="276"/>
      <c r="I33" s="276"/>
      <c r="J33" s="548">
        <f t="shared" ref="J33" si="14">SUM(D33:I33)</f>
        <v>831300</v>
      </c>
      <c r="K33" s="431">
        <f t="shared" ref="K33:K37" si="15">C33-J33</f>
        <v>0</v>
      </c>
      <c r="L33" s="533"/>
    </row>
    <row r="34" spans="1:16" ht="15.75" thickBot="1" x14ac:dyDescent="0.3">
      <c r="A34" s="932" t="s">
        <v>233</v>
      </c>
      <c r="B34" s="933"/>
      <c r="C34" s="446">
        <f t="shared" ref="C34:J34" si="16">SUM(C4:C33)</f>
        <v>4868666</v>
      </c>
      <c r="D34" s="446">
        <f t="shared" si="16"/>
        <v>4114780</v>
      </c>
      <c r="E34" s="446">
        <f t="shared" si="16"/>
        <v>3886</v>
      </c>
      <c r="F34" s="446">
        <f t="shared" si="16"/>
        <v>650000</v>
      </c>
      <c r="G34" s="446">
        <f t="shared" si="16"/>
        <v>0</v>
      </c>
      <c r="H34" s="446">
        <f t="shared" si="16"/>
        <v>0</v>
      </c>
      <c r="I34" s="446">
        <f t="shared" si="16"/>
        <v>100000</v>
      </c>
      <c r="J34" s="552">
        <f t="shared" si="16"/>
        <v>4868666</v>
      </c>
      <c r="K34" s="431">
        <f t="shared" si="15"/>
        <v>0</v>
      </c>
      <c r="L34" s="584"/>
    </row>
    <row r="35" spans="1:16" ht="15.75" thickBot="1" x14ac:dyDescent="0.3">
      <c r="A35" s="430"/>
      <c r="B35" s="448"/>
      <c r="C35" s="449"/>
      <c r="D35" s="276"/>
      <c r="E35" s="276"/>
      <c r="F35" s="447"/>
      <c r="G35" s="447"/>
      <c r="H35" s="447"/>
      <c r="I35" s="276"/>
      <c r="J35" s="548">
        <f>SUM(D35:I35)</f>
        <v>0</v>
      </c>
      <c r="K35" s="431">
        <f t="shared" si="15"/>
        <v>0</v>
      </c>
    </row>
    <row r="36" spans="1:16" ht="15.75" thickBot="1" x14ac:dyDescent="0.3">
      <c r="A36" s="932" t="s">
        <v>234</v>
      </c>
      <c r="B36" s="933"/>
      <c r="C36" s="446">
        <f>SUM(C35:C35)</f>
        <v>0</v>
      </c>
      <c r="D36" s="446">
        <f t="shared" ref="D36:I36" si="17">SUM(D35:D35)</f>
        <v>0</v>
      </c>
      <c r="E36" s="446">
        <f t="shared" si="17"/>
        <v>0</v>
      </c>
      <c r="F36" s="446">
        <f t="shared" si="17"/>
        <v>0</v>
      </c>
      <c r="G36" s="446">
        <f t="shared" si="17"/>
        <v>0</v>
      </c>
      <c r="H36" s="446">
        <f t="shared" si="17"/>
        <v>0</v>
      </c>
      <c r="I36" s="446">
        <f t="shared" si="17"/>
        <v>0</v>
      </c>
      <c r="J36" s="552">
        <f>SUM(J35:J35)</f>
        <v>0</v>
      </c>
      <c r="K36" s="431">
        <f t="shared" si="15"/>
        <v>0</v>
      </c>
    </row>
    <row r="37" spans="1:16" ht="18.75" thickBot="1" x14ac:dyDescent="0.3">
      <c r="A37" s="934" t="s">
        <v>252</v>
      </c>
      <c r="B37" s="935"/>
      <c r="C37" s="446">
        <f>C34+C36</f>
        <v>4868666</v>
      </c>
      <c r="D37" s="446">
        <f t="shared" ref="D37:I37" si="18">D34+D36</f>
        <v>4114780</v>
      </c>
      <c r="E37" s="446">
        <f t="shared" si="18"/>
        <v>3886</v>
      </c>
      <c r="F37" s="446">
        <f t="shared" si="18"/>
        <v>650000</v>
      </c>
      <c r="G37" s="446">
        <f t="shared" si="18"/>
        <v>0</v>
      </c>
      <c r="H37" s="446">
        <f t="shared" si="18"/>
        <v>0</v>
      </c>
      <c r="I37" s="446">
        <f t="shared" si="18"/>
        <v>100000</v>
      </c>
      <c r="J37" s="552">
        <f>J34+J36</f>
        <v>4868666</v>
      </c>
      <c r="K37" s="431">
        <f t="shared" si="15"/>
        <v>0</v>
      </c>
      <c r="L37" s="533"/>
    </row>
    <row r="38" spans="1:16" x14ac:dyDescent="0.25">
      <c r="A38" s="450"/>
      <c r="B38" s="838" t="s">
        <v>790</v>
      </c>
      <c r="C38" s="839">
        <f>C37-C73</f>
        <v>4829236</v>
      </c>
      <c r="E38" s="453"/>
      <c r="F38" s="566">
        <f>345000+305000</f>
        <v>650000</v>
      </c>
      <c r="G38" s="567">
        <f>185000+16800</f>
        <v>201800</v>
      </c>
      <c r="H38" s="566"/>
      <c r="I38" s="454"/>
      <c r="J38" s="837" t="s">
        <v>789</v>
      </c>
      <c r="K38" s="456"/>
    </row>
    <row r="39" spans="1:16" x14ac:dyDescent="0.25">
      <c r="A39" s="450"/>
      <c r="B39" s="450"/>
      <c r="C39" s="451"/>
      <c r="E39" s="453"/>
      <c r="F39" s="426">
        <f>F38-F37</f>
        <v>0</v>
      </c>
      <c r="G39" s="565">
        <f>F38+G38</f>
        <v>851800</v>
      </c>
      <c r="H39" s="452"/>
      <c r="I39" s="454"/>
      <c r="J39" s="455"/>
      <c r="K39" s="456"/>
    </row>
    <row r="40" spans="1:16" x14ac:dyDescent="0.25">
      <c r="A40" s="427"/>
      <c r="B40" s="538" t="s">
        <v>315</v>
      </c>
      <c r="C40" s="529" t="s">
        <v>299</v>
      </c>
      <c r="D40" s="520">
        <f>2590450-70000-12860+680+29800+73400+100000+200+95000+957700+182600</f>
        <v>3946970</v>
      </c>
      <c r="E40" s="474">
        <v>3000</v>
      </c>
      <c r="G40" s="460"/>
      <c r="H40" s="460"/>
      <c r="I40" s="427"/>
      <c r="J40" s="520">
        <f>SUM(D40:I40)</f>
        <v>3949970</v>
      </c>
    </row>
    <row r="41" spans="1:16" ht="15.75" x14ac:dyDescent="0.25">
      <c r="A41" s="427"/>
      <c r="C41" s="529" t="s">
        <v>300</v>
      </c>
      <c r="D41" s="528">
        <f>105400+70000-7590</f>
        <v>167810</v>
      </c>
      <c r="E41" s="527">
        <v>886</v>
      </c>
      <c r="F41" s="563"/>
      <c r="G41" s="426"/>
      <c r="H41" s="457"/>
      <c r="I41" s="527">
        <v>100000</v>
      </c>
      <c r="J41" s="743">
        <f>SUM(D41:I41)</f>
        <v>268696</v>
      </c>
    </row>
    <row r="42" spans="1:16" x14ac:dyDescent="0.25">
      <c r="A42" s="427"/>
      <c r="C42" s="427"/>
      <c r="D42" s="520">
        <f>SUM(D40:D41)</f>
        <v>4114780</v>
      </c>
      <c r="E42" s="427"/>
      <c r="F42" s="427"/>
      <c r="G42" s="427"/>
      <c r="H42" s="427"/>
      <c r="I42" s="539"/>
      <c r="J42" s="520"/>
      <c r="K42" s="427"/>
    </row>
    <row r="43" spans="1:16" x14ac:dyDescent="0.25">
      <c r="B43" s="734" t="s">
        <v>920</v>
      </c>
      <c r="D43" s="474">
        <f>D42-D37</f>
        <v>0</v>
      </c>
    </row>
    <row r="44" spans="1:16" x14ac:dyDescent="0.25">
      <c r="B44" t="s">
        <v>185</v>
      </c>
    </row>
    <row r="46" spans="1:16" ht="18.75" thickBot="1" x14ac:dyDescent="0.3">
      <c r="A46" s="928" t="s">
        <v>331</v>
      </c>
      <c r="B46" s="928"/>
      <c r="C46" s="928"/>
      <c r="D46" s="928"/>
      <c r="E46" s="928"/>
      <c r="F46" s="928"/>
      <c r="G46" s="928"/>
      <c r="H46" s="928"/>
      <c r="I46" s="928"/>
    </row>
    <row r="47" spans="1:16" ht="16.5" thickBot="1" x14ac:dyDescent="0.3">
      <c r="A47" s="427"/>
      <c r="B47" s="427"/>
      <c r="C47" s="427"/>
      <c r="D47" s="427"/>
      <c r="E47" s="427"/>
      <c r="F47" s="427"/>
      <c r="G47" s="427"/>
      <c r="H47" s="427"/>
      <c r="I47" s="427"/>
      <c r="J47" s="427"/>
      <c r="N47" s="929" t="s">
        <v>226</v>
      </c>
      <c r="O47" s="930"/>
      <c r="P47" s="931"/>
    </row>
    <row r="48" spans="1:16" ht="45.75" thickBot="1" x14ac:dyDescent="0.3">
      <c r="A48" s="428" t="s">
        <v>221</v>
      </c>
      <c r="B48" s="428" t="s">
        <v>222</v>
      </c>
      <c r="C48" s="429" t="s">
        <v>223</v>
      </c>
      <c r="D48" s="429" t="s">
        <v>310</v>
      </c>
      <c r="E48" s="429" t="s">
        <v>316</v>
      </c>
      <c r="F48" s="429" t="s">
        <v>224</v>
      </c>
      <c r="G48" s="429" t="s">
        <v>338</v>
      </c>
      <c r="H48" s="429" t="s">
        <v>235</v>
      </c>
      <c r="I48" s="536" t="s">
        <v>311</v>
      </c>
      <c r="J48" s="547" t="s">
        <v>225</v>
      </c>
      <c r="L48" t="s">
        <v>339</v>
      </c>
      <c r="N48" s="432" t="s">
        <v>227</v>
      </c>
      <c r="O48" s="540" t="s">
        <v>228</v>
      </c>
      <c r="P48" s="541" t="s">
        <v>317</v>
      </c>
    </row>
    <row r="49" spans="1:16" ht="15.75" x14ac:dyDescent="0.25">
      <c r="A49" s="737" t="s">
        <v>82</v>
      </c>
      <c r="B49" s="738" t="s">
        <v>229</v>
      </c>
      <c r="C49" s="739">
        <v>30000</v>
      </c>
      <c r="D49" s="739"/>
      <c r="E49" s="739"/>
      <c r="F49" s="739">
        <v>30000</v>
      </c>
      <c r="G49" s="739"/>
      <c r="H49" s="739"/>
      <c r="I49" s="739"/>
      <c r="J49" s="551">
        <f>SUM(D49:I49)</f>
        <v>30000</v>
      </c>
      <c r="K49" s="431">
        <f>C49-J49</f>
        <v>0</v>
      </c>
      <c r="L49" s="534"/>
      <c r="N49" s="437" t="s">
        <v>327</v>
      </c>
      <c r="O49" s="441">
        <f>20000-500-16700+2276-2000-2700</f>
        <v>376</v>
      </c>
      <c r="P49" s="543"/>
    </row>
    <row r="50" spans="1:16" ht="15.75" x14ac:dyDescent="0.25">
      <c r="A50" s="433" t="s">
        <v>82</v>
      </c>
      <c r="B50" s="807" t="s">
        <v>818</v>
      </c>
      <c r="C50" s="270">
        <v>11000</v>
      </c>
      <c r="D50" s="270">
        <v>9000</v>
      </c>
      <c r="E50" s="270"/>
      <c r="F50" s="270">
        <v>2000</v>
      </c>
      <c r="G50" s="270"/>
      <c r="H50" s="270"/>
      <c r="I50" s="270"/>
      <c r="J50" s="548">
        <f>SUM(D50:I50)</f>
        <v>11000</v>
      </c>
      <c r="K50" s="431">
        <f>C50-J50</f>
        <v>0</v>
      </c>
      <c r="L50" s="534"/>
      <c r="N50" s="437" t="s">
        <v>318</v>
      </c>
      <c r="O50" s="435">
        <f>5000+10000+1500+200-6276-1000+15000</f>
        <v>24424</v>
      </c>
      <c r="P50" s="542">
        <f>4400+2400+6600-6276</f>
        <v>7124</v>
      </c>
    </row>
    <row r="51" spans="1:16" ht="16.5" thickBot="1" x14ac:dyDescent="0.3">
      <c r="A51" s="735" t="s">
        <v>82</v>
      </c>
      <c r="B51" s="853" t="s">
        <v>163</v>
      </c>
      <c r="C51" s="274">
        <v>1500</v>
      </c>
      <c r="D51" s="274"/>
      <c r="E51" s="274"/>
      <c r="F51" s="274">
        <v>1500</v>
      </c>
      <c r="G51" s="274"/>
      <c r="H51" s="274"/>
      <c r="I51" s="274"/>
      <c r="J51" s="548">
        <f t="shared" ref="J51:J53" si="19">SUM(D51:I51)</f>
        <v>1500</v>
      </c>
      <c r="K51" s="431">
        <f t="shared" ref="K51:K75" si="20">C51-J51</f>
        <v>0</v>
      </c>
      <c r="L51" s="533">
        <f>SUM(C49:C51)</f>
        <v>42500</v>
      </c>
      <c r="N51" s="437" t="s">
        <v>319</v>
      </c>
      <c r="O51" s="441">
        <v>2000</v>
      </c>
      <c r="P51" s="543"/>
    </row>
    <row r="52" spans="1:16" ht="15.75" x14ac:dyDescent="0.25">
      <c r="A52" s="438" t="s">
        <v>87</v>
      </c>
      <c r="B52" s="537" t="s">
        <v>328</v>
      </c>
      <c r="C52" s="279">
        <f>151200+3530</f>
        <v>154730</v>
      </c>
      <c r="D52" s="279">
        <v>138200</v>
      </c>
      <c r="E52" s="279"/>
      <c r="F52" s="279">
        <f>13000+3530</f>
        <v>16530</v>
      </c>
      <c r="G52" s="279"/>
      <c r="H52" s="279"/>
      <c r="I52" s="279"/>
      <c r="J52" s="548">
        <f t="shared" si="19"/>
        <v>154730</v>
      </c>
      <c r="K52" s="431">
        <f t="shared" si="20"/>
        <v>0</v>
      </c>
      <c r="L52" s="534"/>
      <c r="N52" s="437" t="s">
        <v>506</v>
      </c>
      <c r="O52" s="435">
        <v>500</v>
      </c>
      <c r="P52" s="542" t="s">
        <v>798</v>
      </c>
    </row>
    <row r="53" spans="1:16" ht="15.75" x14ac:dyDescent="0.25">
      <c r="A53" s="433" t="s">
        <v>89</v>
      </c>
      <c r="B53" s="283" t="s">
        <v>800</v>
      </c>
      <c r="C53" s="270">
        <f>100000-50000</f>
        <v>50000</v>
      </c>
      <c r="D53" s="270">
        <v>0</v>
      </c>
      <c r="E53" s="270"/>
      <c r="F53" s="270">
        <v>0</v>
      </c>
      <c r="G53" s="270"/>
      <c r="H53" s="557"/>
      <c r="I53" s="557">
        <f>100000-50000</f>
        <v>50000</v>
      </c>
      <c r="J53" s="550">
        <f t="shared" si="19"/>
        <v>50000</v>
      </c>
      <c r="K53" s="431">
        <f t="shared" si="20"/>
        <v>0</v>
      </c>
      <c r="L53" s="534"/>
      <c r="N53" s="437" t="s">
        <v>792</v>
      </c>
      <c r="O53" s="435">
        <v>2700</v>
      </c>
      <c r="P53" s="542"/>
    </row>
    <row r="54" spans="1:16" ht="15.75" x14ac:dyDescent="0.25">
      <c r="A54" s="442" t="s">
        <v>89</v>
      </c>
      <c r="B54" s="854" t="s">
        <v>799</v>
      </c>
      <c r="C54" s="282">
        <v>50000</v>
      </c>
      <c r="D54" s="282"/>
      <c r="E54" s="282"/>
      <c r="F54" s="282"/>
      <c r="G54" s="282"/>
      <c r="H54" s="832"/>
      <c r="I54" s="832">
        <f>35000+15000</f>
        <v>50000</v>
      </c>
      <c r="J54" s="550">
        <f t="shared" ref="J54" si="21">SUM(D54:I54)</f>
        <v>50000</v>
      </c>
      <c r="K54" s="431">
        <f t="shared" si="20"/>
        <v>0</v>
      </c>
      <c r="L54" s="534"/>
      <c r="N54" s="437"/>
      <c r="O54" s="441"/>
      <c r="P54" s="542"/>
    </row>
    <row r="55" spans="1:16" ht="15.75" x14ac:dyDescent="0.25">
      <c r="A55" s="442" t="s">
        <v>93</v>
      </c>
      <c r="B55" s="854" t="s">
        <v>807</v>
      </c>
      <c r="C55" s="282">
        <v>30300</v>
      </c>
      <c r="D55" s="282">
        <v>30000</v>
      </c>
      <c r="E55" s="282"/>
      <c r="F55" s="282">
        <v>300</v>
      </c>
      <c r="G55" s="282"/>
      <c r="H55" s="832"/>
      <c r="I55" s="832"/>
      <c r="J55" s="550">
        <f t="shared" ref="J55:J58" si="22">SUM(D55:I55)</f>
        <v>30300</v>
      </c>
      <c r="K55" s="431">
        <f t="shared" si="20"/>
        <v>0</v>
      </c>
      <c r="L55" s="534"/>
      <c r="N55" s="437"/>
      <c r="O55" s="441"/>
      <c r="P55" s="542"/>
    </row>
    <row r="56" spans="1:16" ht="16.5" thickBot="1" x14ac:dyDescent="0.3">
      <c r="A56" s="748" t="s">
        <v>93</v>
      </c>
      <c r="B56" s="749" t="s">
        <v>335</v>
      </c>
      <c r="C56" s="750">
        <f>196500-12860+3070</f>
        <v>186710</v>
      </c>
      <c r="D56" s="273">
        <f>196500-12860</f>
        <v>183640</v>
      </c>
      <c r="E56" s="273"/>
      <c r="F56" s="750">
        <v>3070</v>
      </c>
      <c r="G56" s="273"/>
      <c r="H56" s="440"/>
      <c r="I56" s="440"/>
      <c r="J56" s="550">
        <f t="shared" si="22"/>
        <v>186710</v>
      </c>
      <c r="K56" s="431">
        <f t="shared" si="20"/>
        <v>0</v>
      </c>
      <c r="L56" s="533">
        <f>SUM(C55:C56)</f>
        <v>217010</v>
      </c>
      <c r="N56" s="467"/>
      <c r="O56" s="468"/>
      <c r="P56" s="544"/>
    </row>
    <row r="57" spans="1:16" ht="15.75" x14ac:dyDescent="0.25">
      <c r="A57" s="438" t="s">
        <v>164</v>
      </c>
      <c r="B57" s="445" t="s">
        <v>165</v>
      </c>
      <c r="C57" s="279">
        <f>3000+20000-20000</f>
        <v>3000</v>
      </c>
      <c r="D57" s="279"/>
      <c r="E57" s="279">
        <v>3000</v>
      </c>
      <c r="F57" s="279">
        <f>20000-20000</f>
        <v>0</v>
      </c>
      <c r="G57" s="279"/>
      <c r="H57" s="279"/>
      <c r="I57" s="279"/>
      <c r="J57" s="548">
        <f t="shared" si="22"/>
        <v>3000</v>
      </c>
      <c r="K57" s="431">
        <f t="shared" si="20"/>
        <v>0</v>
      </c>
      <c r="L57" s="534"/>
      <c r="N57" s="467"/>
      <c r="O57" s="468"/>
      <c r="P57" s="544"/>
    </row>
    <row r="58" spans="1:16" ht="15.75" x14ac:dyDescent="0.25">
      <c r="A58" s="433" t="s">
        <v>96</v>
      </c>
      <c r="B58" s="443" t="s">
        <v>247</v>
      </c>
      <c r="C58" s="270">
        <f>10000-5700-4300</f>
        <v>0</v>
      </c>
      <c r="D58" s="270"/>
      <c r="E58" s="270"/>
      <c r="F58" s="270">
        <f>10000-5700-4300</f>
        <v>0</v>
      </c>
      <c r="G58" s="270"/>
      <c r="H58" s="270"/>
      <c r="I58" s="270"/>
      <c r="J58" s="550">
        <f t="shared" si="22"/>
        <v>0</v>
      </c>
      <c r="K58" s="431">
        <f t="shared" si="20"/>
        <v>0</v>
      </c>
      <c r="L58" s="534"/>
      <c r="M58" s="426"/>
      <c r="N58" s="467"/>
      <c r="O58" s="468"/>
      <c r="P58" s="544"/>
    </row>
    <row r="59" spans="1:16" ht="16.5" thickBot="1" x14ac:dyDescent="0.3">
      <c r="A59" s="439" t="s">
        <v>96</v>
      </c>
      <c r="B59" s="521" t="s">
        <v>357</v>
      </c>
      <c r="C59" s="273">
        <f>15036+43800+163000-33430-946-55000-300-8200+142470-210200-12430</f>
        <v>43800</v>
      </c>
      <c r="D59" s="273"/>
      <c r="E59" s="273"/>
      <c r="F59" s="273">
        <f>50000+9036-44000+163000-33430-946-55000-300-8200+142470-2000-19500-175400-7300-6000-12430</f>
        <v>0</v>
      </c>
      <c r="G59" s="846">
        <v>43800</v>
      </c>
      <c r="H59" s="273"/>
      <c r="I59" s="273"/>
      <c r="J59" s="549">
        <f t="shared" ref="J59" si="23">SUM(D59:I59)</f>
        <v>43800</v>
      </c>
      <c r="K59" s="431">
        <f t="shared" si="20"/>
        <v>0</v>
      </c>
      <c r="L59" s="533">
        <f>SUM(C58:C59)</f>
        <v>43800</v>
      </c>
      <c r="N59" s="467"/>
      <c r="O59" s="468"/>
      <c r="P59" s="544"/>
    </row>
    <row r="60" spans="1:16" ht="16.5" thickBot="1" x14ac:dyDescent="0.3">
      <c r="A60" s="430" t="s">
        <v>301</v>
      </c>
      <c r="B60" s="492" t="s">
        <v>313</v>
      </c>
      <c r="C60" s="449">
        <f>145000+71000+71000</f>
        <v>287000</v>
      </c>
      <c r="D60" s="276">
        <v>145000</v>
      </c>
      <c r="E60" s="276"/>
      <c r="F60" s="276">
        <f>12700+58300-71000+71000</f>
        <v>71000</v>
      </c>
      <c r="G60" s="276">
        <v>71000</v>
      </c>
      <c r="H60" s="276"/>
      <c r="I60" s="276"/>
      <c r="J60" s="548">
        <f>SUM(D60:I60)</f>
        <v>287000</v>
      </c>
      <c r="K60" s="431">
        <f t="shared" si="20"/>
        <v>0</v>
      </c>
      <c r="L60" s="534"/>
      <c r="N60" s="458" t="s">
        <v>230</v>
      </c>
      <c r="O60" s="746">
        <v>0</v>
      </c>
      <c r="P60" s="544"/>
    </row>
    <row r="61" spans="1:16" ht="16.5" thickBot="1" x14ac:dyDescent="0.3">
      <c r="A61" s="433" t="s">
        <v>98</v>
      </c>
      <c r="B61" s="443" t="s">
        <v>804</v>
      </c>
      <c r="C61" s="270">
        <f>70000+42000+300</f>
        <v>112300</v>
      </c>
      <c r="D61" s="270">
        <f>70000</f>
        <v>70000</v>
      </c>
      <c r="E61" s="270"/>
      <c r="F61" s="270">
        <f>12000+30000+300</f>
        <v>42300</v>
      </c>
      <c r="G61" s="270"/>
      <c r="H61" s="270"/>
      <c r="I61" s="270"/>
      <c r="J61" s="550">
        <f t="shared" ref="J61" si="24">SUM(D61:I61)</f>
        <v>112300</v>
      </c>
      <c r="K61" s="431">
        <f t="shared" si="20"/>
        <v>0</v>
      </c>
      <c r="L61" s="534"/>
      <c r="N61" s="459" t="s">
        <v>231</v>
      </c>
      <c r="O61" s="545">
        <f>SUM(O49:O60)</f>
        <v>30000</v>
      </c>
      <c r="P61" s="546">
        <f>SUM(P49:P60)</f>
        <v>7124</v>
      </c>
    </row>
    <row r="62" spans="1:16" ht="16.5" thickBot="1" x14ac:dyDescent="0.3">
      <c r="A62" s="844" t="s">
        <v>98</v>
      </c>
      <c r="B62" s="845" t="s">
        <v>803</v>
      </c>
      <c r="C62" s="816">
        <f>73000+6000</f>
        <v>79000</v>
      </c>
      <c r="D62" s="274">
        <f>70000</f>
        <v>70000</v>
      </c>
      <c r="E62" s="274"/>
      <c r="F62" s="816">
        <f>3000+6000</f>
        <v>9000</v>
      </c>
      <c r="G62" s="274"/>
      <c r="H62" s="274"/>
      <c r="I62" s="274"/>
      <c r="J62" s="550">
        <f t="shared" ref="J62:J65" si="25">SUM(D62:I62)</f>
        <v>79000</v>
      </c>
      <c r="K62" s="431">
        <f t="shared" si="20"/>
        <v>0</v>
      </c>
      <c r="L62" s="533">
        <f>SUM(C61:C62)</f>
        <v>191300</v>
      </c>
      <c r="M62" s="426"/>
      <c r="N62" s="437" t="s">
        <v>246</v>
      </c>
      <c r="O62" s="441">
        <f>8000+7000</f>
        <v>15000</v>
      </c>
      <c r="P62" s="543" t="s">
        <v>791</v>
      </c>
    </row>
    <row r="63" spans="1:16" x14ac:dyDescent="0.25">
      <c r="A63" s="436" t="s">
        <v>111</v>
      </c>
      <c r="B63" s="741" t="s">
        <v>337</v>
      </c>
      <c r="C63" s="268">
        <f>50000+5000-1800-520-2680</f>
        <v>50000</v>
      </c>
      <c r="D63" s="268">
        <v>50000</v>
      </c>
      <c r="E63" s="268"/>
      <c r="F63" s="268">
        <f>5000-1800-520-2680</f>
        <v>0</v>
      </c>
      <c r="G63" s="268"/>
      <c r="H63" s="268"/>
      <c r="I63" s="268"/>
      <c r="J63" s="548">
        <f t="shared" si="25"/>
        <v>50000</v>
      </c>
      <c r="K63" s="431">
        <f t="shared" si="20"/>
        <v>0</v>
      </c>
      <c r="L63" s="534"/>
    </row>
    <row r="64" spans="1:16" x14ac:dyDescent="0.25">
      <c r="A64" s="430" t="s">
        <v>111</v>
      </c>
      <c r="B64" s="740" t="s">
        <v>547</v>
      </c>
      <c r="C64" s="276">
        <f>196100-7590+1800+55000+24000</f>
        <v>269310</v>
      </c>
      <c r="D64" s="276">
        <f>105400+35350-7590</f>
        <v>133160</v>
      </c>
      <c r="E64" s="276"/>
      <c r="F64" s="276">
        <f>55350-55000+1800+55000+24000</f>
        <v>81150</v>
      </c>
      <c r="G64" s="276">
        <v>55000</v>
      </c>
      <c r="H64" s="276"/>
      <c r="I64" s="276"/>
      <c r="J64" s="548">
        <f t="shared" si="25"/>
        <v>269310</v>
      </c>
      <c r="K64" s="431">
        <f t="shared" si="20"/>
        <v>0</v>
      </c>
      <c r="L64" s="534"/>
    </row>
    <row r="65" spans="1:13" x14ac:dyDescent="0.25">
      <c r="A65" s="747" t="s">
        <v>111</v>
      </c>
      <c r="B65" s="769" t="s">
        <v>582</v>
      </c>
      <c r="C65" s="742">
        <f>30000+29800+520-29790</f>
        <v>30530</v>
      </c>
      <c r="D65" s="276">
        <v>29800</v>
      </c>
      <c r="E65" s="276"/>
      <c r="F65" s="742">
        <f>30000+520-29790</f>
        <v>730</v>
      </c>
      <c r="G65" s="276"/>
      <c r="H65" s="276"/>
      <c r="I65" s="276"/>
      <c r="J65" s="550">
        <f t="shared" si="25"/>
        <v>30530</v>
      </c>
      <c r="K65" s="431">
        <f t="shared" si="20"/>
        <v>0</v>
      </c>
      <c r="L65" s="534"/>
    </row>
    <row r="66" spans="1:13" ht="15.75" thickBot="1" x14ac:dyDescent="0.3">
      <c r="A66" s="748" t="s">
        <v>111</v>
      </c>
      <c r="B66" s="749" t="s">
        <v>802</v>
      </c>
      <c r="C66" s="750">
        <f>200000+2280+19720</f>
        <v>222000</v>
      </c>
      <c r="D66" s="273">
        <v>200000</v>
      </c>
      <c r="E66" s="273"/>
      <c r="F66" s="750">
        <f>2280+19720</f>
        <v>22000</v>
      </c>
      <c r="G66" s="273"/>
      <c r="H66" s="273"/>
      <c r="I66" s="273"/>
      <c r="J66" s="549">
        <f t="shared" ref="J66" si="26">SUM(D66:I66)</f>
        <v>222000</v>
      </c>
      <c r="K66" s="431">
        <f t="shared" si="20"/>
        <v>0</v>
      </c>
      <c r="L66" s="533">
        <f>SUM(C63:C66)</f>
        <v>571840</v>
      </c>
      <c r="M66" s="564"/>
    </row>
    <row r="67" spans="1:13" x14ac:dyDescent="0.25">
      <c r="A67" s="430" t="s">
        <v>113</v>
      </c>
      <c r="B67" s="285" t="s">
        <v>232</v>
      </c>
      <c r="C67" s="276">
        <v>0</v>
      </c>
      <c r="D67" s="276"/>
      <c r="E67" s="276"/>
      <c r="F67" s="276">
        <v>0</v>
      </c>
      <c r="G67" s="276"/>
      <c r="H67" s="276"/>
      <c r="I67" s="276"/>
      <c r="J67" s="548">
        <f t="shared" ref="J67" si="27">SUM(D67:I67)</f>
        <v>0</v>
      </c>
      <c r="K67" s="431">
        <f t="shared" si="20"/>
        <v>0</v>
      </c>
      <c r="L67" s="569"/>
      <c r="M67" s="564"/>
    </row>
    <row r="68" spans="1:13" x14ac:dyDescent="0.25">
      <c r="A68" s="430" t="s">
        <v>113</v>
      </c>
      <c r="B68" s="555" t="s">
        <v>820</v>
      </c>
      <c r="C68" s="276">
        <v>4900</v>
      </c>
      <c r="D68" s="276"/>
      <c r="E68" s="276"/>
      <c r="F68" s="276">
        <f>4200+700</f>
        <v>4900</v>
      </c>
      <c r="G68" s="276"/>
      <c r="H68" s="276"/>
      <c r="I68" s="276"/>
      <c r="J68" s="548">
        <f t="shared" ref="J68:J70" si="28">SUM(D68:I68)</f>
        <v>4900</v>
      </c>
      <c r="K68" s="431">
        <f t="shared" si="20"/>
        <v>0</v>
      </c>
      <c r="L68" s="569"/>
    </row>
    <row r="69" spans="1:13" x14ac:dyDescent="0.25">
      <c r="A69" s="433" t="s">
        <v>113</v>
      </c>
      <c r="B69" s="807" t="s">
        <v>329</v>
      </c>
      <c r="C69" s="270">
        <f>15000-15000</f>
        <v>0</v>
      </c>
      <c r="D69" s="270"/>
      <c r="E69" s="270"/>
      <c r="F69" s="270">
        <f>15000-15000</f>
        <v>0</v>
      </c>
      <c r="G69" s="270"/>
      <c r="H69" s="270"/>
      <c r="I69" s="270"/>
      <c r="J69" s="548">
        <f t="shared" si="28"/>
        <v>0</v>
      </c>
      <c r="K69" s="431">
        <f t="shared" si="20"/>
        <v>0</v>
      </c>
      <c r="L69" s="534"/>
    </row>
    <row r="70" spans="1:13" x14ac:dyDescent="0.25">
      <c r="A70" s="438" t="s">
        <v>113</v>
      </c>
      <c r="B70" s="554" t="s">
        <v>679</v>
      </c>
      <c r="C70" s="279">
        <f>110000</f>
        <v>110000</v>
      </c>
      <c r="D70" s="279">
        <v>100000</v>
      </c>
      <c r="E70" s="279"/>
      <c r="F70" s="276">
        <v>10000</v>
      </c>
      <c r="G70" s="276"/>
      <c r="H70" s="276"/>
      <c r="I70" s="276"/>
      <c r="J70" s="550">
        <f t="shared" si="28"/>
        <v>110000</v>
      </c>
      <c r="K70" s="431">
        <f t="shared" si="20"/>
        <v>0</v>
      </c>
      <c r="L70" s="534"/>
      <c r="M70" s="426">
        <f>F71+G71</f>
        <v>280590</v>
      </c>
    </row>
    <row r="71" spans="1:13" ht="15.75" thickBot="1" x14ac:dyDescent="0.3">
      <c r="A71" s="751" t="s">
        <v>113</v>
      </c>
      <c r="B71" s="752" t="s">
        <v>496</v>
      </c>
      <c r="C71" s="709">
        <f>379400+33000+5700+33430+680+946+32000+175400+1000</f>
        <v>661556</v>
      </c>
      <c r="D71" s="282">
        <f>379400+680</f>
        <v>380080</v>
      </c>
      <c r="E71" s="282">
        <f>886</f>
        <v>886</v>
      </c>
      <c r="F71" s="753">
        <f>32114-32000+5700+33430+946+32000+175400+1000</f>
        <v>248590</v>
      </c>
      <c r="G71" s="270">
        <v>32000</v>
      </c>
      <c r="H71" s="270"/>
      <c r="I71" s="270"/>
      <c r="J71" s="549">
        <f>SUM(D71:I71)</f>
        <v>661556</v>
      </c>
      <c r="K71" s="431">
        <f t="shared" si="20"/>
        <v>0</v>
      </c>
      <c r="L71" s="533">
        <f>SUM(C67:C71)</f>
        <v>776456</v>
      </c>
    </row>
    <row r="72" spans="1:13" x14ac:dyDescent="0.25">
      <c r="A72" s="436" t="s">
        <v>122</v>
      </c>
      <c r="B72" s="525" t="s">
        <v>779</v>
      </c>
      <c r="C72" s="268">
        <f>475100-230100+46000+7300</f>
        <v>298300</v>
      </c>
      <c r="D72" s="268">
        <v>430000</v>
      </c>
      <c r="E72" s="268"/>
      <c r="F72" s="268">
        <f>46000-46000+46000+7300</f>
        <v>53300</v>
      </c>
      <c r="G72" s="268">
        <f>-230100+45100</f>
        <v>-185000</v>
      </c>
      <c r="H72" s="268"/>
      <c r="I72" s="268"/>
      <c r="J72" s="548">
        <f t="shared" ref="J72" si="29">SUM(D72:I72)</f>
        <v>298300</v>
      </c>
      <c r="K72" s="431">
        <f t="shared" si="20"/>
        <v>0</v>
      </c>
      <c r="L72" s="533"/>
    </row>
    <row r="73" spans="1:13" ht="15.75" thickBot="1" x14ac:dyDescent="0.3">
      <c r="A73" s="439" t="s">
        <v>122</v>
      </c>
      <c r="B73" s="843" t="s">
        <v>801</v>
      </c>
      <c r="C73" s="273">
        <v>39430</v>
      </c>
      <c r="D73" s="273"/>
      <c r="E73" s="273"/>
      <c r="F73" s="273">
        <v>39430</v>
      </c>
      <c r="G73" s="273"/>
      <c r="H73" s="273"/>
      <c r="I73" s="273"/>
      <c r="J73" s="549">
        <f t="shared" ref="J73:J75" si="30">SUM(D73:I73)</f>
        <v>39430</v>
      </c>
      <c r="K73" s="431">
        <f t="shared" si="20"/>
        <v>0</v>
      </c>
      <c r="L73" s="533">
        <f>SUM(C72:C73)</f>
        <v>337730</v>
      </c>
    </row>
    <row r="74" spans="1:13" x14ac:dyDescent="0.25">
      <c r="A74" s="430" t="s">
        <v>124</v>
      </c>
      <c r="B74" s="793" t="s">
        <v>625</v>
      </c>
      <c r="C74" s="276">
        <v>81600</v>
      </c>
      <c r="D74" s="276">
        <v>73400</v>
      </c>
      <c r="E74" s="276"/>
      <c r="F74" s="276">
        <v>8200</v>
      </c>
      <c r="G74" s="276"/>
      <c r="H74" s="276"/>
      <c r="I74" s="276"/>
      <c r="J74" s="548">
        <f t="shared" si="30"/>
        <v>81600</v>
      </c>
      <c r="K74" s="431">
        <f t="shared" si="20"/>
        <v>0</v>
      </c>
      <c r="L74" s="533"/>
    </row>
    <row r="75" spans="1:13" x14ac:dyDescent="0.25">
      <c r="A75" s="433" t="s">
        <v>124</v>
      </c>
      <c r="B75" s="526" t="s">
        <v>797</v>
      </c>
      <c r="C75" s="270">
        <f>95000+6000</f>
        <v>101000</v>
      </c>
      <c r="D75" s="270">
        <v>95000</v>
      </c>
      <c r="E75" s="270"/>
      <c r="F75" s="270">
        <v>6000</v>
      </c>
      <c r="G75" s="270"/>
      <c r="H75" s="270"/>
      <c r="I75" s="270"/>
      <c r="J75" s="550">
        <f t="shared" si="30"/>
        <v>101000</v>
      </c>
      <c r="K75" s="431">
        <f t="shared" si="20"/>
        <v>0</v>
      </c>
      <c r="L75" s="533"/>
    </row>
    <row r="76" spans="1:13" ht="15.75" thickBot="1" x14ac:dyDescent="0.3">
      <c r="A76" s="439" t="s">
        <v>124</v>
      </c>
      <c r="B76" s="843" t="s">
        <v>314</v>
      </c>
      <c r="C76" s="273">
        <f>1146000-16800+200</f>
        <v>1129400</v>
      </c>
      <c r="D76" s="273">
        <f>1220380-74380+200</f>
        <v>1146200</v>
      </c>
      <c r="E76" s="273"/>
      <c r="F76" s="273">
        <v>0</v>
      </c>
      <c r="G76" s="273">
        <v>-16800</v>
      </c>
      <c r="H76" s="273"/>
      <c r="I76" s="273"/>
      <c r="J76" s="549">
        <f t="shared" ref="J76" si="31">SUM(D76:I76)</f>
        <v>1129400</v>
      </c>
      <c r="K76" s="431">
        <f>C76-J76</f>
        <v>0</v>
      </c>
      <c r="L76" s="533">
        <f>SUM(C74:C76)</f>
        <v>1312000</v>
      </c>
    </row>
    <row r="77" spans="1:13" ht="15.75" thickBot="1" x14ac:dyDescent="0.3">
      <c r="A77" s="430" t="s">
        <v>125</v>
      </c>
      <c r="B77" s="793" t="s">
        <v>775</v>
      </c>
      <c r="C77" s="276">
        <f>831300</f>
        <v>831300</v>
      </c>
      <c r="D77" s="276">
        <v>831300</v>
      </c>
      <c r="E77" s="276"/>
      <c r="F77" s="276">
        <v>0</v>
      </c>
      <c r="G77" s="276"/>
      <c r="H77" s="276"/>
      <c r="I77" s="276"/>
      <c r="J77" s="548">
        <f t="shared" ref="J77" si="32">SUM(D77:I77)</f>
        <v>831300</v>
      </c>
      <c r="K77" s="431">
        <f t="shared" ref="K77:K81" si="33">C77-J77</f>
        <v>0</v>
      </c>
      <c r="L77" s="533"/>
    </row>
    <row r="78" spans="1:13" ht="15.75" thickBot="1" x14ac:dyDescent="0.3">
      <c r="A78" s="932" t="s">
        <v>233</v>
      </c>
      <c r="B78" s="933"/>
      <c r="C78" s="446">
        <f t="shared" ref="C78:J78" si="34">SUM(C49:C77)</f>
        <v>4868666</v>
      </c>
      <c r="D78" s="446">
        <f t="shared" si="34"/>
        <v>4114780</v>
      </c>
      <c r="E78" s="446">
        <f t="shared" si="34"/>
        <v>3886</v>
      </c>
      <c r="F78" s="446">
        <f t="shared" si="34"/>
        <v>650000</v>
      </c>
      <c r="G78" s="446">
        <f t="shared" si="34"/>
        <v>0</v>
      </c>
      <c r="H78" s="446">
        <f t="shared" si="34"/>
        <v>0</v>
      </c>
      <c r="I78" s="446">
        <f t="shared" si="34"/>
        <v>100000</v>
      </c>
      <c r="J78" s="552">
        <f t="shared" si="34"/>
        <v>4868666</v>
      </c>
      <c r="K78" s="431">
        <f t="shared" si="33"/>
        <v>0</v>
      </c>
      <c r="L78" s="584"/>
    </row>
    <row r="79" spans="1:13" ht="15.75" thickBot="1" x14ac:dyDescent="0.3">
      <c r="A79" s="430"/>
      <c r="B79" s="448"/>
      <c r="C79" s="449"/>
      <c r="D79" s="276"/>
      <c r="E79" s="276"/>
      <c r="F79" s="447"/>
      <c r="G79" s="447"/>
      <c r="H79" s="447"/>
      <c r="I79" s="276"/>
      <c r="J79" s="548">
        <f>SUM(D79:I79)</f>
        <v>0</v>
      </c>
      <c r="K79" s="431">
        <f t="shared" si="33"/>
        <v>0</v>
      </c>
    </row>
    <row r="80" spans="1:13" ht="15.75" thickBot="1" x14ac:dyDescent="0.3">
      <c r="A80" s="932" t="s">
        <v>234</v>
      </c>
      <c r="B80" s="933"/>
      <c r="C80" s="446">
        <f>SUM(C79:C79)</f>
        <v>0</v>
      </c>
      <c r="D80" s="446">
        <f t="shared" ref="D80:I80" si="35">SUM(D79:D79)</f>
        <v>0</v>
      </c>
      <c r="E80" s="446">
        <f t="shared" si="35"/>
        <v>0</v>
      </c>
      <c r="F80" s="446">
        <f t="shared" si="35"/>
        <v>0</v>
      </c>
      <c r="G80" s="446">
        <f t="shared" si="35"/>
        <v>0</v>
      </c>
      <c r="H80" s="446">
        <f t="shared" si="35"/>
        <v>0</v>
      </c>
      <c r="I80" s="446">
        <f t="shared" si="35"/>
        <v>0</v>
      </c>
      <c r="J80" s="552">
        <f>SUM(J79:J79)</f>
        <v>0</v>
      </c>
      <c r="K80" s="431">
        <f t="shared" si="33"/>
        <v>0</v>
      </c>
    </row>
    <row r="81" spans="1:16" ht="18.75" thickBot="1" x14ac:dyDescent="0.3">
      <c r="A81" s="934" t="s">
        <v>252</v>
      </c>
      <c r="B81" s="935"/>
      <c r="C81" s="446">
        <f>C78+C80</f>
        <v>4868666</v>
      </c>
      <c r="D81" s="446">
        <f t="shared" ref="D81:I81" si="36">D78+D80</f>
        <v>4114780</v>
      </c>
      <c r="E81" s="446">
        <f t="shared" si="36"/>
        <v>3886</v>
      </c>
      <c r="F81" s="446">
        <f t="shared" si="36"/>
        <v>650000</v>
      </c>
      <c r="G81" s="446">
        <f t="shared" si="36"/>
        <v>0</v>
      </c>
      <c r="H81" s="446">
        <f t="shared" si="36"/>
        <v>0</v>
      </c>
      <c r="I81" s="446">
        <f t="shared" si="36"/>
        <v>100000</v>
      </c>
      <c r="J81" s="552">
        <f>J78+J80</f>
        <v>4868666</v>
      </c>
      <c r="K81" s="431">
        <f t="shared" si="33"/>
        <v>0</v>
      </c>
      <c r="L81" s="533"/>
    </row>
    <row r="82" spans="1:16" x14ac:dyDescent="0.25">
      <c r="A82" s="450"/>
      <c r="B82" s="838" t="s">
        <v>790</v>
      </c>
      <c r="C82" s="839">
        <f>C81-C117</f>
        <v>4829236</v>
      </c>
      <c r="E82" s="453"/>
      <c r="F82" s="566">
        <f>345000+305000</f>
        <v>650000</v>
      </c>
      <c r="G82" s="567">
        <f>185000+16800</f>
        <v>201800</v>
      </c>
      <c r="H82" s="566"/>
      <c r="I82" s="454"/>
      <c r="J82" s="837" t="s">
        <v>789</v>
      </c>
      <c r="K82" s="456"/>
    </row>
    <row r="83" spans="1:16" x14ac:dyDescent="0.25">
      <c r="A83" s="450"/>
      <c r="B83" s="450"/>
      <c r="C83" s="451"/>
      <c r="E83" s="453"/>
      <c r="F83" s="426">
        <f>F82-F81</f>
        <v>0</v>
      </c>
      <c r="G83" s="565">
        <f>F82+G82</f>
        <v>851800</v>
      </c>
      <c r="H83" s="452"/>
      <c r="I83" s="454"/>
      <c r="J83" s="455"/>
      <c r="K83" s="456"/>
    </row>
    <row r="84" spans="1:16" x14ac:dyDescent="0.25">
      <c r="A84" s="427"/>
      <c r="B84" s="538" t="s">
        <v>315</v>
      </c>
      <c r="C84" s="529" t="s">
        <v>299</v>
      </c>
      <c r="D84" s="520">
        <f>2590450-70000-12860+680+29800+73400+100000+200+95000+957700+182600</f>
        <v>3946970</v>
      </c>
      <c r="E84" s="474">
        <v>3000</v>
      </c>
      <c r="G84" s="460"/>
      <c r="H84" s="460"/>
      <c r="I84" s="427"/>
      <c r="J84" s="520">
        <f>SUM(D84:I84)</f>
        <v>3949970</v>
      </c>
    </row>
    <row r="85" spans="1:16" ht="15.75" x14ac:dyDescent="0.25">
      <c r="A85" s="427"/>
      <c r="C85" s="529" t="s">
        <v>300</v>
      </c>
      <c r="D85" s="528">
        <f>105400+70000-7590</f>
        <v>167810</v>
      </c>
      <c r="E85" s="527">
        <v>886</v>
      </c>
      <c r="F85" s="563"/>
      <c r="G85" s="426"/>
      <c r="H85" s="457"/>
      <c r="I85" s="527">
        <v>100000</v>
      </c>
      <c r="J85" s="743">
        <f>SUM(D85:I85)</f>
        <v>268696</v>
      </c>
    </row>
    <row r="86" spans="1:16" x14ac:dyDescent="0.25">
      <c r="A86" s="427"/>
      <c r="C86" s="427"/>
      <c r="D86" s="520">
        <f>SUM(D84:D85)</f>
        <v>4114780</v>
      </c>
      <c r="E86" s="427"/>
      <c r="F86" s="427"/>
      <c r="G86" s="427"/>
      <c r="H86" s="427"/>
      <c r="I86" s="539"/>
      <c r="J86" s="520"/>
      <c r="K86" s="427"/>
    </row>
    <row r="87" spans="1:16" x14ac:dyDescent="0.25">
      <c r="B87" s="734" t="s">
        <v>900</v>
      </c>
      <c r="D87" s="474">
        <f>D86-D81</f>
        <v>0</v>
      </c>
    </row>
    <row r="88" spans="1:16" x14ac:dyDescent="0.25">
      <c r="B88" t="s">
        <v>185</v>
      </c>
    </row>
    <row r="90" spans="1:16" ht="18.75" thickBot="1" x14ac:dyDescent="0.3">
      <c r="A90" s="928" t="s">
        <v>331</v>
      </c>
      <c r="B90" s="928"/>
      <c r="C90" s="928"/>
      <c r="D90" s="928"/>
      <c r="E90" s="928"/>
      <c r="F90" s="928"/>
      <c r="G90" s="928"/>
      <c r="H90" s="928"/>
      <c r="I90" s="928"/>
    </row>
    <row r="91" spans="1:16" ht="16.5" thickBot="1" x14ac:dyDescent="0.3">
      <c r="A91" s="427"/>
      <c r="B91" s="427"/>
      <c r="C91" s="427"/>
      <c r="D91" s="427"/>
      <c r="E91" s="427"/>
      <c r="F91" s="427"/>
      <c r="G91" s="427"/>
      <c r="H91" s="427"/>
      <c r="I91" s="427"/>
      <c r="J91" s="427"/>
      <c r="N91" s="929" t="s">
        <v>226</v>
      </c>
      <c r="O91" s="930"/>
      <c r="P91" s="931"/>
    </row>
    <row r="92" spans="1:16" ht="45.75" thickBot="1" x14ac:dyDescent="0.3">
      <c r="A92" s="428" t="s">
        <v>221</v>
      </c>
      <c r="B92" s="428" t="s">
        <v>222</v>
      </c>
      <c r="C92" s="429" t="s">
        <v>223</v>
      </c>
      <c r="D92" s="429" t="s">
        <v>310</v>
      </c>
      <c r="E92" s="429" t="s">
        <v>316</v>
      </c>
      <c r="F92" s="429" t="s">
        <v>224</v>
      </c>
      <c r="G92" s="429" t="s">
        <v>338</v>
      </c>
      <c r="H92" s="429" t="s">
        <v>235</v>
      </c>
      <c r="I92" s="536" t="s">
        <v>311</v>
      </c>
      <c r="J92" s="547" t="s">
        <v>225</v>
      </c>
      <c r="L92" t="s">
        <v>339</v>
      </c>
      <c r="N92" s="432" t="s">
        <v>227</v>
      </c>
      <c r="O92" s="540" t="s">
        <v>228</v>
      </c>
      <c r="P92" s="541" t="s">
        <v>317</v>
      </c>
    </row>
    <row r="93" spans="1:16" ht="15.75" x14ac:dyDescent="0.25">
      <c r="A93" s="737" t="s">
        <v>82</v>
      </c>
      <c r="B93" s="738" t="s">
        <v>229</v>
      </c>
      <c r="C93" s="739">
        <v>30000</v>
      </c>
      <c r="D93" s="739"/>
      <c r="E93" s="739"/>
      <c r="F93" s="739">
        <v>30000</v>
      </c>
      <c r="G93" s="739"/>
      <c r="H93" s="739"/>
      <c r="I93" s="739"/>
      <c r="J93" s="551">
        <f>SUM(D93:I93)</f>
        <v>30000</v>
      </c>
      <c r="K93" s="431">
        <f>C93-J93</f>
        <v>0</v>
      </c>
      <c r="L93" s="534"/>
      <c r="N93" s="760" t="s">
        <v>327</v>
      </c>
      <c r="O93" s="761">
        <f>20000-500-16700+2276-2000-2700</f>
        <v>376</v>
      </c>
      <c r="P93" s="543"/>
    </row>
    <row r="94" spans="1:16" ht="15.75" x14ac:dyDescent="0.25">
      <c r="A94" s="754" t="s">
        <v>82</v>
      </c>
      <c r="B94" s="830" t="s">
        <v>818</v>
      </c>
      <c r="C94" s="753">
        <v>11000</v>
      </c>
      <c r="D94" s="753">
        <v>9000</v>
      </c>
      <c r="E94" s="270"/>
      <c r="F94" s="753">
        <v>2000</v>
      </c>
      <c r="G94" s="270"/>
      <c r="H94" s="270"/>
      <c r="I94" s="270"/>
      <c r="J94" s="548">
        <f>SUM(D94:I94)</f>
        <v>11000</v>
      </c>
      <c r="K94" s="431">
        <f>C94-J94</f>
        <v>0</v>
      </c>
      <c r="L94" s="534"/>
      <c r="N94" s="760" t="s">
        <v>318</v>
      </c>
      <c r="O94" s="762">
        <f>5000+10000+1500+200-6276-1000+15000</f>
        <v>24424</v>
      </c>
      <c r="P94" s="542">
        <f>4400+2400+6600-6276</f>
        <v>7124</v>
      </c>
    </row>
    <row r="95" spans="1:16" ht="16.5" thickBot="1" x14ac:dyDescent="0.3">
      <c r="A95" s="735" t="s">
        <v>82</v>
      </c>
      <c r="B95" s="736" t="s">
        <v>163</v>
      </c>
      <c r="C95" s="274">
        <v>1500</v>
      </c>
      <c r="D95" s="274"/>
      <c r="E95" s="274"/>
      <c r="F95" s="274">
        <v>1500</v>
      </c>
      <c r="G95" s="274"/>
      <c r="H95" s="274"/>
      <c r="I95" s="274"/>
      <c r="J95" s="548">
        <f t="shared" ref="J95:J97" si="37">SUM(D95:I95)</f>
        <v>1500</v>
      </c>
      <c r="K95" s="431">
        <f t="shared" ref="K95:K125" si="38">C95-J95</f>
        <v>0</v>
      </c>
      <c r="L95" s="533">
        <f>SUM(C93:C95)</f>
        <v>42500</v>
      </c>
      <c r="N95" s="437" t="s">
        <v>319</v>
      </c>
      <c r="O95" s="441">
        <v>2000</v>
      </c>
      <c r="P95" s="543"/>
    </row>
    <row r="96" spans="1:16" ht="15.75" x14ac:dyDescent="0.25">
      <c r="A96" s="438" t="s">
        <v>87</v>
      </c>
      <c r="B96" s="537" t="s">
        <v>328</v>
      </c>
      <c r="C96" s="279">
        <f>151200+3530</f>
        <v>154730</v>
      </c>
      <c r="D96" s="279">
        <v>138200</v>
      </c>
      <c r="E96" s="279"/>
      <c r="F96" s="279">
        <f>13000+3530</f>
        <v>16530</v>
      </c>
      <c r="G96" s="279"/>
      <c r="H96" s="279"/>
      <c r="I96" s="279"/>
      <c r="J96" s="548">
        <f t="shared" si="37"/>
        <v>154730</v>
      </c>
      <c r="K96" s="431">
        <f t="shared" si="38"/>
        <v>0</v>
      </c>
      <c r="L96" s="534"/>
      <c r="N96" s="437" t="s">
        <v>506</v>
      </c>
      <c r="O96" s="435">
        <v>500</v>
      </c>
      <c r="P96" s="542" t="s">
        <v>798</v>
      </c>
    </row>
    <row r="97" spans="1:16" ht="15.75" x14ac:dyDescent="0.25">
      <c r="A97" s="754" t="s">
        <v>89</v>
      </c>
      <c r="B97" s="840" t="s">
        <v>800</v>
      </c>
      <c r="C97" s="753">
        <f>100000-50000</f>
        <v>50000</v>
      </c>
      <c r="D97" s="270">
        <v>0</v>
      </c>
      <c r="E97" s="270"/>
      <c r="F97" s="270">
        <v>0</v>
      </c>
      <c r="G97" s="270"/>
      <c r="H97" s="557"/>
      <c r="I97" s="557">
        <f>100000-50000</f>
        <v>50000</v>
      </c>
      <c r="J97" s="550">
        <f t="shared" si="37"/>
        <v>50000</v>
      </c>
      <c r="K97" s="431">
        <f t="shared" si="38"/>
        <v>0</v>
      </c>
      <c r="L97" s="534"/>
      <c r="N97" s="760" t="s">
        <v>792</v>
      </c>
      <c r="O97" s="762">
        <v>2700</v>
      </c>
      <c r="P97" s="542"/>
    </row>
    <row r="98" spans="1:16" ht="15.75" x14ac:dyDescent="0.25">
      <c r="A98" s="751" t="s">
        <v>89</v>
      </c>
      <c r="B98" s="833" t="s">
        <v>799</v>
      </c>
      <c r="C98" s="709">
        <v>50000</v>
      </c>
      <c r="D98" s="282"/>
      <c r="E98" s="282"/>
      <c r="F98" s="282"/>
      <c r="G98" s="282"/>
      <c r="H98" s="832"/>
      <c r="I98" s="832">
        <f>35000+15000</f>
        <v>50000</v>
      </c>
      <c r="J98" s="550">
        <f t="shared" ref="J98" si="39">SUM(D98:I98)</f>
        <v>50000</v>
      </c>
      <c r="K98" s="431">
        <f t="shared" ref="K98" si="40">C98-J98</f>
        <v>0</v>
      </c>
      <c r="L98" s="534"/>
      <c r="N98" s="437"/>
      <c r="O98" s="441"/>
      <c r="P98" s="542"/>
    </row>
    <row r="99" spans="1:16" ht="15.75" x14ac:dyDescent="0.25">
      <c r="A99" s="751" t="s">
        <v>93</v>
      </c>
      <c r="B99" s="833" t="s">
        <v>807</v>
      </c>
      <c r="C99" s="709">
        <v>30300</v>
      </c>
      <c r="D99" s="709">
        <v>30000</v>
      </c>
      <c r="E99" s="282"/>
      <c r="F99" s="709">
        <v>300</v>
      </c>
      <c r="G99" s="282"/>
      <c r="H99" s="832"/>
      <c r="I99" s="832"/>
      <c r="J99" s="550">
        <f t="shared" ref="J99" si="41">SUM(D99:I99)</f>
        <v>30300</v>
      </c>
      <c r="K99" s="431">
        <f t="shared" ref="K99" si="42">C99-J99</f>
        <v>0</v>
      </c>
      <c r="L99" s="534"/>
      <c r="N99" s="437"/>
      <c r="O99" s="441"/>
      <c r="P99" s="542"/>
    </row>
    <row r="100" spans="1:16" ht="16.5" thickBot="1" x14ac:dyDescent="0.3">
      <c r="A100" s="439" t="s">
        <v>93</v>
      </c>
      <c r="B100" s="568" t="s">
        <v>335</v>
      </c>
      <c r="C100" s="273">
        <f>196500-12860</f>
        <v>183640</v>
      </c>
      <c r="D100" s="273">
        <f>196500-12860</f>
        <v>183640</v>
      </c>
      <c r="E100" s="273"/>
      <c r="F100" s="273">
        <v>0</v>
      </c>
      <c r="G100" s="273"/>
      <c r="H100" s="440"/>
      <c r="I100" s="440"/>
      <c r="J100" s="550">
        <f t="shared" ref="J100" si="43">SUM(D100:I100)</f>
        <v>183640</v>
      </c>
      <c r="K100" s="431">
        <f t="shared" si="38"/>
        <v>0</v>
      </c>
      <c r="L100" s="533">
        <f>SUM(C99:C100)</f>
        <v>213940</v>
      </c>
      <c r="N100" s="467"/>
      <c r="O100" s="468"/>
      <c r="P100" s="544"/>
    </row>
    <row r="101" spans="1:16" ht="15.75" x14ac:dyDescent="0.25">
      <c r="A101" s="794" t="s">
        <v>164</v>
      </c>
      <c r="B101" s="834" t="s">
        <v>165</v>
      </c>
      <c r="C101" s="790">
        <f>3000+20000-20000</f>
        <v>3000</v>
      </c>
      <c r="D101" s="279"/>
      <c r="E101" s="279">
        <v>3000</v>
      </c>
      <c r="F101" s="790">
        <f>20000-20000</f>
        <v>0</v>
      </c>
      <c r="G101" s="279"/>
      <c r="H101" s="279"/>
      <c r="I101" s="279"/>
      <c r="J101" s="548">
        <f t="shared" ref="J101:J102" si="44">SUM(D101:I101)</f>
        <v>3000</v>
      </c>
      <c r="K101" s="431">
        <f t="shared" si="38"/>
        <v>0</v>
      </c>
      <c r="L101" s="534"/>
      <c r="N101" s="467"/>
      <c r="O101" s="468"/>
      <c r="P101" s="544"/>
    </row>
    <row r="102" spans="1:16" ht="15.75" x14ac:dyDescent="0.25">
      <c r="A102" s="754" t="s">
        <v>96</v>
      </c>
      <c r="B102" s="755" t="s">
        <v>247</v>
      </c>
      <c r="C102" s="753">
        <f>10000-5700-4300</f>
        <v>0</v>
      </c>
      <c r="D102" s="270"/>
      <c r="E102" s="270"/>
      <c r="F102" s="753">
        <f>10000-5700-4300</f>
        <v>0</v>
      </c>
      <c r="G102" s="270"/>
      <c r="H102" s="270"/>
      <c r="I102" s="270"/>
      <c r="J102" s="550">
        <f t="shared" si="44"/>
        <v>0</v>
      </c>
      <c r="K102" s="431">
        <f t="shared" si="38"/>
        <v>0</v>
      </c>
      <c r="L102" s="534"/>
      <c r="M102" s="426"/>
      <c r="N102" s="467"/>
      <c r="O102" s="468"/>
      <c r="P102" s="544"/>
    </row>
    <row r="103" spans="1:16" ht="16.5" thickBot="1" x14ac:dyDescent="0.3">
      <c r="A103" s="748" t="s">
        <v>96</v>
      </c>
      <c r="B103" s="777" t="s">
        <v>357</v>
      </c>
      <c r="C103" s="750">
        <f>15036+43800+163000-33430-946-55000-300-8200+142470-210200-12430</f>
        <v>43800</v>
      </c>
      <c r="D103" s="273"/>
      <c r="E103" s="273"/>
      <c r="F103" s="750">
        <f>50000+9036-44000+163000-33430-946-55000-300-8200+142470-2000-19500-175400-7300-6000-12430</f>
        <v>0</v>
      </c>
      <c r="G103" s="846">
        <v>43800</v>
      </c>
      <c r="H103" s="273"/>
      <c r="I103" s="273"/>
      <c r="J103" s="549">
        <f t="shared" ref="J103" si="45">SUM(D103:I103)</f>
        <v>43800</v>
      </c>
      <c r="K103" s="431">
        <f t="shared" si="38"/>
        <v>0</v>
      </c>
      <c r="L103" s="533">
        <f>SUM(C102:C103)</f>
        <v>43800</v>
      </c>
      <c r="N103" s="467"/>
      <c r="O103" s="468"/>
      <c r="P103" s="544"/>
    </row>
    <row r="104" spans="1:16" ht="16.5" thickBot="1" x14ac:dyDescent="0.3">
      <c r="A104" s="430" t="s">
        <v>301</v>
      </c>
      <c r="B104" s="492" t="s">
        <v>313</v>
      </c>
      <c r="C104" s="449">
        <f>145000+71000+71000</f>
        <v>287000</v>
      </c>
      <c r="D104" s="276">
        <v>145000</v>
      </c>
      <c r="E104" s="276"/>
      <c r="F104" s="276">
        <f>12700+58300-71000+71000</f>
        <v>71000</v>
      </c>
      <c r="G104" s="276">
        <v>71000</v>
      </c>
      <c r="H104" s="276"/>
      <c r="I104" s="276"/>
      <c r="J104" s="548">
        <f>SUM(D104:I104)</f>
        <v>287000</v>
      </c>
      <c r="K104" s="431">
        <f t="shared" si="38"/>
        <v>0</v>
      </c>
      <c r="L104" s="534"/>
      <c r="N104" s="458" t="s">
        <v>230</v>
      </c>
      <c r="O104" s="746">
        <v>0</v>
      </c>
      <c r="P104" s="544"/>
    </row>
    <row r="105" spans="1:16" ht="16.5" thickBot="1" x14ac:dyDescent="0.3">
      <c r="A105" s="754" t="s">
        <v>98</v>
      </c>
      <c r="B105" s="755" t="s">
        <v>804</v>
      </c>
      <c r="C105" s="753">
        <f>70000+42000+300</f>
        <v>112300</v>
      </c>
      <c r="D105" s="753">
        <f>70000</f>
        <v>70000</v>
      </c>
      <c r="E105" s="753"/>
      <c r="F105" s="753">
        <f>12000+30000+300</f>
        <v>42300</v>
      </c>
      <c r="G105" s="270"/>
      <c r="H105" s="270"/>
      <c r="I105" s="270"/>
      <c r="J105" s="550">
        <f t="shared" ref="J105" si="46">SUM(D105:I105)</f>
        <v>112300</v>
      </c>
      <c r="K105" s="431">
        <f t="shared" ref="K105" si="47">C105-J105</f>
        <v>0</v>
      </c>
      <c r="L105" s="534"/>
      <c r="N105" s="459" t="s">
        <v>231</v>
      </c>
      <c r="O105" s="545">
        <f>SUM(O93:O104)</f>
        <v>30000</v>
      </c>
      <c r="P105" s="546">
        <f>SUM(P93:P104)</f>
        <v>7124</v>
      </c>
    </row>
    <row r="106" spans="1:16" ht="16.5" thickBot="1" x14ac:dyDescent="0.3">
      <c r="A106" s="844" t="s">
        <v>98</v>
      </c>
      <c r="B106" s="845" t="s">
        <v>803</v>
      </c>
      <c r="C106" s="816">
        <f>73000</f>
        <v>73000</v>
      </c>
      <c r="D106" s="816">
        <f>70000</f>
        <v>70000</v>
      </c>
      <c r="E106" s="816"/>
      <c r="F106" s="816">
        <f>3000</f>
        <v>3000</v>
      </c>
      <c r="G106" s="274"/>
      <c r="H106" s="274"/>
      <c r="I106" s="274"/>
      <c r="J106" s="550">
        <f t="shared" ref="J106:J111" si="48">SUM(D106:I106)</f>
        <v>73000</v>
      </c>
      <c r="K106" s="431">
        <f t="shared" si="38"/>
        <v>0</v>
      </c>
      <c r="L106" s="533">
        <f>SUM(C105:C106)</f>
        <v>185300</v>
      </c>
      <c r="M106" s="426"/>
      <c r="N106" s="760" t="s">
        <v>246</v>
      </c>
      <c r="O106" s="761">
        <f>8000+7000</f>
        <v>15000</v>
      </c>
      <c r="P106" s="542" t="s">
        <v>791</v>
      </c>
    </row>
    <row r="107" spans="1:16" x14ac:dyDescent="0.25">
      <c r="A107" s="775" t="s">
        <v>111</v>
      </c>
      <c r="B107" s="776" t="s">
        <v>337</v>
      </c>
      <c r="C107" s="774">
        <f>50000+5000-1800-520-2680</f>
        <v>50000</v>
      </c>
      <c r="D107" s="268">
        <v>50000</v>
      </c>
      <c r="E107" s="268"/>
      <c r="F107" s="774">
        <f>5000-1800-520-2680</f>
        <v>0</v>
      </c>
      <c r="G107" s="268"/>
      <c r="H107" s="268"/>
      <c r="I107" s="268"/>
      <c r="J107" s="548">
        <f t="shared" si="48"/>
        <v>50000</v>
      </c>
      <c r="K107" s="431">
        <f t="shared" si="38"/>
        <v>0</v>
      </c>
      <c r="L107" s="534"/>
    </row>
    <row r="108" spans="1:16" x14ac:dyDescent="0.25">
      <c r="A108" s="747" t="s">
        <v>111</v>
      </c>
      <c r="B108" s="744" t="s">
        <v>547</v>
      </c>
      <c r="C108" s="742">
        <f>196100-7590+1800+55000+24000</f>
        <v>269310</v>
      </c>
      <c r="D108" s="276">
        <f>105400+35350-7590</f>
        <v>133160</v>
      </c>
      <c r="E108" s="276"/>
      <c r="F108" s="742">
        <f>55350-55000+1800+55000+24000</f>
        <v>81150</v>
      </c>
      <c r="G108" s="276">
        <v>55000</v>
      </c>
      <c r="H108" s="276"/>
      <c r="I108" s="276"/>
      <c r="J108" s="548">
        <f t="shared" si="48"/>
        <v>269310</v>
      </c>
      <c r="K108" s="431">
        <f t="shared" si="38"/>
        <v>0</v>
      </c>
      <c r="L108" s="534"/>
    </row>
    <row r="109" spans="1:16" x14ac:dyDescent="0.25">
      <c r="A109" s="430" t="s">
        <v>111</v>
      </c>
      <c r="B109" s="555" t="s">
        <v>582</v>
      </c>
      <c r="C109" s="276">
        <f>30000+29800+520</f>
        <v>60320</v>
      </c>
      <c r="D109" s="276">
        <v>29800</v>
      </c>
      <c r="E109" s="276"/>
      <c r="F109" s="276">
        <f>30000+520</f>
        <v>30520</v>
      </c>
      <c r="G109" s="276"/>
      <c r="H109" s="276"/>
      <c r="I109" s="276"/>
      <c r="J109" s="550">
        <f t="shared" si="48"/>
        <v>60320</v>
      </c>
      <c r="K109" s="431">
        <f t="shared" si="38"/>
        <v>0</v>
      </c>
      <c r="L109" s="534"/>
    </row>
    <row r="110" spans="1:16" ht="15.75" thickBot="1" x14ac:dyDescent="0.3">
      <c r="A110" s="748" t="s">
        <v>111</v>
      </c>
      <c r="B110" s="749" t="s">
        <v>802</v>
      </c>
      <c r="C110" s="750">
        <f>200000+2280</f>
        <v>202280</v>
      </c>
      <c r="D110" s="273">
        <v>200000</v>
      </c>
      <c r="E110" s="273"/>
      <c r="F110" s="750">
        <v>2280</v>
      </c>
      <c r="G110" s="273"/>
      <c r="H110" s="273"/>
      <c r="I110" s="273"/>
      <c r="J110" s="549">
        <f t="shared" ref="J110" si="49">SUM(D110:I110)</f>
        <v>202280</v>
      </c>
      <c r="K110" s="431">
        <f t="shared" ref="K110" si="50">C110-J110</f>
        <v>0</v>
      </c>
      <c r="L110" s="533">
        <f>SUM(C107:C110)</f>
        <v>581910</v>
      </c>
      <c r="M110" s="564"/>
    </row>
    <row r="111" spans="1:16" x14ac:dyDescent="0.25">
      <c r="A111" s="430" t="s">
        <v>113</v>
      </c>
      <c r="B111" s="285" t="s">
        <v>232</v>
      </c>
      <c r="C111" s="276">
        <v>0</v>
      </c>
      <c r="D111" s="276"/>
      <c r="E111" s="276"/>
      <c r="F111" s="276">
        <v>0</v>
      </c>
      <c r="G111" s="276"/>
      <c r="H111" s="276"/>
      <c r="I111" s="276"/>
      <c r="J111" s="548">
        <f t="shared" si="48"/>
        <v>0</v>
      </c>
      <c r="K111" s="431">
        <f t="shared" si="38"/>
        <v>0</v>
      </c>
      <c r="L111" s="569"/>
      <c r="M111" s="564"/>
    </row>
    <row r="112" spans="1:16" x14ac:dyDescent="0.25">
      <c r="A112" s="747" t="s">
        <v>113</v>
      </c>
      <c r="B112" s="769" t="s">
        <v>820</v>
      </c>
      <c r="C112" s="742">
        <v>4900</v>
      </c>
      <c r="D112" s="276"/>
      <c r="E112" s="276"/>
      <c r="F112" s="742">
        <f>4200+700</f>
        <v>4900</v>
      </c>
      <c r="G112" s="276"/>
      <c r="H112" s="276"/>
      <c r="I112" s="276"/>
      <c r="J112" s="548">
        <f t="shared" ref="J112:J113" si="51">SUM(D112:I112)</f>
        <v>4900</v>
      </c>
      <c r="K112" s="431">
        <f t="shared" ref="K112:K113" si="52">C112-J112</f>
        <v>0</v>
      </c>
      <c r="L112" s="569"/>
    </row>
    <row r="113" spans="1:13" x14ac:dyDescent="0.25">
      <c r="A113" s="754" t="s">
        <v>113</v>
      </c>
      <c r="B113" s="830" t="s">
        <v>329</v>
      </c>
      <c r="C113" s="753">
        <f>15000-15000</f>
        <v>0</v>
      </c>
      <c r="D113" s="270"/>
      <c r="E113" s="270"/>
      <c r="F113" s="753">
        <f>15000-15000</f>
        <v>0</v>
      </c>
      <c r="G113" s="270"/>
      <c r="H113" s="270"/>
      <c r="I113" s="270"/>
      <c r="J113" s="548">
        <f t="shared" si="51"/>
        <v>0</v>
      </c>
      <c r="K113" s="431">
        <f t="shared" si="52"/>
        <v>0</v>
      </c>
      <c r="L113" s="534"/>
    </row>
    <row r="114" spans="1:13" x14ac:dyDescent="0.25">
      <c r="A114" s="438" t="s">
        <v>113</v>
      </c>
      <c r="B114" s="554" t="s">
        <v>679</v>
      </c>
      <c r="C114" s="279">
        <f>110000</f>
        <v>110000</v>
      </c>
      <c r="D114" s="279">
        <v>100000</v>
      </c>
      <c r="E114" s="279"/>
      <c r="F114" s="276">
        <v>10000</v>
      </c>
      <c r="G114" s="276"/>
      <c r="H114" s="276"/>
      <c r="I114" s="276"/>
      <c r="J114" s="550">
        <f t="shared" ref="J114" si="53">SUM(D114:I114)</f>
        <v>110000</v>
      </c>
      <c r="K114" s="431">
        <f t="shared" si="38"/>
        <v>0</v>
      </c>
      <c r="L114" s="534"/>
      <c r="M114" s="426">
        <f>F115+G115</f>
        <v>279590</v>
      </c>
    </row>
    <row r="115" spans="1:13" ht="15.75" thickBot="1" x14ac:dyDescent="0.3">
      <c r="A115" s="751" t="s">
        <v>113</v>
      </c>
      <c r="B115" s="752" t="s">
        <v>496</v>
      </c>
      <c r="C115" s="709">
        <f>379400+33000+5700+33430+680+946+32000+175400</f>
        <v>660556</v>
      </c>
      <c r="D115" s="282">
        <f>379400+680</f>
        <v>380080</v>
      </c>
      <c r="E115" s="282">
        <f>886</f>
        <v>886</v>
      </c>
      <c r="F115" s="753">
        <f>32114-32000+5700+33430+946+32000+175400</f>
        <v>247590</v>
      </c>
      <c r="G115" s="270">
        <v>32000</v>
      </c>
      <c r="H115" s="270"/>
      <c r="I115" s="270"/>
      <c r="J115" s="549">
        <f>SUM(D115:I115)</f>
        <v>660556</v>
      </c>
      <c r="K115" s="431">
        <f t="shared" si="38"/>
        <v>0</v>
      </c>
      <c r="L115" s="533">
        <f>SUM(C111:C115)</f>
        <v>775456</v>
      </c>
    </row>
    <row r="116" spans="1:13" x14ac:dyDescent="0.25">
      <c r="A116" s="775" t="s">
        <v>122</v>
      </c>
      <c r="B116" s="805" t="s">
        <v>779</v>
      </c>
      <c r="C116" s="774">
        <f>475100-230100+46000+7300</f>
        <v>298300</v>
      </c>
      <c r="D116" s="268">
        <v>430000</v>
      </c>
      <c r="E116" s="268"/>
      <c r="F116" s="774">
        <f>46000-46000+46000+7300</f>
        <v>53300</v>
      </c>
      <c r="G116" s="268">
        <f>-230100+45100</f>
        <v>-185000</v>
      </c>
      <c r="H116" s="268"/>
      <c r="I116" s="268"/>
      <c r="J116" s="548">
        <f t="shared" ref="J116" si="54">SUM(D116:I116)</f>
        <v>298300</v>
      </c>
      <c r="K116" s="431">
        <f t="shared" si="38"/>
        <v>0</v>
      </c>
      <c r="L116" s="533"/>
    </row>
    <row r="117" spans="1:13" ht="15.75" thickBot="1" x14ac:dyDescent="0.3">
      <c r="A117" s="748" t="s">
        <v>122</v>
      </c>
      <c r="B117" s="841" t="s">
        <v>801</v>
      </c>
      <c r="C117" s="750">
        <v>39430</v>
      </c>
      <c r="D117" s="273"/>
      <c r="E117" s="273"/>
      <c r="F117" s="750">
        <v>39430</v>
      </c>
      <c r="G117" s="273"/>
      <c r="H117" s="273"/>
      <c r="I117" s="273"/>
      <c r="J117" s="549">
        <f t="shared" ref="J117" si="55">SUM(D117:I117)</f>
        <v>39430</v>
      </c>
      <c r="K117" s="431">
        <f t="shared" ref="K117" si="56">C117-J117</f>
        <v>0</v>
      </c>
      <c r="L117" s="533">
        <f>SUM(C116:C117)</f>
        <v>337730</v>
      </c>
    </row>
    <row r="118" spans="1:13" x14ac:dyDescent="0.25">
      <c r="A118" s="430" t="s">
        <v>124</v>
      </c>
      <c r="B118" s="793" t="s">
        <v>625</v>
      </c>
      <c r="C118" s="276">
        <v>81600</v>
      </c>
      <c r="D118" s="276">
        <v>73400</v>
      </c>
      <c r="E118" s="276"/>
      <c r="F118" s="276">
        <v>8200</v>
      </c>
      <c r="G118" s="276"/>
      <c r="H118" s="276"/>
      <c r="I118" s="276"/>
      <c r="J118" s="548">
        <f t="shared" ref="J118:J119" si="57">SUM(D118:I118)</f>
        <v>81600</v>
      </c>
      <c r="K118" s="431">
        <f t="shared" si="38"/>
        <v>0</v>
      </c>
      <c r="L118" s="533"/>
    </row>
    <row r="119" spans="1:13" x14ac:dyDescent="0.25">
      <c r="A119" s="754" t="s">
        <v>124</v>
      </c>
      <c r="B119" s="842" t="s">
        <v>797</v>
      </c>
      <c r="C119" s="753">
        <f>95000+6000</f>
        <v>101000</v>
      </c>
      <c r="D119" s="270">
        <v>95000</v>
      </c>
      <c r="E119" s="270"/>
      <c r="F119" s="753">
        <v>6000</v>
      </c>
      <c r="G119" s="270"/>
      <c r="H119" s="270"/>
      <c r="I119" s="270"/>
      <c r="J119" s="550">
        <f t="shared" si="57"/>
        <v>101000</v>
      </c>
      <c r="K119" s="431">
        <f t="shared" si="38"/>
        <v>0</v>
      </c>
      <c r="L119" s="533"/>
    </row>
    <row r="120" spans="1:13" ht="15.75" thickBot="1" x14ac:dyDescent="0.3">
      <c r="A120" s="439" t="s">
        <v>124</v>
      </c>
      <c r="B120" s="843" t="s">
        <v>314</v>
      </c>
      <c r="C120" s="273">
        <f>1146000-16800+200</f>
        <v>1129400</v>
      </c>
      <c r="D120" s="273">
        <f>1220380-74380+200</f>
        <v>1146200</v>
      </c>
      <c r="E120" s="273"/>
      <c r="F120" s="273">
        <v>0</v>
      </c>
      <c r="G120" s="273">
        <v>-16800</v>
      </c>
      <c r="H120" s="273"/>
      <c r="I120" s="273"/>
      <c r="J120" s="549">
        <f t="shared" ref="J120" si="58">SUM(D120:I120)</f>
        <v>1129400</v>
      </c>
      <c r="K120" s="431">
        <f>C120-J120</f>
        <v>0</v>
      </c>
      <c r="L120" s="533">
        <f>SUM(C118:C120)</f>
        <v>1312000</v>
      </c>
    </row>
    <row r="121" spans="1:13" ht="15.75" thickBot="1" x14ac:dyDescent="0.3">
      <c r="A121" s="747" t="s">
        <v>125</v>
      </c>
      <c r="B121" s="786" t="s">
        <v>775</v>
      </c>
      <c r="C121" s="742">
        <f>831300</f>
        <v>831300</v>
      </c>
      <c r="D121" s="742">
        <v>831300</v>
      </c>
      <c r="E121" s="276"/>
      <c r="F121" s="831">
        <v>0</v>
      </c>
      <c r="G121" s="276"/>
      <c r="H121" s="276"/>
      <c r="I121" s="276"/>
      <c r="J121" s="548">
        <f t="shared" ref="J121" si="59">SUM(D121:I121)</f>
        <v>831300</v>
      </c>
      <c r="K121" s="431">
        <f t="shared" ref="K121" si="60">C121-J121</f>
        <v>0</v>
      </c>
      <c r="L121" s="533"/>
    </row>
    <row r="122" spans="1:13" ht="15.75" thickBot="1" x14ac:dyDescent="0.3">
      <c r="A122" s="932" t="s">
        <v>233</v>
      </c>
      <c r="B122" s="933"/>
      <c r="C122" s="446">
        <f t="shared" ref="C122:J122" si="61">SUM(C93:C121)</f>
        <v>4868666</v>
      </c>
      <c r="D122" s="446">
        <f t="shared" si="61"/>
        <v>4114780</v>
      </c>
      <c r="E122" s="446">
        <f t="shared" si="61"/>
        <v>3886</v>
      </c>
      <c r="F122" s="446">
        <f t="shared" si="61"/>
        <v>650000</v>
      </c>
      <c r="G122" s="446">
        <f t="shared" si="61"/>
        <v>0</v>
      </c>
      <c r="H122" s="446">
        <f t="shared" si="61"/>
        <v>0</v>
      </c>
      <c r="I122" s="446">
        <f t="shared" si="61"/>
        <v>100000</v>
      </c>
      <c r="J122" s="552">
        <f t="shared" si="61"/>
        <v>4868666</v>
      </c>
      <c r="K122" s="431">
        <f t="shared" si="38"/>
        <v>0</v>
      </c>
      <c r="L122" s="584"/>
    </row>
    <row r="123" spans="1:13" ht="15.75" thickBot="1" x14ac:dyDescent="0.3">
      <c r="A123" s="430"/>
      <c r="B123" s="448"/>
      <c r="C123" s="449"/>
      <c r="D123" s="276"/>
      <c r="E123" s="276"/>
      <c r="F123" s="447"/>
      <c r="G123" s="447"/>
      <c r="H123" s="447"/>
      <c r="I123" s="276"/>
      <c r="J123" s="548">
        <f>SUM(D123:I123)</f>
        <v>0</v>
      </c>
      <c r="K123" s="431">
        <f t="shared" si="38"/>
        <v>0</v>
      </c>
    </row>
    <row r="124" spans="1:13" ht="15.75" thickBot="1" x14ac:dyDescent="0.3">
      <c r="A124" s="932" t="s">
        <v>234</v>
      </c>
      <c r="B124" s="933"/>
      <c r="C124" s="446">
        <f>SUM(C123:C123)</f>
        <v>0</v>
      </c>
      <c r="D124" s="446">
        <f t="shared" ref="D124:I124" si="62">SUM(D123:D123)</f>
        <v>0</v>
      </c>
      <c r="E124" s="446">
        <f t="shared" si="62"/>
        <v>0</v>
      </c>
      <c r="F124" s="446">
        <f t="shared" si="62"/>
        <v>0</v>
      </c>
      <c r="G124" s="446">
        <f t="shared" si="62"/>
        <v>0</v>
      </c>
      <c r="H124" s="446">
        <f t="shared" si="62"/>
        <v>0</v>
      </c>
      <c r="I124" s="446">
        <f t="shared" si="62"/>
        <v>0</v>
      </c>
      <c r="J124" s="552">
        <f>SUM(J123:J123)</f>
        <v>0</v>
      </c>
      <c r="K124" s="431">
        <f t="shared" si="38"/>
        <v>0</v>
      </c>
    </row>
    <row r="125" spans="1:13" ht="18.75" thickBot="1" x14ac:dyDescent="0.3">
      <c r="A125" s="934" t="s">
        <v>252</v>
      </c>
      <c r="B125" s="935"/>
      <c r="C125" s="446">
        <f>C122+C124</f>
        <v>4868666</v>
      </c>
      <c r="D125" s="446">
        <f t="shared" ref="D125:I125" si="63">D122+D124</f>
        <v>4114780</v>
      </c>
      <c r="E125" s="446">
        <f t="shared" si="63"/>
        <v>3886</v>
      </c>
      <c r="F125" s="446">
        <f t="shared" si="63"/>
        <v>650000</v>
      </c>
      <c r="G125" s="446">
        <f t="shared" si="63"/>
        <v>0</v>
      </c>
      <c r="H125" s="446">
        <f t="shared" si="63"/>
        <v>0</v>
      </c>
      <c r="I125" s="446">
        <f t="shared" si="63"/>
        <v>100000</v>
      </c>
      <c r="J125" s="552">
        <f>J122+J124</f>
        <v>4868666</v>
      </c>
      <c r="K125" s="431">
        <f t="shared" si="38"/>
        <v>0</v>
      </c>
      <c r="L125" s="533"/>
    </row>
    <row r="126" spans="1:13" x14ac:dyDescent="0.25">
      <c r="A126" s="450"/>
      <c r="B126" s="838" t="s">
        <v>790</v>
      </c>
      <c r="C126" s="839">
        <f>C125-C161</f>
        <v>1140300</v>
      </c>
      <c r="E126" s="453"/>
      <c r="F126" s="566">
        <f>345000+305000</f>
        <v>650000</v>
      </c>
      <c r="G126" s="567">
        <f>185000+16800</f>
        <v>201800</v>
      </c>
      <c r="H126" s="566"/>
      <c r="I126" s="454"/>
      <c r="J126" s="837" t="s">
        <v>789</v>
      </c>
      <c r="K126" s="456"/>
    </row>
    <row r="127" spans="1:13" x14ac:dyDescent="0.25">
      <c r="A127" s="450"/>
      <c r="B127" s="450"/>
      <c r="C127" s="451"/>
      <c r="E127" s="453"/>
      <c r="F127" s="426">
        <f>F126-F125</f>
        <v>0</v>
      </c>
      <c r="G127" s="565">
        <f>F126+G126</f>
        <v>851800</v>
      </c>
      <c r="H127" s="452"/>
      <c r="I127" s="454"/>
      <c r="J127" s="455"/>
      <c r="K127" s="456"/>
    </row>
    <row r="128" spans="1:13" x14ac:dyDescent="0.25">
      <c r="A128" s="427"/>
      <c r="B128" s="538" t="s">
        <v>315</v>
      </c>
      <c r="C128" s="529" t="s">
        <v>299</v>
      </c>
      <c r="D128" s="520">
        <f>2590450-70000-12860+680+29800+73400+100000+200+95000+957700+182600</f>
        <v>3946970</v>
      </c>
      <c r="E128" s="474">
        <v>3000</v>
      </c>
      <c r="G128" s="460"/>
      <c r="H128" s="460"/>
      <c r="I128" s="427"/>
      <c r="J128" s="520">
        <f>SUM(D128:I128)</f>
        <v>3949970</v>
      </c>
    </row>
    <row r="129" spans="1:16" ht="15.75" x14ac:dyDescent="0.25">
      <c r="A129" s="427"/>
      <c r="C129" s="529" t="s">
        <v>300</v>
      </c>
      <c r="D129" s="528">
        <f>105400+70000-7590</f>
        <v>167810</v>
      </c>
      <c r="E129" s="527">
        <v>886</v>
      </c>
      <c r="F129" s="563"/>
      <c r="G129" s="426"/>
      <c r="H129" s="457"/>
      <c r="I129" s="527">
        <v>100000</v>
      </c>
      <c r="J129" s="743">
        <f>SUM(D129:I129)</f>
        <v>268696</v>
      </c>
    </row>
    <row r="130" spans="1:16" x14ac:dyDescent="0.25">
      <c r="A130" s="427"/>
      <c r="C130" s="427"/>
      <c r="D130" s="520">
        <f>SUM(D128:D129)</f>
        <v>4114780</v>
      </c>
      <c r="E130" s="427"/>
      <c r="F130" s="427"/>
      <c r="G130" s="427"/>
      <c r="H130" s="427"/>
      <c r="I130" s="539"/>
      <c r="J130" s="520"/>
      <c r="K130" s="427"/>
    </row>
    <row r="131" spans="1:16" x14ac:dyDescent="0.25">
      <c r="B131" s="734" t="s">
        <v>819</v>
      </c>
      <c r="D131" s="474">
        <f>D130-D125</f>
        <v>0</v>
      </c>
    </row>
    <row r="132" spans="1:16" x14ac:dyDescent="0.25">
      <c r="B132" t="s">
        <v>185</v>
      </c>
    </row>
    <row r="134" spans="1:16" ht="18.75" thickBot="1" x14ac:dyDescent="0.3">
      <c r="A134" s="928" t="s">
        <v>331</v>
      </c>
      <c r="B134" s="928"/>
      <c r="C134" s="928"/>
      <c r="D134" s="928"/>
      <c r="E134" s="928"/>
      <c r="F134" s="928"/>
      <c r="G134" s="928"/>
      <c r="H134" s="928"/>
      <c r="I134" s="928"/>
    </row>
    <row r="135" spans="1:16" ht="16.5" thickBot="1" x14ac:dyDescent="0.3">
      <c r="A135" s="427"/>
      <c r="B135" s="427"/>
      <c r="C135" s="427"/>
      <c r="D135" s="427"/>
      <c r="E135" s="427"/>
      <c r="F135" s="427"/>
      <c r="G135" s="427"/>
      <c r="H135" s="427"/>
      <c r="I135" s="427"/>
      <c r="J135" s="427"/>
      <c r="N135" s="929" t="s">
        <v>226</v>
      </c>
      <c r="O135" s="930"/>
      <c r="P135" s="931"/>
    </row>
    <row r="136" spans="1:16" ht="45.75" thickBot="1" x14ac:dyDescent="0.3">
      <c r="A136" s="428" t="s">
        <v>221</v>
      </c>
      <c r="B136" s="428" t="s">
        <v>222</v>
      </c>
      <c r="C136" s="429" t="s">
        <v>223</v>
      </c>
      <c r="D136" s="429" t="s">
        <v>310</v>
      </c>
      <c r="E136" s="429" t="s">
        <v>316</v>
      </c>
      <c r="F136" s="429" t="s">
        <v>224</v>
      </c>
      <c r="G136" s="429" t="s">
        <v>338</v>
      </c>
      <c r="H136" s="429" t="s">
        <v>235</v>
      </c>
      <c r="I136" s="536" t="s">
        <v>311</v>
      </c>
      <c r="J136" s="547" t="s">
        <v>225</v>
      </c>
      <c r="L136" t="s">
        <v>339</v>
      </c>
      <c r="N136" s="432" t="s">
        <v>227</v>
      </c>
      <c r="O136" s="540" t="s">
        <v>228</v>
      </c>
      <c r="P136" s="541" t="s">
        <v>317</v>
      </c>
    </row>
    <row r="137" spans="1:16" ht="15.75" x14ac:dyDescent="0.25">
      <c r="A137" s="737" t="s">
        <v>82</v>
      </c>
      <c r="B137" s="738" t="s">
        <v>229</v>
      </c>
      <c r="C137" s="739">
        <v>30000</v>
      </c>
      <c r="D137" s="739"/>
      <c r="E137" s="739"/>
      <c r="F137" s="739">
        <v>30000</v>
      </c>
      <c r="G137" s="739"/>
      <c r="H137" s="739"/>
      <c r="I137" s="739"/>
      <c r="J137" s="551">
        <f>SUM(D137:I137)</f>
        <v>30000</v>
      </c>
      <c r="K137" s="431">
        <f>C137-J137</f>
        <v>0</v>
      </c>
      <c r="L137" s="534"/>
      <c r="N137" s="437" t="s">
        <v>327</v>
      </c>
      <c r="O137" s="441">
        <f>20000-500</f>
        <v>19500</v>
      </c>
      <c r="P137" s="543"/>
    </row>
    <row r="138" spans="1:16" ht="16.5" thickBot="1" x14ac:dyDescent="0.3">
      <c r="A138" s="735" t="s">
        <v>82</v>
      </c>
      <c r="B138" s="736" t="s">
        <v>163</v>
      </c>
      <c r="C138" s="274">
        <v>1500</v>
      </c>
      <c r="D138" s="274"/>
      <c r="E138" s="274"/>
      <c r="F138" s="274">
        <v>1500</v>
      </c>
      <c r="G138" s="274"/>
      <c r="H138" s="274"/>
      <c r="I138" s="274"/>
      <c r="J138" s="548">
        <f t="shared" ref="J138:J140" si="64">SUM(D138:I138)</f>
        <v>1500</v>
      </c>
      <c r="K138" s="431">
        <f t="shared" ref="K138:K161" si="65">C138-J138</f>
        <v>0</v>
      </c>
      <c r="L138" s="533">
        <f>SUM(C137:C138)</f>
        <v>31500</v>
      </c>
      <c r="N138" s="437" t="s">
        <v>318</v>
      </c>
      <c r="O138" s="435">
        <f>5000+10000+1500+200-16700</f>
        <v>0</v>
      </c>
      <c r="P138" s="542"/>
    </row>
    <row r="139" spans="1:16" ht="15.75" x14ac:dyDescent="0.25">
      <c r="A139" s="438" t="s">
        <v>87</v>
      </c>
      <c r="B139" s="537" t="s">
        <v>328</v>
      </c>
      <c r="C139" s="279">
        <f>151200+3530</f>
        <v>154730</v>
      </c>
      <c r="D139" s="279">
        <v>138200</v>
      </c>
      <c r="E139" s="279"/>
      <c r="F139" s="279">
        <f>13000+3530</f>
        <v>16530</v>
      </c>
      <c r="G139" s="279"/>
      <c r="H139" s="279"/>
      <c r="I139" s="279"/>
      <c r="J139" s="548">
        <f t="shared" si="64"/>
        <v>154730</v>
      </c>
      <c r="K139" s="431">
        <f t="shared" si="65"/>
        <v>0</v>
      </c>
      <c r="L139" s="534"/>
      <c r="N139" s="437" t="s">
        <v>246</v>
      </c>
      <c r="O139" s="441">
        <v>8000</v>
      </c>
      <c r="P139" s="542"/>
    </row>
    <row r="140" spans="1:16" ht="15.75" x14ac:dyDescent="0.25">
      <c r="A140" s="433" t="s">
        <v>89</v>
      </c>
      <c r="B140" s="283" t="s">
        <v>312</v>
      </c>
      <c r="C140" s="270">
        <v>100000</v>
      </c>
      <c r="D140" s="270">
        <v>0</v>
      </c>
      <c r="E140" s="270"/>
      <c r="F140" s="270">
        <v>0</v>
      </c>
      <c r="G140" s="270"/>
      <c r="H140" s="557"/>
      <c r="I140" s="557">
        <v>100000</v>
      </c>
      <c r="J140" s="550">
        <f t="shared" si="64"/>
        <v>100000</v>
      </c>
      <c r="K140" s="431">
        <f t="shared" si="65"/>
        <v>0</v>
      </c>
      <c r="L140" s="534"/>
      <c r="N140" s="437" t="s">
        <v>319</v>
      </c>
      <c r="O140" s="441">
        <v>2000</v>
      </c>
      <c r="P140" s="543"/>
    </row>
    <row r="141" spans="1:16" ht="16.5" thickBot="1" x14ac:dyDescent="0.3">
      <c r="A141" s="439" t="s">
        <v>93</v>
      </c>
      <c r="B141" s="568" t="s">
        <v>335</v>
      </c>
      <c r="C141" s="273">
        <f>196500-12860</f>
        <v>183640</v>
      </c>
      <c r="D141" s="273">
        <f>196500-12860</f>
        <v>183640</v>
      </c>
      <c r="E141" s="273"/>
      <c r="F141" s="273">
        <v>0</v>
      </c>
      <c r="G141" s="273"/>
      <c r="H141" s="440"/>
      <c r="I141" s="440"/>
      <c r="J141" s="550">
        <f t="shared" ref="J141" si="66">SUM(D141:I141)</f>
        <v>183640</v>
      </c>
      <c r="K141" s="431">
        <f t="shared" si="65"/>
        <v>0</v>
      </c>
      <c r="L141" s="533">
        <f>SUM(C139:C141)</f>
        <v>438370</v>
      </c>
      <c r="N141" s="437" t="s">
        <v>506</v>
      </c>
      <c r="O141" s="435">
        <v>500</v>
      </c>
      <c r="P141" s="542"/>
    </row>
    <row r="142" spans="1:16" ht="15.75" x14ac:dyDescent="0.25">
      <c r="A142" s="438" t="s">
        <v>164</v>
      </c>
      <c r="B142" s="445" t="s">
        <v>165</v>
      </c>
      <c r="C142" s="279">
        <f>3000+20000</f>
        <v>23000</v>
      </c>
      <c r="D142" s="279"/>
      <c r="E142" s="279">
        <v>3000</v>
      </c>
      <c r="F142" s="279">
        <v>20000</v>
      </c>
      <c r="G142" s="279"/>
      <c r="H142" s="279"/>
      <c r="I142" s="279"/>
      <c r="J142" s="548">
        <f t="shared" ref="J142:J143" si="67">SUM(D142:I142)</f>
        <v>23000</v>
      </c>
      <c r="K142" s="431">
        <f t="shared" si="65"/>
        <v>0</v>
      </c>
      <c r="L142" s="534"/>
      <c r="N142" s="437"/>
      <c r="O142" s="435"/>
      <c r="P142" s="542"/>
    </row>
    <row r="143" spans="1:16" ht="15.75" x14ac:dyDescent="0.25">
      <c r="A143" s="433" t="s">
        <v>96</v>
      </c>
      <c r="B143" s="443" t="s">
        <v>247</v>
      </c>
      <c r="C143" s="270">
        <f>10000-5700</f>
        <v>4300</v>
      </c>
      <c r="D143" s="270"/>
      <c r="E143" s="270"/>
      <c r="F143" s="270">
        <f>10000-5700</f>
        <v>4300</v>
      </c>
      <c r="G143" s="270"/>
      <c r="H143" s="270"/>
      <c r="I143" s="270"/>
      <c r="J143" s="550">
        <f t="shared" si="67"/>
        <v>4300</v>
      </c>
      <c r="K143" s="431">
        <f t="shared" si="65"/>
        <v>0</v>
      </c>
      <c r="L143" s="534"/>
      <c r="M143" s="426"/>
      <c r="N143" s="437"/>
      <c r="O143" s="441"/>
      <c r="P143" s="542"/>
    </row>
    <row r="144" spans="1:16" ht="15.75" x14ac:dyDescent="0.25">
      <c r="A144" s="433" t="s">
        <v>96</v>
      </c>
      <c r="B144" s="443" t="s">
        <v>357</v>
      </c>
      <c r="C144" s="270">
        <f>15036+43800+163000-33430-946-55000-300-8200+142470</f>
        <v>266430</v>
      </c>
      <c r="D144" s="270"/>
      <c r="E144" s="270"/>
      <c r="F144" s="270">
        <f>50000+9036-44000+163000-33430-946-55000-300-8200+142470</f>
        <v>222630</v>
      </c>
      <c r="G144" s="270">
        <f>27000+16800</f>
        <v>43800</v>
      </c>
      <c r="H144" s="270"/>
      <c r="I144" s="270"/>
      <c r="J144" s="550">
        <f t="shared" ref="J144" si="68">SUM(D144:I144)</f>
        <v>266430</v>
      </c>
      <c r="K144" s="431">
        <f t="shared" si="65"/>
        <v>0</v>
      </c>
      <c r="L144" s="534"/>
      <c r="N144" s="437"/>
      <c r="O144" s="441"/>
      <c r="P144" s="542"/>
    </row>
    <row r="145" spans="1:16" ht="15.75" x14ac:dyDescent="0.25">
      <c r="A145" s="430" t="s">
        <v>301</v>
      </c>
      <c r="B145" s="492" t="s">
        <v>313</v>
      </c>
      <c r="C145" s="449">
        <f>145000+71000+71000</f>
        <v>287000</v>
      </c>
      <c r="D145" s="276">
        <v>145000</v>
      </c>
      <c r="E145" s="276"/>
      <c r="F145" s="276">
        <f>12700+58300-71000+71000</f>
        <v>71000</v>
      </c>
      <c r="G145" s="276">
        <v>71000</v>
      </c>
      <c r="H145" s="276"/>
      <c r="I145" s="276"/>
      <c r="J145" s="548">
        <f>SUM(D145:I145)</f>
        <v>287000</v>
      </c>
      <c r="K145" s="431">
        <f t="shared" si="65"/>
        <v>0</v>
      </c>
      <c r="L145" s="534"/>
      <c r="N145" s="467"/>
      <c r="O145" s="468"/>
      <c r="P145" s="544"/>
    </row>
    <row r="146" spans="1:16" ht="16.5" thickBot="1" x14ac:dyDescent="0.3">
      <c r="A146" s="439" t="s">
        <v>98</v>
      </c>
      <c r="B146" s="521" t="s">
        <v>481</v>
      </c>
      <c r="C146" s="273">
        <f>70000+42000+300</f>
        <v>112300</v>
      </c>
      <c r="D146" s="273">
        <v>70000</v>
      </c>
      <c r="E146" s="273"/>
      <c r="F146" s="273">
        <f>12000+30000+300</f>
        <v>42300</v>
      </c>
      <c r="G146" s="273"/>
      <c r="H146" s="273"/>
      <c r="I146" s="273"/>
      <c r="J146" s="549">
        <f t="shared" ref="J146:J151" si="69">SUM(D146:I146)</f>
        <v>112300</v>
      </c>
      <c r="K146" s="431">
        <f t="shared" si="65"/>
        <v>0</v>
      </c>
      <c r="L146" s="533">
        <f>SUM(C142:C146)</f>
        <v>693030</v>
      </c>
      <c r="M146" s="426"/>
      <c r="N146" s="467"/>
      <c r="O146" s="468"/>
      <c r="P146" s="544"/>
    </row>
    <row r="147" spans="1:16" ht="15.75" x14ac:dyDescent="0.25">
      <c r="A147" s="436" t="s">
        <v>111</v>
      </c>
      <c r="B147" s="741" t="s">
        <v>337</v>
      </c>
      <c r="C147" s="268">
        <f>50000+5000-1800-520</f>
        <v>52680</v>
      </c>
      <c r="D147" s="268">
        <v>50000</v>
      </c>
      <c r="E147" s="268"/>
      <c r="F147" s="268">
        <f>5000-1800-520</f>
        <v>2680</v>
      </c>
      <c r="G147" s="268"/>
      <c r="H147" s="268"/>
      <c r="I147" s="268"/>
      <c r="J147" s="551">
        <f t="shared" si="69"/>
        <v>52680</v>
      </c>
      <c r="K147" s="431">
        <f t="shared" si="65"/>
        <v>0</v>
      </c>
      <c r="L147" s="534"/>
      <c r="N147" s="467"/>
      <c r="O147" s="468"/>
      <c r="P147" s="544"/>
    </row>
    <row r="148" spans="1:16" ht="15.75" x14ac:dyDescent="0.25">
      <c r="A148" s="430" t="s">
        <v>111</v>
      </c>
      <c r="B148" s="740" t="s">
        <v>547</v>
      </c>
      <c r="C148" s="276">
        <f>196100-7590+1800+55000</f>
        <v>245310</v>
      </c>
      <c r="D148" s="276">
        <f>105400+35350-7590</f>
        <v>133160</v>
      </c>
      <c r="E148" s="276"/>
      <c r="F148" s="276">
        <f>55350-55000+1800+55000</f>
        <v>57150</v>
      </c>
      <c r="G148" s="276">
        <v>55000</v>
      </c>
      <c r="H148" s="276"/>
      <c r="I148" s="276"/>
      <c r="J148" s="548">
        <f t="shared" si="69"/>
        <v>245310</v>
      </c>
      <c r="K148" s="431">
        <f t="shared" si="65"/>
        <v>0</v>
      </c>
      <c r="L148" s="534"/>
      <c r="N148" s="467"/>
      <c r="O148" s="468"/>
      <c r="P148" s="544"/>
    </row>
    <row r="149" spans="1:16" ht="16.5" thickBot="1" x14ac:dyDescent="0.3">
      <c r="A149" s="430" t="s">
        <v>111</v>
      </c>
      <c r="B149" s="555" t="s">
        <v>582</v>
      </c>
      <c r="C149" s="276">
        <f>30000+29800+520</f>
        <v>60320</v>
      </c>
      <c r="D149" s="276">
        <v>29800</v>
      </c>
      <c r="E149" s="276"/>
      <c r="F149" s="276">
        <f>30000+520</f>
        <v>30520</v>
      </c>
      <c r="G149" s="276"/>
      <c r="H149" s="276"/>
      <c r="I149" s="276"/>
      <c r="J149" s="550">
        <f t="shared" si="69"/>
        <v>60320</v>
      </c>
      <c r="K149" s="431">
        <f t="shared" si="65"/>
        <v>0</v>
      </c>
      <c r="L149" s="534"/>
      <c r="M149" s="564"/>
      <c r="N149" s="458" t="s">
        <v>230</v>
      </c>
      <c r="O149" s="746">
        <v>0</v>
      </c>
      <c r="P149" s="544"/>
    </row>
    <row r="150" spans="1:16" ht="16.5" thickBot="1" x14ac:dyDescent="0.3">
      <c r="A150" s="430" t="s">
        <v>113</v>
      </c>
      <c r="B150" s="285" t="s">
        <v>232</v>
      </c>
      <c r="C150" s="276">
        <v>0</v>
      </c>
      <c r="D150" s="276"/>
      <c r="E150" s="276"/>
      <c r="F150" s="276">
        <v>0</v>
      </c>
      <c r="G150" s="276"/>
      <c r="H150" s="276"/>
      <c r="I150" s="276"/>
      <c r="J150" s="548">
        <f t="shared" si="69"/>
        <v>0</v>
      </c>
      <c r="K150" s="431">
        <f t="shared" si="65"/>
        <v>0</v>
      </c>
      <c r="L150" s="569"/>
      <c r="N150" s="459" t="s">
        <v>231</v>
      </c>
      <c r="O150" s="545">
        <f>SUM(O137:O149)</f>
        <v>30000</v>
      </c>
      <c r="P150" s="546">
        <f>SUM(P137:P149)</f>
        <v>0</v>
      </c>
    </row>
    <row r="151" spans="1:16" x14ac:dyDescent="0.25">
      <c r="A151" s="433" t="s">
        <v>113</v>
      </c>
      <c r="B151" s="807" t="s">
        <v>329</v>
      </c>
      <c r="C151" s="270">
        <v>15000</v>
      </c>
      <c r="D151" s="270"/>
      <c r="E151" s="270"/>
      <c r="F151" s="270">
        <f>15000</f>
        <v>15000</v>
      </c>
      <c r="G151" s="270"/>
      <c r="H151" s="270"/>
      <c r="I151" s="270"/>
      <c r="J151" s="550">
        <f t="shared" si="69"/>
        <v>15000</v>
      </c>
      <c r="K151" s="431">
        <f t="shared" si="65"/>
        <v>0</v>
      </c>
      <c r="L151" s="534"/>
    </row>
    <row r="152" spans="1:16" x14ac:dyDescent="0.25">
      <c r="A152" s="438" t="s">
        <v>113</v>
      </c>
      <c r="B152" s="554" t="s">
        <v>679</v>
      </c>
      <c r="C152" s="279">
        <f>110000</f>
        <v>110000</v>
      </c>
      <c r="D152" s="279">
        <v>100000</v>
      </c>
      <c r="E152" s="279"/>
      <c r="F152" s="276">
        <v>10000</v>
      </c>
      <c r="G152" s="276"/>
      <c r="H152" s="276"/>
      <c r="I152" s="276"/>
      <c r="J152" s="550">
        <f t="shared" ref="J152" si="70">SUM(D152:I152)</f>
        <v>110000</v>
      </c>
      <c r="K152" s="431">
        <f t="shared" si="65"/>
        <v>0</v>
      </c>
      <c r="L152" s="534"/>
      <c r="M152" s="426">
        <f>F153+G153</f>
        <v>104190</v>
      </c>
    </row>
    <row r="153" spans="1:16" ht="15.75" thickBot="1" x14ac:dyDescent="0.3">
      <c r="A153" s="442" t="s">
        <v>113</v>
      </c>
      <c r="B153" s="444" t="s">
        <v>496</v>
      </c>
      <c r="C153" s="282">
        <f>379400+33000+5700+33430+680+946+32000</f>
        <v>485156</v>
      </c>
      <c r="D153" s="282">
        <f>379400+680</f>
        <v>380080</v>
      </c>
      <c r="E153" s="282">
        <f>886</f>
        <v>886</v>
      </c>
      <c r="F153" s="270">
        <f>32114-32000+5700+33430+946+32000</f>
        <v>72190</v>
      </c>
      <c r="G153" s="270">
        <v>32000</v>
      </c>
      <c r="H153" s="270"/>
      <c r="I153" s="270"/>
      <c r="J153" s="550">
        <f>SUM(D153:I153)</f>
        <v>485156</v>
      </c>
      <c r="K153" s="431">
        <f t="shared" si="65"/>
        <v>0</v>
      </c>
      <c r="L153" s="533">
        <f>SUM(C147:C153)</f>
        <v>968466</v>
      </c>
    </row>
    <row r="154" spans="1:16" x14ac:dyDescent="0.25">
      <c r="A154" s="436" t="s">
        <v>122</v>
      </c>
      <c r="B154" s="525" t="s">
        <v>478</v>
      </c>
      <c r="C154" s="268">
        <f>475100-230100+46000</f>
        <v>291000</v>
      </c>
      <c r="D154" s="268">
        <v>430000</v>
      </c>
      <c r="E154" s="268"/>
      <c r="F154" s="268">
        <f>46000-46000+46000</f>
        <v>46000</v>
      </c>
      <c r="G154" s="268">
        <f>-230100+45100</f>
        <v>-185000</v>
      </c>
      <c r="H154" s="268"/>
      <c r="I154" s="268"/>
      <c r="J154" s="551">
        <f t="shared" ref="J154" si="71">SUM(D154:I154)</f>
        <v>291000</v>
      </c>
      <c r="K154" s="431">
        <f t="shared" si="65"/>
        <v>0</v>
      </c>
      <c r="L154" s="533"/>
    </row>
    <row r="155" spans="1:16" x14ac:dyDescent="0.25">
      <c r="A155" s="430" t="s">
        <v>124</v>
      </c>
      <c r="B155" s="793" t="s">
        <v>625</v>
      </c>
      <c r="C155" s="276">
        <v>81600</v>
      </c>
      <c r="D155" s="276">
        <v>73400</v>
      </c>
      <c r="E155" s="276"/>
      <c r="F155" s="276">
        <v>8200</v>
      </c>
      <c r="G155" s="276"/>
      <c r="H155" s="276"/>
      <c r="I155" s="276"/>
      <c r="J155" s="548">
        <f t="shared" ref="J155" si="72">SUM(D155:I155)</f>
        <v>81600</v>
      </c>
      <c r="K155" s="431">
        <f t="shared" si="65"/>
        <v>0</v>
      </c>
      <c r="L155" s="533"/>
    </row>
    <row r="156" spans="1:16" x14ac:dyDescent="0.25">
      <c r="A156" s="430" t="s">
        <v>124</v>
      </c>
      <c r="B156" s="786" t="s">
        <v>750</v>
      </c>
      <c r="C156" s="742">
        <v>95000</v>
      </c>
      <c r="D156" s="742">
        <v>95000</v>
      </c>
      <c r="E156" s="276"/>
      <c r="F156" s="276">
        <v>0</v>
      </c>
      <c r="G156" s="276"/>
      <c r="H156" s="276"/>
      <c r="I156" s="276"/>
      <c r="J156" s="548">
        <f t="shared" ref="J156" si="73">SUM(D156:I156)</f>
        <v>95000</v>
      </c>
      <c r="K156" s="431">
        <f t="shared" ref="K156" si="74">C156-J156</f>
        <v>0</v>
      </c>
      <c r="L156" s="533"/>
    </row>
    <row r="157" spans="1:16" ht="15.75" thickBot="1" x14ac:dyDescent="0.3">
      <c r="A157" s="433" t="s">
        <v>124</v>
      </c>
      <c r="B157" s="526" t="s">
        <v>314</v>
      </c>
      <c r="C157" s="270">
        <f>1146000-16800+200</f>
        <v>1129400</v>
      </c>
      <c r="D157" s="270">
        <f>1220380-74380+200</f>
        <v>1146200</v>
      </c>
      <c r="E157" s="270"/>
      <c r="F157" s="270">
        <v>0</v>
      </c>
      <c r="G157" s="270">
        <v>-16800</v>
      </c>
      <c r="H157" s="270"/>
      <c r="I157" s="270"/>
      <c r="J157" s="550">
        <f t="shared" ref="J157" si="75">SUM(D157:I157)</f>
        <v>1129400</v>
      </c>
      <c r="K157" s="431">
        <f t="shared" si="65"/>
        <v>0</v>
      </c>
      <c r="L157" s="533">
        <f>SUM(C154:C157)</f>
        <v>1597000</v>
      </c>
    </row>
    <row r="158" spans="1:16" ht="15.75" thickBot="1" x14ac:dyDescent="0.3">
      <c r="A158" s="932" t="s">
        <v>233</v>
      </c>
      <c r="B158" s="933"/>
      <c r="C158" s="446">
        <f t="shared" ref="C158:J158" si="76">SUM(C137:C157)</f>
        <v>3728366</v>
      </c>
      <c r="D158" s="446">
        <f t="shared" si="76"/>
        <v>2974480</v>
      </c>
      <c r="E158" s="446">
        <f t="shared" si="76"/>
        <v>3886</v>
      </c>
      <c r="F158" s="446">
        <f t="shared" si="76"/>
        <v>650000</v>
      </c>
      <c r="G158" s="446">
        <f t="shared" si="76"/>
        <v>0</v>
      </c>
      <c r="H158" s="446">
        <f t="shared" si="76"/>
        <v>0</v>
      </c>
      <c r="I158" s="446">
        <f t="shared" si="76"/>
        <v>100000</v>
      </c>
      <c r="J158" s="552">
        <f t="shared" si="76"/>
        <v>3728366</v>
      </c>
      <c r="K158" s="431">
        <f t="shared" si="65"/>
        <v>0</v>
      </c>
      <c r="L158" s="584"/>
    </row>
    <row r="159" spans="1:16" ht="15.75" thickBot="1" x14ac:dyDescent="0.3">
      <c r="A159" s="430"/>
      <c r="B159" s="448"/>
      <c r="C159" s="449"/>
      <c r="D159" s="276"/>
      <c r="E159" s="276"/>
      <c r="F159" s="447"/>
      <c r="G159" s="447"/>
      <c r="H159" s="447"/>
      <c r="I159" s="276"/>
      <c r="J159" s="548">
        <f>SUM(D159:I159)</f>
        <v>0</v>
      </c>
      <c r="K159" s="431">
        <f t="shared" si="65"/>
        <v>0</v>
      </c>
    </row>
    <row r="160" spans="1:16" ht="15.75" thickBot="1" x14ac:dyDescent="0.3">
      <c r="A160" s="932" t="s">
        <v>234</v>
      </c>
      <c r="B160" s="933"/>
      <c r="C160" s="446">
        <f>SUM(C159:C159)</f>
        <v>0</v>
      </c>
      <c r="D160" s="446">
        <f t="shared" ref="D160:I160" si="77">SUM(D159:D159)</f>
        <v>0</v>
      </c>
      <c r="E160" s="446">
        <f t="shared" si="77"/>
        <v>0</v>
      </c>
      <c r="F160" s="446">
        <f t="shared" si="77"/>
        <v>0</v>
      </c>
      <c r="G160" s="446">
        <f t="shared" si="77"/>
        <v>0</v>
      </c>
      <c r="H160" s="446">
        <f t="shared" si="77"/>
        <v>0</v>
      </c>
      <c r="I160" s="446">
        <f t="shared" si="77"/>
        <v>0</v>
      </c>
      <c r="J160" s="552">
        <f>SUM(J159:J159)</f>
        <v>0</v>
      </c>
      <c r="K160" s="431">
        <f t="shared" si="65"/>
        <v>0</v>
      </c>
    </row>
    <row r="161" spans="1:16" ht="18.75" thickBot="1" x14ac:dyDescent="0.3">
      <c r="A161" s="934" t="s">
        <v>252</v>
      </c>
      <c r="B161" s="935"/>
      <c r="C161" s="446">
        <f>C158+C160</f>
        <v>3728366</v>
      </c>
      <c r="D161" s="446">
        <f t="shared" ref="D161:I161" si="78">D158+D160</f>
        <v>2974480</v>
      </c>
      <c r="E161" s="446">
        <f t="shared" si="78"/>
        <v>3886</v>
      </c>
      <c r="F161" s="446">
        <f t="shared" si="78"/>
        <v>650000</v>
      </c>
      <c r="G161" s="446">
        <f t="shared" si="78"/>
        <v>0</v>
      </c>
      <c r="H161" s="446">
        <f t="shared" si="78"/>
        <v>0</v>
      </c>
      <c r="I161" s="446">
        <f t="shared" si="78"/>
        <v>100000</v>
      </c>
      <c r="J161" s="552">
        <f>J158+J160</f>
        <v>3728366</v>
      </c>
      <c r="K161" s="431">
        <f t="shared" si="65"/>
        <v>0</v>
      </c>
      <c r="L161" s="533">
        <f>SUM(L138:L157)</f>
        <v>3728366</v>
      </c>
    </row>
    <row r="162" spans="1:16" x14ac:dyDescent="0.25">
      <c r="A162" s="450"/>
      <c r="B162" s="583" t="s">
        <v>354</v>
      </c>
      <c r="C162" s="451"/>
      <c r="E162" s="453"/>
      <c r="F162" s="566">
        <f>345000+305000</f>
        <v>650000</v>
      </c>
      <c r="G162" s="567">
        <f>185000+16800</f>
        <v>201800</v>
      </c>
      <c r="H162" s="566">
        <v>9000</v>
      </c>
      <c r="I162" s="454"/>
      <c r="J162" s="455"/>
      <c r="K162" s="456"/>
    </row>
    <row r="163" spans="1:16" x14ac:dyDescent="0.25">
      <c r="A163" s="450"/>
      <c r="B163" s="450"/>
      <c r="C163" s="451"/>
      <c r="E163" s="453"/>
      <c r="F163" s="426">
        <f>F162-F161</f>
        <v>0</v>
      </c>
      <c r="G163" s="565">
        <f>F162+G162</f>
        <v>851800</v>
      </c>
      <c r="H163" s="452"/>
      <c r="I163" s="454"/>
      <c r="J163" s="455"/>
      <c r="K163" s="456"/>
    </row>
    <row r="164" spans="1:16" x14ac:dyDescent="0.25">
      <c r="A164" s="427"/>
      <c r="B164" s="538" t="s">
        <v>315</v>
      </c>
      <c r="C164" s="529" t="s">
        <v>299</v>
      </c>
      <c r="D164" s="520">
        <f>2590450-70000-12860+680+29800+73400+100000+200+95000</f>
        <v>2806670</v>
      </c>
      <c r="E164" s="474">
        <v>3000</v>
      </c>
      <c r="G164" s="460"/>
      <c r="H164" s="460"/>
      <c r="I164" s="427"/>
      <c r="J164" s="520">
        <f>SUM(D164:I164)</f>
        <v>2809670</v>
      </c>
    </row>
    <row r="165" spans="1:16" ht="15.75" x14ac:dyDescent="0.25">
      <c r="A165" s="427"/>
      <c r="C165" s="529" t="s">
        <v>300</v>
      </c>
      <c r="D165" s="528">
        <f>105400+70000-7590</f>
        <v>167810</v>
      </c>
      <c r="E165" s="527">
        <v>886</v>
      </c>
      <c r="F165" s="563"/>
      <c r="G165" s="426"/>
      <c r="H165" s="457"/>
      <c r="I165" s="527">
        <v>100000</v>
      </c>
      <c r="J165" s="743">
        <f>SUM(D165:I165)</f>
        <v>268696</v>
      </c>
    </row>
    <row r="166" spans="1:16" x14ac:dyDescent="0.25">
      <c r="A166" s="427"/>
      <c r="C166" s="427"/>
      <c r="D166" s="520">
        <f>SUM(D164:D165)</f>
        <v>2974480</v>
      </c>
      <c r="E166" s="427"/>
      <c r="F166" s="427"/>
      <c r="G166" s="427"/>
      <c r="H166" s="427"/>
      <c r="I166" s="539"/>
      <c r="J166" s="520"/>
      <c r="K166" s="427"/>
    </row>
    <row r="167" spans="1:16" x14ac:dyDescent="0.25">
      <c r="B167" s="734" t="s">
        <v>751</v>
      </c>
      <c r="D167" s="474">
        <f>D166-D161</f>
        <v>0</v>
      </c>
    </row>
    <row r="168" spans="1:16" x14ac:dyDescent="0.25">
      <c r="B168" t="s">
        <v>185</v>
      </c>
    </row>
    <row r="170" spans="1:16" ht="18.75" thickBot="1" x14ac:dyDescent="0.3">
      <c r="A170" s="928" t="s">
        <v>331</v>
      </c>
      <c r="B170" s="928"/>
      <c r="C170" s="928"/>
      <c r="D170" s="928"/>
      <c r="E170" s="928"/>
      <c r="F170" s="928"/>
      <c r="G170" s="928"/>
      <c r="H170" s="928"/>
      <c r="I170" s="928"/>
    </row>
    <row r="171" spans="1:16" ht="16.5" thickBot="1" x14ac:dyDescent="0.3">
      <c r="A171" s="427"/>
      <c r="B171" s="427"/>
      <c r="C171" s="427"/>
      <c r="D171" s="427"/>
      <c r="E171" s="427"/>
      <c r="F171" s="427"/>
      <c r="G171" s="427"/>
      <c r="H171" s="427"/>
      <c r="I171" s="427"/>
      <c r="J171" s="427"/>
      <c r="N171" s="929" t="s">
        <v>226</v>
      </c>
      <c r="O171" s="930"/>
      <c r="P171" s="931"/>
    </row>
    <row r="172" spans="1:16" ht="45.75" thickBot="1" x14ac:dyDescent="0.3">
      <c r="A172" s="428" t="s">
        <v>221</v>
      </c>
      <c r="B172" s="428" t="s">
        <v>222</v>
      </c>
      <c r="C172" s="429" t="s">
        <v>223</v>
      </c>
      <c r="D172" s="429" t="s">
        <v>310</v>
      </c>
      <c r="E172" s="429" t="s">
        <v>316</v>
      </c>
      <c r="F172" s="429" t="s">
        <v>224</v>
      </c>
      <c r="G172" s="429" t="s">
        <v>338</v>
      </c>
      <c r="H172" s="429" t="s">
        <v>235</v>
      </c>
      <c r="I172" s="536" t="s">
        <v>311</v>
      </c>
      <c r="J172" s="547" t="s">
        <v>225</v>
      </c>
      <c r="L172" t="s">
        <v>339</v>
      </c>
      <c r="N172" s="432" t="s">
        <v>227</v>
      </c>
      <c r="O172" s="540" t="s">
        <v>228</v>
      </c>
      <c r="P172" s="541" t="s">
        <v>317</v>
      </c>
    </row>
    <row r="173" spans="1:16" ht="15.75" x14ac:dyDescent="0.25">
      <c r="A173" s="737" t="s">
        <v>82</v>
      </c>
      <c r="B173" s="738" t="s">
        <v>229</v>
      </c>
      <c r="C173" s="739">
        <v>30000</v>
      </c>
      <c r="D173" s="739"/>
      <c r="E173" s="739"/>
      <c r="F173" s="739">
        <v>30000</v>
      </c>
      <c r="G173" s="739"/>
      <c r="H173" s="739"/>
      <c r="I173" s="739"/>
      <c r="J173" s="551">
        <f>SUM(D173:I173)</f>
        <v>30000</v>
      </c>
      <c r="K173" s="431">
        <f>C173-J173</f>
        <v>0</v>
      </c>
      <c r="L173" s="534"/>
      <c r="N173" s="437" t="s">
        <v>327</v>
      </c>
      <c r="O173" s="441">
        <f>20000-500</f>
        <v>19500</v>
      </c>
      <c r="P173" s="543"/>
    </row>
    <row r="174" spans="1:16" ht="16.5" thickBot="1" x14ac:dyDescent="0.3">
      <c r="A174" s="735" t="s">
        <v>82</v>
      </c>
      <c r="B174" s="736" t="s">
        <v>163</v>
      </c>
      <c r="C174" s="274">
        <v>1500</v>
      </c>
      <c r="D174" s="274"/>
      <c r="E174" s="274"/>
      <c r="F174" s="274">
        <v>1500</v>
      </c>
      <c r="G174" s="274"/>
      <c r="H174" s="274"/>
      <c r="I174" s="274"/>
      <c r="J174" s="548">
        <f t="shared" ref="J174:J176" si="79">SUM(D174:I174)</f>
        <v>1500</v>
      </c>
      <c r="K174" s="431">
        <f t="shared" ref="K174:K196" si="80">C174-J174</f>
        <v>0</v>
      </c>
      <c r="L174" s="533">
        <f>SUM(C173:C174)</f>
        <v>31500</v>
      </c>
      <c r="N174" s="437" t="s">
        <v>318</v>
      </c>
      <c r="O174" s="435">
        <f>5000+10000+1500+200-16700</f>
        <v>0</v>
      </c>
      <c r="P174" s="542"/>
    </row>
    <row r="175" spans="1:16" ht="15.75" x14ac:dyDescent="0.25">
      <c r="A175" s="794" t="s">
        <v>87</v>
      </c>
      <c r="B175" s="795" t="s">
        <v>328</v>
      </c>
      <c r="C175" s="790">
        <f>151200+3530</f>
        <v>154730</v>
      </c>
      <c r="D175" s="790">
        <v>138200</v>
      </c>
      <c r="E175" s="790"/>
      <c r="F175" s="790">
        <f>13000+3530</f>
        <v>16530</v>
      </c>
      <c r="G175" s="279"/>
      <c r="H175" s="279"/>
      <c r="I175" s="279"/>
      <c r="J175" s="548">
        <f t="shared" si="79"/>
        <v>154730</v>
      </c>
      <c r="K175" s="431">
        <f t="shared" si="80"/>
        <v>0</v>
      </c>
      <c r="L175" s="534"/>
      <c r="N175" s="437" t="s">
        <v>246</v>
      </c>
      <c r="O175" s="441">
        <v>8000</v>
      </c>
      <c r="P175" s="542"/>
    </row>
    <row r="176" spans="1:16" ht="15.75" x14ac:dyDescent="0.25">
      <c r="A176" s="433" t="s">
        <v>89</v>
      </c>
      <c r="B176" s="283" t="s">
        <v>312</v>
      </c>
      <c r="C176" s="270">
        <v>100000</v>
      </c>
      <c r="D176" s="270">
        <v>0</v>
      </c>
      <c r="E176" s="270"/>
      <c r="F176" s="270">
        <v>0</v>
      </c>
      <c r="G176" s="270"/>
      <c r="H176" s="557"/>
      <c r="I176" s="557">
        <v>100000</v>
      </c>
      <c r="J176" s="550">
        <f t="shared" si="79"/>
        <v>100000</v>
      </c>
      <c r="K176" s="431">
        <f t="shared" si="80"/>
        <v>0</v>
      </c>
      <c r="L176" s="534"/>
      <c r="N176" s="437" t="s">
        <v>319</v>
      </c>
      <c r="O176" s="441">
        <v>2000</v>
      </c>
      <c r="P176" s="543"/>
    </row>
    <row r="177" spans="1:16" ht="16.5" thickBot="1" x14ac:dyDescent="0.3">
      <c r="A177" s="439" t="s">
        <v>93</v>
      </c>
      <c r="B177" s="568" t="s">
        <v>335</v>
      </c>
      <c r="C177" s="273">
        <f>196500-12860</f>
        <v>183640</v>
      </c>
      <c r="D177" s="273">
        <f>196500-12860</f>
        <v>183640</v>
      </c>
      <c r="E177" s="273"/>
      <c r="F177" s="273">
        <v>0</v>
      </c>
      <c r="G177" s="273"/>
      <c r="H177" s="440"/>
      <c r="I177" s="440"/>
      <c r="J177" s="550">
        <f t="shared" ref="J177" si="81">SUM(D177:I177)</f>
        <v>183640</v>
      </c>
      <c r="K177" s="431">
        <f t="shared" si="80"/>
        <v>0</v>
      </c>
      <c r="L177" s="533">
        <f>SUM(C175:C177)</f>
        <v>438370</v>
      </c>
      <c r="N177" s="437" t="s">
        <v>506</v>
      </c>
      <c r="O177" s="435">
        <v>500</v>
      </c>
      <c r="P177" s="542"/>
    </row>
    <row r="178" spans="1:16" ht="15.75" x14ac:dyDescent="0.25">
      <c r="A178" s="438" t="s">
        <v>164</v>
      </c>
      <c r="B178" s="445" t="s">
        <v>165</v>
      </c>
      <c r="C178" s="279">
        <f>3000+20000</f>
        <v>23000</v>
      </c>
      <c r="D178" s="279"/>
      <c r="E178" s="279">
        <v>3000</v>
      </c>
      <c r="F178" s="279">
        <v>20000</v>
      </c>
      <c r="G178" s="279"/>
      <c r="H178" s="279"/>
      <c r="I178" s="279"/>
      <c r="J178" s="548">
        <f t="shared" ref="J178:J179" si="82">SUM(D178:I178)</f>
        <v>23000</v>
      </c>
      <c r="K178" s="431">
        <f t="shared" si="80"/>
        <v>0</v>
      </c>
      <c r="L178" s="534"/>
      <c r="N178" s="437"/>
      <c r="O178" s="435"/>
      <c r="P178" s="542"/>
    </row>
    <row r="179" spans="1:16" ht="15.75" x14ac:dyDescent="0.25">
      <c r="A179" s="433" t="s">
        <v>96</v>
      </c>
      <c r="B179" s="443" t="s">
        <v>247</v>
      </c>
      <c r="C179" s="270">
        <f>10000-5700</f>
        <v>4300</v>
      </c>
      <c r="D179" s="270"/>
      <c r="E179" s="270"/>
      <c r="F179" s="270">
        <f>10000-5700</f>
        <v>4300</v>
      </c>
      <c r="G179" s="270"/>
      <c r="H179" s="270"/>
      <c r="I179" s="270"/>
      <c r="J179" s="550">
        <f t="shared" si="82"/>
        <v>4300</v>
      </c>
      <c r="K179" s="431">
        <f t="shared" si="80"/>
        <v>0</v>
      </c>
      <c r="L179" s="534"/>
      <c r="M179" s="426"/>
      <c r="N179" s="437"/>
      <c r="O179" s="441"/>
      <c r="P179" s="542"/>
    </row>
    <row r="180" spans="1:16" ht="15.75" x14ac:dyDescent="0.25">
      <c r="A180" s="754" t="s">
        <v>96</v>
      </c>
      <c r="B180" s="755" t="s">
        <v>357</v>
      </c>
      <c r="C180" s="753">
        <f>15036+43800+163000-33430-946-55000-300-8200+142470</f>
        <v>266430</v>
      </c>
      <c r="D180" s="270"/>
      <c r="E180" s="270"/>
      <c r="F180" s="753">
        <f>50000+9036-44000+163000-33430-946-55000-300-8200+142470</f>
        <v>222630</v>
      </c>
      <c r="G180" s="270">
        <f>27000+16800</f>
        <v>43800</v>
      </c>
      <c r="H180" s="270"/>
      <c r="I180" s="270"/>
      <c r="J180" s="550">
        <f t="shared" ref="J180" si="83">SUM(D180:I180)</f>
        <v>266430</v>
      </c>
      <c r="K180" s="431">
        <f t="shared" si="80"/>
        <v>0</v>
      </c>
      <c r="L180" s="534"/>
      <c r="N180" s="437"/>
      <c r="O180" s="441"/>
      <c r="P180" s="542"/>
    </row>
    <row r="181" spans="1:16" ht="15.75" x14ac:dyDescent="0.25">
      <c r="A181" s="747" t="s">
        <v>301</v>
      </c>
      <c r="B181" s="810" t="s">
        <v>313</v>
      </c>
      <c r="C181" s="811">
        <f>145000+71000+71000</f>
        <v>287000</v>
      </c>
      <c r="D181" s="742">
        <v>145000</v>
      </c>
      <c r="E181" s="742"/>
      <c r="F181" s="742">
        <f>12700+58300-71000+71000</f>
        <v>71000</v>
      </c>
      <c r="G181" s="276">
        <v>71000</v>
      </c>
      <c r="H181" s="276"/>
      <c r="I181" s="276"/>
      <c r="J181" s="548">
        <f>SUM(D181:I181)</f>
        <v>287000</v>
      </c>
      <c r="K181" s="431">
        <f t="shared" si="80"/>
        <v>0</v>
      </c>
      <c r="L181" s="534"/>
      <c r="N181" s="467"/>
      <c r="O181" s="468"/>
      <c r="P181" s="544"/>
    </row>
    <row r="182" spans="1:16" ht="16.5" thickBot="1" x14ac:dyDescent="0.3">
      <c r="A182" s="439" t="s">
        <v>98</v>
      </c>
      <c r="B182" s="521" t="s">
        <v>481</v>
      </c>
      <c r="C182" s="273">
        <f>70000+42000+300</f>
        <v>112300</v>
      </c>
      <c r="D182" s="273">
        <v>70000</v>
      </c>
      <c r="E182" s="273"/>
      <c r="F182" s="273">
        <f>12000+30000+300</f>
        <v>42300</v>
      </c>
      <c r="G182" s="273"/>
      <c r="H182" s="273"/>
      <c r="I182" s="273"/>
      <c r="J182" s="549">
        <f t="shared" ref="J182:J187" si="84">SUM(D182:I182)</f>
        <v>112300</v>
      </c>
      <c r="K182" s="431">
        <f t="shared" si="80"/>
        <v>0</v>
      </c>
      <c r="L182" s="533">
        <f>SUM(C178:C182)</f>
        <v>693030</v>
      </c>
      <c r="M182" s="426"/>
      <c r="N182" s="467"/>
      <c r="O182" s="468"/>
      <c r="P182" s="544"/>
    </row>
    <row r="183" spans="1:16" ht="15.75" x14ac:dyDescent="0.25">
      <c r="A183" s="436" t="s">
        <v>111</v>
      </c>
      <c r="B183" s="741" t="s">
        <v>337</v>
      </c>
      <c r="C183" s="268">
        <f>50000+5000-1800-520</f>
        <v>52680</v>
      </c>
      <c r="D183" s="268">
        <v>50000</v>
      </c>
      <c r="E183" s="268"/>
      <c r="F183" s="268">
        <f>5000-1800-520</f>
        <v>2680</v>
      </c>
      <c r="G183" s="268"/>
      <c r="H183" s="268"/>
      <c r="I183" s="268"/>
      <c r="J183" s="551">
        <f t="shared" si="84"/>
        <v>52680</v>
      </c>
      <c r="K183" s="431">
        <f t="shared" si="80"/>
        <v>0</v>
      </c>
      <c r="L183" s="534"/>
      <c r="N183" s="467"/>
      <c r="O183" s="468"/>
      <c r="P183" s="544"/>
    </row>
    <row r="184" spans="1:16" ht="15.75" x14ac:dyDescent="0.25">
      <c r="A184" s="430" t="s">
        <v>111</v>
      </c>
      <c r="B184" s="740" t="s">
        <v>547</v>
      </c>
      <c r="C184" s="276">
        <f>196100-7590+1800+55000</f>
        <v>245310</v>
      </c>
      <c r="D184" s="276">
        <f>105400+35350-7590</f>
        <v>133160</v>
      </c>
      <c r="E184" s="276"/>
      <c r="F184" s="276">
        <f>55350-55000+1800+55000</f>
        <v>57150</v>
      </c>
      <c r="G184" s="276">
        <v>55000</v>
      </c>
      <c r="H184" s="276"/>
      <c r="I184" s="276"/>
      <c r="J184" s="548">
        <f t="shared" si="84"/>
        <v>245310</v>
      </c>
      <c r="K184" s="431">
        <f t="shared" si="80"/>
        <v>0</v>
      </c>
      <c r="L184" s="534"/>
      <c r="N184" s="467"/>
      <c r="O184" s="468"/>
      <c r="P184" s="544"/>
    </row>
    <row r="185" spans="1:16" ht="16.5" thickBot="1" x14ac:dyDescent="0.3">
      <c r="A185" s="430" t="s">
        <v>111</v>
      </c>
      <c r="B185" s="555" t="s">
        <v>582</v>
      </c>
      <c r="C185" s="276">
        <f>30000+29800+520</f>
        <v>60320</v>
      </c>
      <c r="D185" s="276">
        <v>29800</v>
      </c>
      <c r="E185" s="276"/>
      <c r="F185" s="276">
        <f>30000+520</f>
        <v>30520</v>
      </c>
      <c r="G185" s="276"/>
      <c r="H185" s="276"/>
      <c r="I185" s="276"/>
      <c r="J185" s="550">
        <f t="shared" si="84"/>
        <v>60320</v>
      </c>
      <c r="K185" s="431">
        <f t="shared" si="80"/>
        <v>0</v>
      </c>
      <c r="L185" s="534"/>
      <c r="M185" s="564"/>
      <c r="N185" s="458" t="s">
        <v>230</v>
      </c>
      <c r="O185" s="746">
        <v>0</v>
      </c>
      <c r="P185" s="544"/>
    </row>
    <row r="186" spans="1:16" ht="16.5" thickBot="1" x14ac:dyDescent="0.3">
      <c r="A186" s="430" t="s">
        <v>113</v>
      </c>
      <c r="B186" s="285" t="s">
        <v>232</v>
      </c>
      <c r="C186" s="276">
        <v>0</v>
      </c>
      <c r="D186" s="276"/>
      <c r="E186" s="276"/>
      <c r="F186" s="276">
        <v>0</v>
      </c>
      <c r="G186" s="276"/>
      <c r="H186" s="276"/>
      <c r="I186" s="276"/>
      <c r="J186" s="548">
        <f t="shared" si="84"/>
        <v>0</v>
      </c>
      <c r="K186" s="431">
        <f t="shared" si="80"/>
        <v>0</v>
      </c>
      <c r="L186" s="569"/>
      <c r="N186" s="459" t="s">
        <v>231</v>
      </c>
      <c r="O186" s="545">
        <f>SUM(O173:O185)</f>
        <v>30000</v>
      </c>
      <c r="P186" s="546">
        <f>SUM(P173:P185)</f>
        <v>0</v>
      </c>
    </row>
    <row r="187" spans="1:16" x14ac:dyDescent="0.25">
      <c r="A187" s="433" t="s">
        <v>113</v>
      </c>
      <c r="B187" s="807" t="s">
        <v>329</v>
      </c>
      <c r="C187" s="270">
        <v>15000</v>
      </c>
      <c r="D187" s="270"/>
      <c r="E187" s="270"/>
      <c r="F187" s="270">
        <f>15000</f>
        <v>15000</v>
      </c>
      <c r="G187" s="270"/>
      <c r="H187" s="270"/>
      <c r="I187" s="270"/>
      <c r="J187" s="550">
        <f t="shared" si="84"/>
        <v>15000</v>
      </c>
      <c r="K187" s="431">
        <f t="shared" si="80"/>
        <v>0</v>
      </c>
      <c r="L187" s="534"/>
    </row>
    <row r="188" spans="1:16" x14ac:dyDescent="0.25">
      <c r="A188" s="794" t="s">
        <v>113</v>
      </c>
      <c r="B188" s="808" t="s">
        <v>679</v>
      </c>
      <c r="C188" s="790">
        <f>110000</f>
        <v>110000</v>
      </c>
      <c r="D188" s="790">
        <v>100000</v>
      </c>
      <c r="E188" s="790"/>
      <c r="F188" s="742">
        <v>10000</v>
      </c>
      <c r="G188" s="276"/>
      <c r="H188" s="276"/>
      <c r="I188" s="276"/>
      <c r="J188" s="550">
        <f t="shared" ref="J188" si="85">SUM(D188:I188)</f>
        <v>110000</v>
      </c>
      <c r="K188" s="431">
        <f t="shared" ref="K188" si="86">C188-J188</f>
        <v>0</v>
      </c>
      <c r="L188" s="534"/>
      <c r="M188" s="426">
        <f>F189+G189</f>
        <v>104190</v>
      </c>
    </row>
    <row r="189" spans="1:16" ht="15.75" thickBot="1" x14ac:dyDescent="0.3">
      <c r="A189" s="751" t="s">
        <v>113</v>
      </c>
      <c r="B189" s="752" t="s">
        <v>496</v>
      </c>
      <c r="C189" s="709">
        <f>379400+33000+5700+33430+680+946+32000</f>
        <v>485156</v>
      </c>
      <c r="D189" s="709">
        <f>379400+680</f>
        <v>380080</v>
      </c>
      <c r="E189" s="709">
        <f>886</f>
        <v>886</v>
      </c>
      <c r="F189" s="753">
        <f>32114-32000+5700+33430+946+32000</f>
        <v>72190</v>
      </c>
      <c r="G189" s="270">
        <v>32000</v>
      </c>
      <c r="H189" s="270"/>
      <c r="I189" s="270"/>
      <c r="J189" s="550">
        <f>SUM(D189:I189)</f>
        <v>485156</v>
      </c>
      <c r="K189" s="431">
        <f t="shared" si="80"/>
        <v>0</v>
      </c>
      <c r="L189" s="533">
        <f>SUM(C183:C189)</f>
        <v>968466</v>
      </c>
    </row>
    <row r="190" spans="1:16" x14ac:dyDescent="0.25">
      <c r="A190" s="775" t="s">
        <v>122</v>
      </c>
      <c r="B190" s="805" t="s">
        <v>478</v>
      </c>
      <c r="C190" s="774">
        <f>475100-230100+46000</f>
        <v>291000</v>
      </c>
      <c r="D190" s="774">
        <v>430000</v>
      </c>
      <c r="E190" s="774"/>
      <c r="F190" s="774">
        <f>46000-46000+46000</f>
        <v>46000</v>
      </c>
      <c r="G190" s="268">
        <f>-230100+45100</f>
        <v>-185000</v>
      </c>
      <c r="H190" s="268"/>
      <c r="I190" s="268"/>
      <c r="J190" s="551">
        <f t="shared" ref="J190" si="87">SUM(D190:I190)</f>
        <v>291000</v>
      </c>
      <c r="K190" s="431">
        <f t="shared" si="80"/>
        <v>0</v>
      </c>
      <c r="L190" s="533"/>
    </row>
    <row r="191" spans="1:16" x14ac:dyDescent="0.25">
      <c r="A191" s="430" t="s">
        <v>124</v>
      </c>
      <c r="B191" s="793" t="s">
        <v>625</v>
      </c>
      <c r="C191" s="276">
        <v>81600</v>
      </c>
      <c r="D191" s="276">
        <v>73400</v>
      </c>
      <c r="E191" s="276"/>
      <c r="F191" s="276">
        <v>8200</v>
      </c>
      <c r="G191" s="276"/>
      <c r="H191" s="276"/>
      <c r="I191" s="276"/>
      <c r="J191" s="548">
        <f t="shared" ref="J191" si="88">SUM(D191:I191)</f>
        <v>81600</v>
      </c>
      <c r="K191" s="431">
        <f t="shared" si="80"/>
        <v>0</v>
      </c>
      <c r="L191" s="533"/>
    </row>
    <row r="192" spans="1:16" ht="15.75" thickBot="1" x14ac:dyDescent="0.3">
      <c r="A192" s="433" t="s">
        <v>124</v>
      </c>
      <c r="B192" s="526" t="s">
        <v>314</v>
      </c>
      <c r="C192" s="270">
        <f>1146000-16800+200</f>
        <v>1129400</v>
      </c>
      <c r="D192" s="270">
        <f>1220380-74380+200</f>
        <v>1146200</v>
      </c>
      <c r="E192" s="270"/>
      <c r="F192" s="270">
        <v>0</v>
      </c>
      <c r="G192" s="270">
        <v>-16800</v>
      </c>
      <c r="H192" s="270"/>
      <c r="I192" s="270"/>
      <c r="J192" s="550">
        <f t="shared" ref="J192" si="89">SUM(D192:I192)</f>
        <v>1129400</v>
      </c>
      <c r="K192" s="431">
        <f t="shared" si="80"/>
        <v>0</v>
      </c>
      <c r="L192" s="533">
        <f>SUM(C190:C192)</f>
        <v>1502000</v>
      </c>
    </row>
    <row r="193" spans="1:16" ht="15.75" thickBot="1" x14ac:dyDescent="0.3">
      <c r="A193" s="932" t="s">
        <v>233</v>
      </c>
      <c r="B193" s="933"/>
      <c r="C193" s="446">
        <f t="shared" ref="C193:J193" si="90">SUM(C173:C192)</f>
        <v>3633366</v>
      </c>
      <c r="D193" s="446">
        <f t="shared" si="90"/>
        <v>2879480</v>
      </c>
      <c r="E193" s="446">
        <f t="shared" si="90"/>
        <v>3886</v>
      </c>
      <c r="F193" s="446">
        <f t="shared" si="90"/>
        <v>650000</v>
      </c>
      <c r="G193" s="446">
        <f t="shared" si="90"/>
        <v>0</v>
      </c>
      <c r="H193" s="446">
        <f t="shared" si="90"/>
        <v>0</v>
      </c>
      <c r="I193" s="446">
        <f t="shared" si="90"/>
        <v>100000</v>
      </c>
      <c r="J193" s="552">
        <f t="shared" si="90"/>
        <v>3633366</v>
      </c>
      <c r="K193" s="431">
        <f t="shared" si="80"/>
        <v>0</v>
      </c>
      <c r="L193" s="584"/>
    </row>
    <row r="194" spans="1:16" ht="15.75" thickBot="1" x14ac:dyDescent="0.3">
      <c r="A194" s="430"/>
      <c r="B194" s="448"/>
      <c r="C194" s="449"/>
      <c r="D194" s="276"/>
      <c r="E194" s="276"/>
      <c r="F194" s="447"/>
      <c r="G194" s="447"/>
      <c r="H194" s="447"/>
      <c r="I194" s="276"/>
      <c r="J194" s="548">
        <f>SUM(D194:I194)</f>
        <v>0</v>
      </c>
      <c r="K194" s="431">
        <f t="shared" si="80"/>
        <v>0</v>
      </c>
    </row>
    <row r="195" spans="1:16" ht="21.6" customHeight="1" thickBot="1" x14ac:dyDescent="0.3">
      <c r="A195" s="932" t="s">
        <v>234</v>
      </c>
      <c r="B195" s="933"/>
      <c r="C195" s="446">
        <f>SUM(C194:C194)</f>
        <v>0</v>
      </c>
      <c r="D195" s="446">
        <f t="shared" ref="D195:I195" si="91">SUM(D194:D194)</f>
        <v>0</v>
      </c>
      <c r="E195" s="446">
        <f t="shared" si="91"/>
        <v>0</v>
      </c>
      <c r="F195" s="446">
        <f t="shared" si="91"/>
        <v>0</v>
      </c>
      <c r="G195" s="446">
        <f t="shared" si="91"/>
        <v>0</v>
      </c>
      <c r="H195" s="446">
        <f t="shared" si="91"/>
        <v>0</v>
      </c>
      <c r="I195" s="446">
        <f t="shared" si="91"/>
        <v>0</v>
      </c>
      <c r="J195" s="552">
        <f>SUM(J194:J194)</f>
        <v>0</v>
      </c>
      <c r="K195" s="431">
        <f t="shared" si="80"/>
        <v>0</v>
      </c>
    </row>
    <row r="196" spans="1:16" ht="18.75" thickBot="1" x14ac:dyDescent="0.3">
      <c r="A196" s="934" t="s">
        <v>252</v>
      </c>
      <c r="B196" s="935"/>
      <c r="C196" s="446">
        <f>C193+C195</f>
        <v>3633366</v>
      </c>
      <c r="D196" s="446">
        <f t="shared" ref="D196:I196" si="92">D193+D195</f>
        <v>2879480</v>
      </c>
      <c r="E196" s="446">
        <f t="shared" si="92"/>
        <v>3886</v>
      </c>
      <c r="F196" s="446">
        <f t="shared" si="92"/>
        <v>650000</v>
      </c>
      <c r="G196" s="446">
        <f t="shared" si="92"/>
        <v>0</v>
      </c>
      <c r="H196" s="446">
        <f t="shared" si="92"/>
        <v>0</v>
      </c>
      <c r="I196" s="446">
        <f t="shared" si="92"/>
        <v>100000</v>
      </c>
      <c r="J196" s="552">
        <f>J193+J195</f>
        <v>3633366</v>
      </c>
      <c r="K196" s="431">
        <f t="shared" si="80"/>
        <v>0</v>
      </c>
      <c r="L196" s="533">
        <f>SUM(L174:L192)</f>
        <v>3633366</v>
      </c>
    </row>
    <row r="197" spans="1:16" x14ac:dyDescent="0.25">
      <c r="A197" s="450"/>
      <c r="B197" s="583" t="s">
        <v>354</v>
      </c>
      <c r="C197" s="451"/>
      <c r="E197" s="453"/>
      <c r="F197" s="806">
        <f>345000+305000</f>
        <v>650000</v>
      </c>
      <c r="G197" s="567">
        <f>185000+16800</f>
        <v>201800</v>
      </c>
      <c r="H197" s="566">
        <v>9000</v>
      </c>
      <c r="I197" s="454"/>
      <c r="J197" s="455"/>
      <c r="K197" s="456"/>
    </row>
    <row r="198" spans="1:16" ht="22.5" customHeight="1" x14ac:dyDescent="0.25">
      <c r="A198" s="450"/>
      <c r="B198" s="450"/>
      <c r="C198" s="451"/>
      <c r="E198" s="453"/>
      <c r="F198" s="426">
        <f>F197-F196</f>
        <v>0</v>
      </c>
      <c r="G198" s="565">
        <f>F197+G197</f>
        <v>851800</v>
      </c>
      <c r="H198" s="452"/>
      <c r="I198" s="454"/>
      <c r="J198" s="455"/>
      <c r="K198" s="456"/>
    </row>
    <row r="199" spans="1:16" ht="15" customHeight="1" x14ac:dyDescent="0.25">
      <c r="A199" s="427"/>
      <c r="B199" s="538" t="s">
        <v>315</v>
      </c>
      <c r="C199" s="529" t="s">
        <v>299</v>
      </c>
      <c r="D199" s="520">
        <f>2590450-70000-12860+680+29800+73400+100000+200</f>
        <v>2711670</v>
      </c>
      <c r="E199" s="474">
        <v>3000</v>
      </c>
      <c r="G199" s="460"/>
      <c r="H199" s="460"/>
      <c r="I199" s="427"/>
      <c r="J199" s="520">
        <f>SUM(D199:I199)</f>
        <v>2714670</v>
      </c>
    </row>
    <row r="200" spans="1:16" ht="15.75" x14ac:dyDescent="0.25">
      <c r="A200" s="427"/>
      <c r="C200" s="529" t="s">
        <v>300</v>
      </c>
      <c r="D200" s="528">
        <f>105400+70000-7590</f>
        <v>167810</v>
      </c>
      <c r="E200" s="527">
        <v>886</v>
      </c>
      <c r="F200" s="563"/>
      <c r="G200" s="426"/>
      <c r="H200" s="457"/>
      <c r="I200" s="527">
        <v>100000</v>
      </c>
      <c r="J200" s="743">
        <f>SUM(D200:I200)</f>
        <v>268696</v>
      </c>
    </row>
    <row r="201" spans="1:16" x14ac:dyDescent="0.25">
      <c r="A201" s="427"/>
      <c r="C201" s="427"/>
      <c r="D201" s="520">
        <f>SUM(D199:D200)</f>
        <v>2879480</v>
      </c>
      <c r="E201" s="427"/>
      <c r="F201" s="427"/>
      <c r="G201" s="427"/>
      <c r="H201" s="427"/>
      <c r="I201" s="539"/>
      <c r="J201" s="520"/>
      <c r="K201" s="427"/>
    </row>
    <row r="202" spans="1:16" x14ac:dyDescent="0.25">
      <c r="B202" s="734" t="s">
        <v>693</v>
      </c>
      <c r="D202" s="474">
        <f>D201-D196</f>
        <v>0</v>
      </c>
    </row>
    <row r="203" spans="1:16" x14ac:dyDescent="0.25">
      <c r="B203" t="s">
        <v>185</v>
      </c>
    </row>
    <row r="205" spans="1:16" ht="18.75" thickBot="1" x14ac:dyDescent="0.3">
      <c r="A205" s="928" t="s">
        <v>331</v>
      </c>
      <c r="B205" s="928"/>
      <c r="C205" s="928"/>
      <c r="D205" s="928"/>
      <c r="E205" s="928"/>
      <c r="F205" s="928"/>
      <c r="G205" s="928"/>
      <c r="H205" s="928"/>
      <c r="I205" s="928"/>
    </row>
    <row r="206" spans="1:16" ht="16.5" thickBot="1" x14ac:dyDescent="0.3">
      <c r="A206" s="427"/>
      <c r="B206" s="427"/>
      <c r="C206" s="427"/>
      <c r="D206" s="427"/>
      <c r="E206" s="427"/>
      <c r="F206" s="427"/>
      <c r="G206" s="427"/>
      <c r="H206" s="427"/>
      <c r="I206" s="427"/>
      <c r="J206" s="427"/>
      <c r="N206" s="929" t="s">
        <v>226</v>
      </c>
      <c r="O206" s="930"/>
      <c r="P206" s="931"/>
    </row>
    <row r="207" spans="1:16" ht="45.75" thickBot="1" x14ac:dyDescent="0.3">
      <c r="A207" s="428" t="s">
        <v>221</v>
      </c>
      <c r="B207" s="428" t="s">
        <v>222</v>
      </c>
      <c r="C207" s="429" t="s">
        <v>223</v>
      </c>
      <c r="D207" s="429" t="s">
        <v>310</v>
      </c>
      <c r="E207" s="429" t="s">
        <v>316</v>
      </c>
      <c r="F207" s="429" t="s">
        <v>224</v>
      </c>
      <c r="G207" s="429" t="s">
        <v>338</v>
      </c>
      <c r="H207" s="429" t="s">
        <v>235</v>
      </c>
      <c r="I207" s="536" t="s">
        <v>311</v>
      </c>
      <c r="J207" s="547" t="s">
        <v>225</v>
      </c>
      <c r="L207" t="s">
        <v>339</v>
      </c>
      <c r="N207" s="432" t="s">
        <v>227</v>
      </c>
      <c r="O207" s="540" t="s">
        <v>228</v>
      </c>
      <c r="P207" s="541" t="s">
        <v>317</v>
      </c>
    </row>
    <row r="208" spans="1:16" ht="15.75" x14ac:dyDescent="0.25">
      <c r="A208" s="737" t="s">
        <v>82</v>
      </c>
      <c r="B208" s="738" t="s">
        <v>229</v>
      </c>
      <c r="C208" s="739">
        <v>30000</v>
      </c>
      <c r="D208" s="739"/>
      <c r="E208" s="739"/>
      <c r="F208" s="739">
        <v>30000</v>
      </c>
      <c r="G208" s="739"/>
      <c r="H208" s="739"/>
      <c r="I208" s="739"/>
      <c r="J208" s="551">
        <f>SUM(D208:I208)</f>
        <v>30000</v>
      </c>
      <c r="K208" s="431">
        <f>C208-J208</f>
        <v>0</v>
      </c>
      <c r="L208" s="534"/>
      <c r="N208" s="437" t="s">
        <v>327</v>
      </c>
      <c r="O208" s="441">
        <f>20000-500</f>
        <v>19500</v>
      </c>
      <c r="P208" s="543"/>
    </row>
    <row r="209" spans="1:16" ht="16.5" thickBot="1" x14ac:dyDescent="0.3">
      <c r="A209" s="735" t="s">
        <v>82</v>
      </c>
      <c r="B209" s="736" t="s">
        <v>163</v>
      </c>
      <c r="C209" s="274">
        <v>1500</v>
      </c>
      <c r="D209" s="274"/>
      <c r="E209" s="274"/>
      <c r="F209" s="274">
        <v>1500</v>
      </c>
      <c r="G209" s="274"/>
      <c r="H209" s="274"/>
      <c r="I209" s="274"/>
      <c r="J209" s="548">
        <f t="shared" ref="J209:J211" si="93">SUM(D209:I209)</f>
        <v>1500</v>
      </c>
      <c r="K209" s="431">
        <f t="shared" ref="K209:K230" si="94">C209-J209</f>
        <v>0</v>
      </c>
      <c r="L209" s="533">
        <f>SUM(C208:C209)</f>
        <v>31500</v>
      </c>
      <c r="N209" s="437" t="s">
        <v>318</v>
      </c>
      <c r="O209" s="435">
        <f>5000+10000+1500+200-16700</f>
        <v>0</v>
      </c>
      <c r="P209" s="542"/>
    </row>
    <row r="210" spans="1:16" ht="15.75" x14ac:dyDescent="0.25">
      <c r="A210" s="438" t="s">
        <v>87</v>
      </c>
      <c r="B210" s="537" t="s">
        <v>328</v>
      </c>
      <c r="C210" s="279">
        <f>151200</f>
        <v>151200</v>
      </c>
      <c r="D210" s="279">
        <v>138200</v>
      </c>
      <c r="E210" s="279"/>
      <c r="F210" s="279">
        <v>13000</v>
      </c>
      <c r="G210" s="279"/>
      <c r="H210" s="279"/>
      <c r="I210" s="279"/>
      <c r="J210" s="548">
        <f t="shared" si="93"/>
        <v>151200</v>
      </c>
      <c r="K210" s="431">
        <f t="shared" si="94"/>
        <v>0</v>
      </c>
      <c r="L210" s="534"/>
      <c r="N210" s="437" t="s">
        <v>246</v>
      </c>
      <c r="O210" s="441">
        <v>8000</v>
      </c>
      <c r="P210" s="542"/>
    </row>
    <row r="211" spans="1:16" ht="15.75" x14ac:dyDescent="0.25">
      <c r="A211" s="433" t="s">
        <v>89</v>
      </c>
      <c r="B211" s="283" t="s">
        <v>312</v>
      </c>
      <c r="C211" s="270">
        <v>100000</v>
      </c>
      <c r="D211" s="270">
        <v>0</v>
      </c>
      <c r="E211" s="270"/>
      <c r="F211" s="270">
        <v>0</v>
      </c>
      <c r="G211" s="270"/>
      <c r="H211" s="557"/>
      <c r="I211" s="557">
        <v>100000</v>
      </c>
      <c r="J211" s="550">
        <f t="shared" si="93"/>
        <v>100000</v>
      </c>
      <c r="K211" s="431">
        <f t="shared" si="94"/>
        <v>0</v>
      </c>
      <c r="L211" s="534"/>
      <c r="N211" s="437" t="s">
        <v>319</v>
      </c>
      <c r="O211" s="441">
        <v>2000</v>
      </c>
      <c r="P211" s="543"/>
    </row>
    <row r="212" spans="1:16" ht="16.5" thickBot="1" x14ac:dyDescent="0.3">
      <c r="A212" s="439" t="s">
        <v>93</v>
      </c>
      <c r="B212" s="568" t="s">
        <v>335</v>
      </c>
      <c r="C212" s="273">
        <f>196500-12860</f>
        <v>183640</v>
      </c>
      <c r="D212" s="273">
        <f>196500-12860</f>
        <v>183640</v>
      </c>
      <c r="E212" s="273"/>
      <c r="F212" s="273">
        <v>0</v>
      </c>
      <c r="G212" s="273"/>
      <c r="H212" s="440"/>
      <c r="I212" s="440"/>
      <c r="J212" s="550">
        <f t="shared" ref="J212" si="95">SUM(D212:I212)</f>
        <v>183640</v>
      </c>
      <c r="K212" s="431">
        <f t="shared" si="94"/>
        <v>0</v>
      </c>
      <c r="L212" s="533">
        <f>SUM(C210:C212)</f>
        <v>434840</v>
      </c>
      <c r="N212" s="437" t="s">
        <v>506</v>
      </c>
      <c r="O212" s="435">
        <v>500</v>
      </c>
      <c r="P212" s="542"/>
    </row>
    <row r="213" spans="1:16" ht="15.75" x14ac:dyDescent="0.25">
      <c r="A213" s="438" t="s">
        <v>164</v>
      </c>
      <c r="B213" s="445" t="s">
        <v>165</v>
      </c>
      <c r="C213" s="279">
        <f>3000+20000</f>
        <v>23000</v>
      </c>
      <c r="D213" s="279"/>
      <c r="E213" s="279">
        <v>3000</v>
      </c>
      <c r="F213" s="279">
        <v>20000</v>
      </c>
      <c r="G213" s="279"/>
      <c r="H213" s="279"/>
      <c r="I213" s="279"/>
      <c r="J213" s="548">
        <f t="shared" ref="J213:J214" si="96">SUM(D213:I213)</f>
        <v>23000</v>
      </c>
      <c r="K213" s="431">
        <f t="shared" si="94"/>
        <v>0</v>
      </c>
      <c r="L213" s="534"/>
      <c r="N213" s="437"/>
      <c r="O213" s="435"/>
      <c r="P213" s="542"/>
    </row>
    <row r="214" spans="1:16" ht="15.75" x14ac:dyDescent="0.25">
      <c r="A214" s="433" t="s">
        <v>96</v>
      </c>
      <c r="B214" s="443" t="s">
        <v>247</v>
      </c>
      <c r="C214" s="270">
        <f>10000-5700</f>
        <v>4300</v>
      </c>
      <c r="D214" s="270"/>
      <c r="E214" s="270"/>
      <c r="F214" s="270">
        <f>10000-5700</f>
        <v>4300</v>
      </c>
      <c r="G214" s="270"/>
      <c r="H214" s="270"/>
      <c r="I214" s="270"/>
      <c r="J214" s="550">
        <f t="shared" si="96"/>
        <v>4300</v>
      </c>
      <c r="K214" s="431">
        <f t="shared" si="94"/>
        <v>0</v>
      </c>
      <c r="L214" s="534"/>
      <c r="M214" s="426"/>
      <c r="N214" s="437"/>
      <c r="O214" s="441"/>
      <c r="P214" s="542"/>
    </row>
    <row r="215" spans="1:16" ht="15.75" x14ac:dyDescent="0.25">
      <c r="A215" s="754" t="s">
        <v>96</v>
      </c>
      <c r="B215" s="755" t="s">
        <v>357</v>
      </c>
      <c r="C215" s="753">
        <f>15036+43800+163000-33430-946-55000-300-8200</f>
        <v>123960</v>
      </c>
      <c r="D215" s="270"/>
      <c r="E215" s="270"/>
      <c r="F215" s="753">
        <f>50000+9036-44000+163000-33430-946-55000-300-8200</f>
        <v>80160</v>
      </c>
      <c r="G215" s="270">
        <f>27000+16800</f>
        <v>43800</v>
      </c>
      <c r="H215" s="270"/>
      <c r="I215" s="270"/>
      <c r="J215" s="550">
        <f t="shared" ref="J215" si="97">SUM(D215:I215)</f>
        <v>123960</v>
      </c>
      <c r="K215" s="431">
        <f t="shared" si="94"/>
        <v>0</v>
      </c>
      <c r="L215" s="534"/>
      <c r="N215" s="437"/>
      <c r="O215" s="441"/>
      <c r="P215" s="542"/>
    </row>
    <row r="216" spans="1:16" ht="15.75" x14ac:dyDescent="0.25">
      <c r="A216" s="430" t="s">
        <v>301</v>
      </c>
      <c r="B216" s="492" t="s">
        <v>313</v>
      </c>
      <c r="C216" s="449">
        <f>145000+71000</f>
        <v>216000</v>
      </c>
      <c r="D216" s="276">
        <v>145000</v>
      </c>
      <c r="E216" s="276"/>
      <c r="F216" s="276">
        <f>12700+58300-71000</f>
        <v>0</v>
      </c>
      <c r="G216" s="276">
        <v>71000</v>
      </c>
      <c r="H216" s="276"/>
      <c r="I216" s="276"/>
      <c r="J216" s="548">
        <f>SUM(D216:I216)</f>
        <v>216000</v>
      </c>
      <c r="K216" s="431">
        <f t="shared" si="94"/>
        <v>0</v>
      </c>
      <c r="L216" s="534"/>
      <c r="N216" s="467"/>
      <c r="O216" s="468"/>
      <c r="P216" s="544"/>
    </row>
    <row r="217" spans="1:16" ht="16.5" thickBot="1" x14ac:dyDescent="0.3">
      <c r="A217" s="439" t="s">
        <v>98</v>
      </c>
      <c r="B217" s="521" t="s">
        <v>481</v>
      </c>
      <c r="C217" s="273">
        <f>70000+42000+300</f>
        <v>112300</v>
      </c>
      <c r="D217" s="273">
        <v>70000</v>
      </c>
      <c r="E217" s="273"/>
      <c r="F217" s="273">
        <f>12000+30000+300</f>
        <v>42300</v>
      </c>
      <c r="G217" s="273"/>
      <c r="H217" s="273"/>
      <c r="I217" s="273"/>
      <c r="J217" s="549">
        <f t="shared" ref="J217:J222" si="98">SUM(D217:I217)</f>
        <v>112300</v>
      </c>
      <c r="K217" s="431">
        <f t="shared" si="94"/>
        <v>0</v>
      </c>
      <c r="L217" s="533">
        <f>SUM(C213:C217)</f>
        <v>479560</v>
      </c>
      <c r="M217" s="426"/>
      <c r="N217" s="467"/>
      <c r="O217" s="468"/>
      <c r="P217" s="544"/>
    </row>
    <row r="218" spans="1:16" ht="15.75" x14ac:dyDescent="0.25">
      <c r="A218" s="436" t="s">
        <v>111</v>
      </c>
      <c r="B218" s="741" t="s">
        <v>337</v>
      </c>
      <c r="C218" s="268">
        <f>50000+5000-1800-520</f>
        <v>52680</v>
      </c>
      <c r="D218" s="268">
        <v>50000</v>
      </c>
      <c r="E218" s="268"/>
      <c r="F218" s="268">
        <f>5000-1800-520</f>
        <v>2680</v>
      </c>
      <c r="G218" s="268"/>
      <c r="H218" s="268"/>
      <c r="I218" s="268"/>
      <c r="J218" s="551">
        <f t="shared" si="98"/>
        <v>52680</v>
      </c>
      <c r="K218" s="431">
        <f t="shared" si="94"/>
        <v>0</v>
      </c>
      <c r="L218" s="534"/>
      <c r="N218" s="467"/>
      <c r="O218" s="468"/>
      <c r="P218" s="544"/>
    </row>
    <row r="219" spans="1:16" ht="15.75" x14ac:dyDescent="0.25">
      <c r="A219" s="430" t="s">
        <v>111</v>
      </c>
      <c r="B219" s="740" t="s">
        <v>547</v>
      </c>
      <c r="C219" s="276">
        <f>196100-7590+1800+55000</f>
        <v>245310</v>
      </c>
      <c r="D219" s="276">
        <f>105400+35350-7590</f>
        <v>133160</v>
      </c>
      <c r="E219" s="276"/>
      <c r="F219" s="276">
        <f>55350-55000+1800+55000</f>
        <v>57150</v>
      </c>
      <c r="G219" s="276">
        <v>55000</v>
      </c>
      <c r="H219" s="276"/>
      <c r="I219" s="276"/>
      <c r="J219" s="548">
        <f t="shared" si="98"/>
        <v>245310</v>
      </c>
      <c r="K219" s="431">
        <f t="shared" si="94"/>
        <v>0</v>
      </c>
      <c r="L219" s="534"/>
      <c r="N219" s="467"/>
      <c r="O219" s="468"/>
      <c r="P219" s="544"/>
    </row>
    <row r="220" spans="1:16" ht="16.5" thickBot="1" x14ac:dyDescent="0.3">
      <c r="A220" s="430" t="s">
        <v>111</v>
      </c>
      <c r="B220" s="555" t="s">
        <v>582</v>
      </c>
      <c r="C220" s="276">
        <f>30000+29800+520</f>
        <v>60320</v>
      </c>
      <c r="D220" s="276">
        <v>29800</v>
      </c>
      <c r="E220" s="276"/>
      <c r="F220" s="276">
        <f>30000+520</f>
        <v>30520</v>
      </c>
      <c r="G220" s="276"/>
      <c r="H220" s="276"/>
      <c r="I220" s="276"/>
      <c r="J220" s="550">
        <f t="shared" si="98"/>
        <v>60320</v>
      </c>
      <c r="K220" s="431">
        <f t="shared" si="94"/>
        <v>0</v>
      </c>
      <c r="L220" s="534"/>
      <c r="M220" s="564"/>
      <c r="N220" s="458" t="s">
        <v>230</v>
      </c>
      <c r="O220" s="746">
        <v>0</v>
      </c>
      <c r="P220" s="544"/>
    </row>
    <row r="221" spans="1:16" ht="16.5" thickBot="1" x14ac:dyDescent="0.3">
      <c r="A221" s="430" t="s">
        <v>113</v>
      </c>
      <c r="B221" s="285" t="s">
        <v>232</v>
      </c>
      <c r="C221" s="276">
        <v>0</v>
      </c>
      <c r="D221" s="276"/>
      <c r="E221" s="276"/>
      <c r="F221" s="276">
        <v>0</v>
      </c>
      <c r="G221" s="276"/>
      <c r="H221" s="276"/>
      <c r="I221" s="276"/>
      <c r="J221" s="548">
        <f t="shared" si="98"/>
        <v>0</v>
      </c>
      <c r="K221" s="431">
        <f t="shared" si="94"/>
        <v>0</v>
      </c>
      <c r="L221" s="569"/>
      <c r="N221" s="459" t="s">
        <v>231</v>
      </c>
      <c r="O221" s="545">
        <f>SUM(O208:O220)</f>
        <v>30000</v>
      </c>
      <c r="P221" s="546">
        <f>SUM(P208:P220)</f>
        <v>0</v>
      </c>
    </row>
    <row r="222" spans="1:16" x14ac:dyDescent="0.25">
      <c r="A222" s="438" t="s">
        <v>113</v>
      </c>
      <c r="B222" s="554" t="s">
        <v>329</v>
      </c>
      <c r="C222" s="279">
        <v>15000</v>
      </c>
      <c r="D222" s="279"/>
      <c r="E222" s="279"/>
      <c r="F222" s="276">
        <f>15000</f>
        <v>15000</v>
      </c>
      <c r="G222" s="276"/>
      <c r="H222" s="276"/>
      <c r="I222" s="276"/>
      <c r="J222" s="548">
        <f t="shared" si="98"/>
        <v>15000</v>
      </c>
      <c r="K222" s="431">
        <f t="shared" si="94"/>
        <v>0</v>
      </c>
      <c r="L222" s="534"/>
      <c r="M222" s="426">
        <f>F223+G223</f>
        <v>72190</v>
      </c>
    </row>
    <row r="223" spans="1:16" ht="15.75" thickBot="1" x14ac:dyDescent="0.3">
      <c r="A223" s="442" t="s">
        <v>113</v>
      </c>
      <c r="B223" s="444" t="s">
        <v>496</v>
      </c>
      <c r="C223" s="282">
        <f>379400+33000+5700+33430+680+946</f>
        <v>453156</v>
      </c>
      <c r="D223" s="282">
        <f>379400+680</f>
        <v>380080</v>
      </c>
      <c r="E223" s="282">
        <f>886</f>
        <v>886</v>
      </c>
      <c r="F223" s="270">
        <f>32114-32000+5700+33430+946</f>
        <v>40190</v>
      </c>
      <c r="G223" s="270">
        <v>32000</v>
      </c>
      <c r="H223" s="270"/>
      <c r="I223" s="270"/>
      <c r="J223" s="550">
        <f>SUM(D223:I223)</f>
        <v>453156</v>
      </c>
      <c r="K223" s="431">
        <f t="shared" si="94"/>
        <v>0</v>
      </c>
      <c r="L223" s="533">
        <f>SUM(C218:C223)</f>
        <v>826466</v>
      </c>
    </row>
    <row r="224" spans="1:16" x14ac:dyDescent="0.25">
      <c r="A224" s="436" t="s">
        <v>122</v>
      </c>
      <c r="B224" s="525" t="s">
        <v>478</v>
      </c>
      <c r="C224" s="268">
        <f>475100-230100</f>
        <v>245000</v>
      </c>
      <c r="D224" s="268">
        <v>430000</v>
      </c>
      <c r="E224" s="268"/>
      <c r="F224" s="268">
        <f>46000-46000</f>
        <v>0</v>
      </c>
      <c r="G224" s="268">
        <f>-230100+45100</f>
        <v>-185000</v>
      </c>
      <c r="H224" s="268"/>
      <c r="I224" s="268"/>
      <c r="J224" s="551">
        <f t="shared" ref="J224" si="99">SUM(D224:I224)</f>
        <v>245000</v>
      </c>
      <c r="K224" s="431">
        <f t="shared" si="94"/>
        <v>0</v>
      </c>
      <c r="L224" s="533"/>
    </row>
    <row r="225" spans="1:16" x14ac:dyDescent="0.25">
      <c r="A225" s="747" t="s">
        <v>124</v>
      </c>
      <c r="B225" s="786" t="s">
        <v>625</v>
      </c>
      <c r="C225" s="742">
        <f>73400+8200</f>
        <v>81600</v>
      </c>
      <c r="D225" s="742">
        <v>73400</v>
      </c>
      <c r="E225" s="276"/>
      <c r="F225" s="742">
        <v>8200</v>
      </c>
      <c r="G225" s="276"/>
      <c r="H225" s="276"/>
      <c r="I225" s="276"/>
      <c r="J225" s="548">
        <f t="shared" ref="J225" si="100">SUM(D225:I225)</f>
        <v>81600</v>
      </c>
      <c r="K225" s="431">
        <f t="shared" ref="K225" si="101">C225-J225</f>
        <v>0</v>
      </c>
      <c r="L225" s="533"/>
    </row>
    <row r="226" spans="1:16" ht="15.75" thickBot="1" x14ac:dyDescent="0.3">
      <c r="A226" s="433" t="s">
        <v>124</v>
      </c>
      <c r="B226" s="526" t="s">
        <v>314</v>
      </c>
      <c r="C226" s="270">
        <f>1146000-16800</f>
        <v>1129200</v>
      </c>
      <c r="D226" s="270">
        <f>1220380-74380</f>
        <v>1146000</v>
      </c>
      <c r="E226" s="270"/>
      <c r="F226" s="270">
        <v>0</v>
      </c>
      <c r="G226" s="270">
        <v>-16800</v>
      </c>
      <c r="H226" s="270"/>
      <c r="I226" s="270"/>
      <c r="J226" s="550">
        <f t="shared" ref="J226" si="102">SUM(D226:I226)</f>
        <v>1129200</v>
      </c>
      <c r="K226" s="431">
        <f t="shared" si="94"/>
        <v>0</v>
      </c>
      <c r="L226" s="533">
        <f>SUM(C224:C226)</f>
        <v>1455800</v>
      </c>
    </row>
    <row r="227" spans="1:16" ht="15.75" thickBot="1" x14ac:dyDescent="0.3">
      <c r="A227" s="932" t="s">
        <v>233</v>
      </c>
      <c r="B227" s="933"/>
      <c r="C227" s="446">
        <f t="shared" ref="C227:J227" si="103">SUM(C208:C226)</f>
        <v>3228166</v>
      </c>
      <c r="D227" s="446">
        <f t="shared" si="103"/>
        <v>2779280</v>
      </c>
      <c r="E227" s="446">
        <f t="shared" si="103"/>
        <v>3886</v>
      </c>
      <c r="F227" s="446">
        <f t="shared" si="103"/>
        <v>345000</v>
      </c>
      <c r="G227" s="446">
        <f t="shared" si="103"/>
        <v>0</v>
      </c>
      <c r="H227" s="446">
        <f t="shared" si="103"/>
        <v>0</v>
      </c>
      <c r="I227" s="446">
        <f t="shared" si="103"/>
        <v>100000</v>
      </c>
      <c r="J227" s="552">
        <f t="shared" si="103"/>
        <v>3228166</v>
      </c>
      <c r="K227" s="431">
        <f t="shared" si="94"/>
        <v>0</v>
      </c>
      <c r="L227" s="584"/>
    </row>
    <row r="228" spans="1:16" ht="15.75" thickBot="1" x14ac:dyDescent="0.3">
      <c r="A228" s="430"/>
      <c r="B228" s="448"/>
      <c r="C228" s="449"/>
      <c r="D228" s="276"/>
      <c r="E228" s="276"/>
      <c r="F228" s="447"/>
      <c r="G228" s="447"/>
      <c r="H228" s="447"/>
      <c r="I228" s="276"/>
      <c r="J228" s="548">
        <f>SUM(D228:I228)</f>
        <v>0</v>
      </c>
      <c r="K228" s="431">
        <f t="shared" si="94"/>
        <v>0</v>
      </c>
    </row>
    <row r="229" spans="1:16" ht="15.75" thickBot="1" x14ac:dyDescent="0.3">
      <c r="A229" s="932" t="s">
        <v>234</v>
      </c>
      <c r="B229" s="933"/>
      <c r="C229" s="446">
        <f>SUM(C228:C228)</f>
        <v>0</v>
      </c>
      <c r="D229" s="446">
        <f t="shared" ref="D229:I229" si="104">SUM(D228:D228)</f>
        <v>0</v>
      </c>
      <c r="E229" s="446">
        <f t="shared" si="104"/>
        <v>0</v>
      </c>
      <c r="F229" s="446">
        <f t="shared" si="104"/>
        <v>0</v>
      </c>
      <c r="G229" s="446">
        <f t="shared" si="104"/>
        <v>0</v>
      </c>
      <c r="H229" s="446">
        <f t="shared" si="104"/>
        <v>0</v>
      </c>
      <c r="I229" s="446">
        <f t="shared" si="104"/>
        <v>0</v>
      </c>
      <c r="J229" s="552">
        <f>SUM(J228:J228)</f>
        <v>0</v>
      </c>
      <c r="K229" s="431">
        <f t="shared" si="94"/>
        <v>0</v>
      </c>
    </row>
    <row r="230" spans="1:16" ht="18.75" thickBot="1" x14ac:dyDescent="0.3">
      <c r="A230" s="934" t="s">
        <v>252</v>
      </c>
      <c r="B230" s="935"/>
      <c r="C230" s="446">
        <f>C227+C229</f>
        <v>3228166</v>
      </c>
      <c r="D230" s="446">
        <f t="shared" ref="D230:I230" si="105">D227+D229</f>
        <v>2779280</v>
      </c>
      <c r="E230" s="446">
        <f t="shared" si="105"/>
        <v>3886</v>
      </c>
      <c r="F230" s="446">
        <f t="shared" si="105"/>
        <v>345000</v>
      </c>
      <c r="G230" s="446">
        <f t="shared" si="105"/>
        <v>0</v>
      </c>
      <c r="H230" s="446">
        <f t="shared" si="105"/>
        <v>0</v>
      </c>
      <c r="I230" s="446">
        <f t="shared" si="105"/>
        <v>100000</v>
      </c>
      <c r="J230" s="552">
        <f>J227+J229</f>
        <v>3228166</v>
      </c>
      <c r="K230" s="431">
        <f t="shared" si="94"/>
        <v>0</v>
      </c>
      <c r="L230" s="533">
        <f>SUM(L209:L226)</f>
        <v>3228166</v>
      </c>
    </row>
    <row r="231" spans="1:16" x14ac:dyDescent="0.25">
      <c r="A231" s="450"/>
      <c r="B231" s="583" t="s">
        <v>354</v>
      </c>
      <c r="C231" s="451"/>
      <c r="E231" s="453"/>
      <c r="F231" s="566">
        <v>345000</v>
      </c>
      <c r="G231" s="567">
        <f>185000+16800</f>
        <v>201800</v>
      </c>
      <c r="H231" s="566">
        <v>9000</v>
      </c>
      <c r="I231" s="454"/>
      <c r="J231" s="455"/>
      <c r="K231" s="456"/>
    </row>
    <row r="232" spans="1:16" x14ac:dyDescent="0.25">
      <c r="A232" s="450"/>
      <c r="B232" s="450"/>
      <c r="C232" s="451"/>
      <c r="E232" s="453"/>
      <c r="F232" s="426">
        <f>F231-F230</f>
        <v>0</v>
      </c>
      <c r="G232" s="565">
        <f>F231+G231</f>
        <v>546800</v>
      </c>
      <c r="H232" s="452"/>
      <c r="I232" s="454"/>
      <c r="J232" s="455"/>
      <c r="K232" s="456"/>
    </row>
    <row r="233" spans="1:16" x14ac:dyDescent="0.25">
      <c r="A233" s="427"/>
      <c r="B233" s="538" t="s">
        <v>315</v>
      </c>
      <c r="C233" s="529" t="s">
        <v>299</v>
      </c>
      <c r="D233" s="520">
        <f>2590450-70000-12860+680+29800+73400</f>
        <v>2611470</v>
      </c>
      <c r="E233" s="474">
        <v>3000</v>
      </c>
      <c r="G233" s="460"/>
      <c r="H233" s="460"/>
      <c r="I233" s="427"/>
      <c r="J233" s="520">
        <f>SUM(D233:I233)</f>
        <v>2614470</v>
      </c>
    </row>
    <row r="234" spans="1:16" ht="15.75" x14ac:dyDescent="0.25">
      <c r="A234" s="427"/>
      <c r="C234" s="529" t="s">
        <v>300</v>
      </c>
      <c r="D234" s="528">
        <f>105400+70000-7590</f>
        <v>167810</v>
      </c>
      <c r="E234" s="527">
        <v>886</v>
      </c>
      <c r="F234" s="563"/>
      <c r="G234" s="426"/>
      <c r="H234" s="457"/>
      <c r="I234" s="527">
        <v>100000</v>
      </c>
      <c r="J234" s="743">
        <f>SUM(D234:I234)</f>
        <v>268696</v>
      </c>
    </row>
    <row r="235" spans="1:16" x14ac:dyDescent="0.25">
      <c r="A235" s="427"/>
      <c r="C235" s="427"/>
      <c r="D235" s="520">
        <f>SUM(D233:D234)</f>
        <v>2779280</v>
      </c>
      <c r="E235" s="427"/>
      <c r="F235" s="427"/>
      <c r="G235" s="427"/>
      <c r="H235" s="427"/>
      <c r="I235" s="539"/>
      <c r="J235" s="520"/>
      <c r="K235" s="427"/>
    </row>
    <row r="236" spans="1:16" x14ac:dyDescent="0.25">
      <c r="B236" s="734" t="s">
        <v>632</v>
      </c>
      <c r="D236" s="474">
        <f>D235-D230</f>
        <v>0</v>
      </c>
    </row>
    <row r="237" spans="1:16" x14ac:dyDescent="0.25">
      <c r="B237" t="s">
        <v>185</v>
      </c>
    </row>
    <row r="239" spans="1:16" ht="18.75" thickBot="1" x14ac:dyDescent="0.3">
      <c r="A239" s="928" t="s">
        <v>331</v>
      </c>
      <c r="B239" s="928"/>
      <c r="C239" s="928"/>
      <c r="D239" s="928"/>
      <c r="E239" s="928"/>
      <c r="F239" s="928"/>
      <c r="G239" s="928"/>
      <c r="H239" s="928"/>
      <c r="I239" s="928"/>
    </row>
    <row r="240" spans="1:16" ht="16.5" thickBot="1" x14ac:dyDescent="0.3">
      <c r="A240" s="427"/>
      <c r="B240" s="427"/>
      <c r="C240" s="427"/>
      <c r="D240" s="427"/>
      <c r="E240" s="427"/>
      <c r="F240" s="427"/>
      <c r="G240" s="427"/>
      <c r="H240" s="427"/>
      <c r="I240" s="427"/>
      <c r="J240" s="427"/>
      <c r="N240" s="929" t="s">
        <v>226</v>
      </c>
      <c r="O240" s="930"/>
      <c r="P240" s="931"/>
    </row>
    <row r="241" spans="1:16" ht="45.75" thickBot="1" x14ac:dyDescent="0.3">
      <c r="A241" s="428" t="s">
        <v>221</v>
      </c>
      <c r="B241" s="428" t="s">
        <v>222</v>
      </c>
      <c r="C241" s="429" t="s">
        <v>223</v>
      </c>
      <c r="D241" s="429" t="s">
        <v>310</v>
      </c>
      <c r="E241" s="429" t="s">
        <v>316</v>
      </c>
      <c r="F241" s="429" t="s">
        <v>224</v>
      </c>
      <c r="G241" s="429" t="s">
        <v>338</v>
      </c>
      <c r="H241" s="429" t="s">
        <v>235</v>
      </c>
      <c r="I241" s="536" t="s">
        <v>311</v>
      </c>
      <c r="J241" s="547" t="s">
        <v>225</v>
      </c>
      <c r="L241" t="s">
        <v>339</v>
      </c>
      <c r="N241" s="432" t="s">
        <v>227</v>
      </c>
      <c r="O241" s="540" t="s">
        <v>228</v>
      </c>
      <c r="P241" s="541" t="s">
        <v>317</v>
      </c>
    </row>
    <row r="242" spans="1:16" ht="15.75" x14ac:dyDescent="0.25">
      <c r="A242" s="737" t="s">
        <v>82</v>
      </c>
      <c r="B242" s="738" t="s">
        <v>229</v>
      </c>
      <c r="C242" s="739">
        <v>30000</v>
      </c>
      <c r="D242" s="739"/>
      <c r="E242" s="739"/>
      <c r="F242" s="739">
        <v>30000</v>
      </c>
      <c r="G242" s="739"/>
      <c r="H242" s="739"/>
      <c r="I242" s="739"/>
      <c r="J242" s="551">
        <f>SUM(D242:I242)</f>
        <v>30000</v>
      </c>
      <c r="K242" s="431">
        <f>C242-J242</f>
        <v>0</v>
      </c>
      <c r="L242" s="534"/>
      <c r="N242" s="437" t="s">
        <v>327</v>
      </c>
      <c r="O242" s="441">
        <f>20000-500</f>
        <v>19500</v>
      </c>
      <c r="P242" s="543"/>
    </row>
    <row r="243" spans="1:16" ht="16.5" thickBot="1" x14ac:dyDescent="0.3">
      <c r="A243" s="735" t="s">
        <v>82</v>
      </c>
      <c r="B243" s="736" t="s">
        <v>163</v>
      </c>
      <c r="C243" s="274">
        <v>1500</v>
      </c>
      <c r="D243" s="274"/>
      <c r="E243" s="274"/>
      <c r="F243" s="274">
        <v>1500</v>
      </c>
      <c r="G243" s="274"/>
      <c r="H243" s="274"/>
      <c r="I243" s="274"/>
      <c r="J243" s="548">
        <f t="shared" ref="J243:J245" si="106">SUM(D243:I243)</f>
        <v>1500</v>
      </c>
      <c r="K243" s="431">
        <f t="shared" ref="K243:K263" si="107">C243-J243</f>
        <v>0</v>
      </c>
      <c r="L243" s="533">
        <f>SUM(C242:C243)</f>
        <v>31500</v>
      </c>
      <c r="N243" s="437" t="s">
        <v>318</v>
      </c>
      <c r="O243" s="435">
        <f>5000+10000+1500+200-16700</f>
        <v>0</v>
      </c>
      <c r="P243" s="542"/>
    </row>
    <row r="244" spans="1:16" ht="15.75" x14ac:dyDescent="0.25">
      <c r="A244" s="438" t="s">
        <v>87</v>
      </c>
      <c r="B244" s="537" t="s">
        <v>328</v>
      </c>
      <c r="C244" s="279">
        <f>151200</f>
        <v>151200</v>
      </c>
      <c r="D244" s="279">
        <v>138200</v>
      </c>
      <c r="E244" s="279"/>
      <c r="F244" s="279">
        <v>13000</v>
      </c>
      <c r="G244" s="279"/>
      <c r="H244" s="279"/>
      <c r="I244" s="279"/>
      <c r="J244" s="548">
        <f t="shared" si="106"/>
        <v>151200</v>
      </c>
      <c r="K244" s="431">
        <f t="shared" si="107"/>
        <v>0</v>
      </c>
      <c r="L244" s="534"/>
      <c r="N244" s="437" t="s">
        <v>246</v>
      </c>
      <c r="O244" s="441">
        <v>8000</v>
      </c>
      <c r="P244" s="542"/>
    </row>
    <row r="245" spans="1:16" ht="15.75" x14ac:dyDescent="0.25">
      <c r="A245" s="433" t="s">
        <v>89</v>
      </c>
      <c r="B245" s="283" t="s">
        <v>312</v>
      </c>
      <c r="C245" s="270">
        <v>100000</v>
      </c>
      <c r="D245" s="270">
        <v>0</v>
      </c>
      <c r="E245" s="270"/>
      <c r="F245" s="270">
        <v>0</v>
      </c>
      <c r="G245" s="270"/>
      <c r="H245" s="557"/>
      <c r="I245" s="557">
        <v>100000</v>
      </c>
      <c r="J245" s="550">
        <f t="shared" si="106"/>
        <v>100000</v>
      </c>
      <c r="K245" s="431">
        <f t="shared" si="107"/>
        <v>0</v>
      </c>
      <c r="L245" s="534"/>
      <c r="N245" s="437" t="s">
        <v>319</v>
      </c>
      <c r="O245" s="441">
        <v>2000</v>
      </c>
      <c r="P245" s="543"/>
    </row>
    <row r="246" spans="1:16" ht="16.5" thickBot="1" x14ac:dyDescent="0.3">
      <c r="A246" s="439" t="s">
        <v>93</v>
      </c>
      <c r="B246" s="568" t="s">
        <v>335</v>
      </c>
      <c r="C246" s="273">
        <f>196500-12860</f>
        <v>183640</v>
      </c>
      <c r="D246" s="273">
        <f>196500-12860</f>
        <v>183640</v>
      </c>
      <c r="E246" s="273"/>
      <c r="F246" s="273">
        <v>0</v>
      </c>
      <c r="G246" s="273"/>
      <c r="H246" s="440"/>
      <c r="I246" s="440"/>
      <c r="J246" s="550">
        <f t="shared" ref="J246" si="108">SUM(D246:I246)</f>
        <v>183640</v>
      </c>
      <c r="K246" s="431">
        <f t="shared" si="107"/>
        <v>0</v>
      </c>
      <c r="L246" s="533">
        <f>SUM(C244:C246)</f>
        <v>434840</v>
      </c>
      <c r="N246" s="437" t="s">
        <v>506</v>
      </c>
      <c r="O246" s="435">
        <v>500</v>
      </c>
      <c r="P246" s="542"/>
    </row>
    <row r="247" spans="1:16" ht="15.75" x14ac:dyDescent="0.25">
      <c r="A247" s="438" t="s">
        <v>164</v>
      </c>
      <c r="B247" s="445" t="s">
        <v>165</v>
      </c>
      <c r="C247" s="279">
        <f>3000+20000</f>
        <v>23000</v>
      </c>
      <c r="D247" s="279"/>
      <c r="E247" s="279">
        <v>3000</v>
      </c>
      <c r="F247" s="279">
        <v>20000</v>
      </c>
      <c r="G247" s="279"/>
      <c r="H247" s="279"/>
      <c r="I247" s="279"/>
      <c r="J247" s="548">
        <f t="shared" ref="J247:J248" si="109">SUM(D247:I247)</f>
        <v>23000</v>
      </c>
      <c r="K247" s="431">
        <f t="shared" si="107"/>
        <v>0</v>
      </c>
      <c r="L247" s="534"/>
      <c r="M247" s="426"/>
      <c r="N247" s="437"/>
      <c r="O247" s="435"/>
      <c r="P247" s="542"/>
    </row>
    <row r="248" spans="1:16" ht="15.75" x14ac:dyDescent="0.25">
      <c r="A248" s="433" t="s">
        <v>96</v>
      </c>
      <c r="B248" s="443" t="s">
        <v>247</v>
      </c>
      <c r="C248" s="270">
        <f>10000-5700</f>
        <v>4300</v>
      </c>
      <c r="D248" s="270"/>
      <c r="E248" s="270"/>
      <c r="F248" s="270">
        <f>10000-5700</f>
        <v>4300</v>
      </c>
      <c r="G248" s="270"/>
      <c r="H248" s="270"/>
      <c r="I248" s="270"/>
      <c r="J248" s="550">
        <f t="shared" si="109"/>
        <v>4300</v>
      </c>
      <c r="K248" s="431">
        <f t="shared" si="107"/>
        <v>0</v>
      </c>
      <c r="L248" s="534"/>
      <c r="N248" s="437"/>
      <c r="O248" s="441"/>
      <c r="P248" s="542"/>
    </row>
    <row r="249" spans="1:16" ht="15.75" x14ac:dyDescent="0.25">
      <c r="A249" s="433" t="s">
        <v>96</v>
      </c>
      <c r="B249" s="443" t="s">
        <v>357</v>
      </c>
      <c r="C249" s="270">
        <f>15036+43800+163000-33430-946-55000-300</f>
        <v>132160</v>
      </c>
      <c r="D249" s="270"/>
      <c r="E249" s="270"/>
      <c r="F249" s="270">
        <f>50000+9036-44000+163000-33430-946-55000-300</f>
        <v>88360</v>
      </c>
      <c r="G249" s="270">
        <f>27000+16800</f>
        <v>43800</v>
      </c>
      <c r="H249" s="270"/>
      <c r="I249" s="270"/>
      <c r="J249" s="550">
        <f t="shared" ref="J249" si="110">SUM(D249:I249)</f>
        <v>132160</v>
      </c>
      <c r="K249" s="431">
        <f t="shared" si="107"/>
        <v>0</v>
      </c>
      <c r="L249" s="534"/>
      <c r="N249" s="437"/>
      <c r="O249" s="441"/>
      <c r="P249" s="542"/>
    </row>
    <row r="250" spans="1:16" ht="15.75" x14ac:dyDescent="0.25">
      <c r="A250" s="430" t="s">
        <v>301</v>
      </c>
      <c r="B250" s="492" t="s">
        <v>313</v>
      </c>
      <c r="C250" s="449">
        <f>145000+71000</f>
        <v>216000</v>
      </c>
      <c r="D250" s="276">
        <v>145000</v>
      </c>
      <c r="E250" s="276"/>
      <c r="F250" s="276">
        <f>12700+58300-71000</f>
        <v>0</v>
      </c>
      <c r="G250" s="276">
        <v>71000</v>
      </c>
      <c r="H250" s="276"/>
      <c r="I250" s="276"/>
      <c r="J250" s="548">
        <f>SUM(D250:I250)</f>
        <v>216000</v>
      </c>
      <c r="K250" s="431">
        <f t="shared" si="107"/>
        <v>0</v>
      </c>
      <c r="L250" s="534"/>
      <c r="M250" s="426"/>
      <c r="N250" s="467"/>
      <c r="O250" s="468"/>
      <c r="P250" s="544"/>
    </row>
    <row r="251" spans="1:16" ht="16.5" thickBot="1" x14ac:dyDescent="0.3">
      <c r="A251" s="439" t="s">
        <v>98</v>
      </c>
      <c r="B251" s="521" t="s">
        <v>481</v>
      </c>
      <c r="C251" s="273">
        <f>70000+42000+300</f>
        <v>112300</v>
      </c>
      <c r="D251" s="273">
        <v>70000</v>
      </c>
      <c r="E251" s="273"/>
      <c r="F251" s="273">
        <f>12000+30000+300</f>
        <v>42300</v>
      </c>
      <c r="G251" s="273"/>
      <c r="H251" s="273"/>
      <c r="I251" s="273"/>
      <c r="J251" s="549">
        <f t="shared" ref="J251:J256" si="111">SUM(D251:I251)</f>
        <v>112300</v>
      </c>
      <c r="K251" s="431">
        <f t="shared" si="107"/>
        <v>0</v>
      </c>
      <c r="L251" s="533">
        <f>SUM(C247:C251)</f>
        <v>487760</v>
      </c>
      <c r="N251" s="467"/>
      <c r="O251" s="468"/>
      <c r="P251" s="544"/>
    </row>
    <row r="252" spans="1:16" ht="15.75" x14ac:dyDescent="0.25">
      <c r="A252" s="775" t="s">
        <v>111</v>
      </c>
      <c r="B252" s="776" t="s">
        <v>337</v>
      </c>
      <c r="C252" s="774">
        <f>50000+5000-1800-520</f>
        <v>52680</v>
      </c>
      <c r="D252" s="268">
        <v>50000</v>
      </c>
      <c r="E252" s="268"/>
      <c r="F252" s="774">
        <f>5000-1800-520</f>
        <v>2680</v>
      </c>
      <c r="G252" s="268"/>
      <c r="H252" s="268"/>
      <c r="I252" s="268"/>
      <c r="J252" s="551">
        <f t="shared" si="111"/>
        <v>52680</v>
      </c>
      <c r="K252" s="431">
        <f t="shared" si="107"/>
        <v>0</v>
      </c>
      <c r="L252" s="534"/>
      <c r="N252" s="467"/>
      <c r="O252" s="468"/>
      <c r="P252" s="544"/>
    </row>
    <row r="253" spans="1:16" ht="15.75" x14ac:dyDescent="0.25">
      <c r="A253" s="430" t="s">
        <v>111</v>
      </c>
      <c r="B253" s="740" t="s">
        <v>547</v>
      </c>
      <c r="C253" s="276">
        <f>196100-7590+1800+55000</f>
        <v>245310</v>
      </c>
      <c r="D253" s="276">
        <f>105400+35350-7590</f>
        <v>133160</v>
      </c>
      <c r="E253" s="276"/>
      <c r="F253" s="276">
        <f>55350-55000+1800+55000</f>
        <v>57150</v>
      </c>
      <c r="G253" s="276">
        <v>55000</v>
      </c>
      <c r="H253" s="276"/>
      <c r="I253" s="276"/>
      <c r="J253" s="548">
        <f t="shared" si="111"/>
        <v>245310</v>
      </c>
      <c r="K253" s="431">
        <f t="shared" si="107"/>
        <v>0</v>
      </c>
      <c r="L253" s="534"/>
      <c r="M253" s="564"/>
      <c r="N253" s="467"/>
      <c r="O253" s="468"/>
      <c r="P253" s="544"/>
    </row>
    <row r="254" spans="1:16" ht="16.5" thickBot="1" x14ac:dyDescent="0.3">
      <c r="A254" s="747" t="s">
        <v>111</v>
      </c>
      <c r="B254" s="769" t="s">
        <v>582</v>
      </c>
      <c r="C254" s="742">
        <f>30000+29800+520</f>
        <v>60320</v>
      </c>
      <c r="D254" s="742">
        <v>29800</v>
      </c>
      <c r="E254" s="742"/>
      <c r="F254" s="742">
        <f>30000+520</f>
        <v>30520</v>
      </c>
      <c r="G254" s="276"/>
      <c r="H254" s="276"/>
      <c r="I254" s="276"/>
      <c r="J254" s="550">
        <f t="shared" si="111"/>
        <v>60320</v>
      </c>
      <c r="K254" s="431">
        <f t="shared" si="107"/>
        <v>0</v>
      </c>
      <c r="L254" s="534"/>
      <c r="N254" s="458" t="s">
        <v>230</v>
      </c>
      <c r="O254" s="746">
        <v>0</v>
      </c>
      <c r="P254" s="544"/>
    </row>
    <row r="255" spans="1:16" ht="16.5" thickBot="1" x14ac:dyDescent="0.3">
      <c r="A255" s="430" t="s">
        <v>113</v>
      </c>
      <c r="B255" s="285" t="s">
        <v>232</v>
      </c>
      <c r="C255" s="276">
        <v>0</v>
      </c>
      <c r="D255" s="276"/>
      <c r="E255" s="276"/>
      <c r="F255" s="276">
        <v>0</v>
      </c>
      <c r="G255" s="276"/>
      <c r="H255" s="276"/>
      <c r="I255" s="276"/>
      <c r="J255" s="548">
        <f t="shared" si="111"/>
        <v>0</v>
      </c>
      <c r="K255" s="431">
        <f t="shared" si="107"/>
        <v>0</v>
      </c>
      <c r="L255" s="569"/>
      <c r="M255" s="426">
        <f>F257+G257</f>
        <v>72190</v>
      </c>
      <c r="N255" s="459" t="s">
        <v>231</v>
      </c>
      <c r="O255" s="545">
        <f>SUM(O242:O254)</f>
        <v>30000</v>
      </c>
      <c r="P255" s="546">
        <f>SUM(P242:P254)</f>
        <v>0</v>
      </c>
    </row>
    <row r="256" spans="1:16" x14ac:dyDescent="0.25">
      <c r="A256" s="438" t="s">
        <v>113</v>
      </c>
      <c r="B256" s="554" t="s">
        <v>329</v>
      </c>
      <c r="C256" s="279">
        <v>15000</v>
      </c>
      <c r="D256" s="279"/>
      <c r="E256" s="279"/>
      <c r="F256" s="276">
        <f>15000</f>
        <v>15000</v>
      </c>
      <c r="G256" s="276"/>
      <c r="H256" s="276"/>
      <c r="I256" s="276"/>
      <c r="J256" s="548">
        <f t="shared" si="111"/>
        <v>15000</v>
      </c>
      <c r="K256" s="431">
        <f t="shared" si="107"/>
        <v>0</v>
      </c>
      <c r="L256" s="534"/>
    </row>
    <row r="257" spans="1:12" ht="15.75" thickBot="1" x14ac:dyDescent="0.3">
      <c r="A257" s="442" t="s">
        <v>113</v>
      </c>
      <c r="B257" s="444" t="s">
        <v>496</v>
      </c>
      <c r="C257" s="282">
        <f>379400+33000+5700+33430+680+946</f>
        <v>453156</v>
      </c>
      <c r="D257" s="282">
        <f>379400+680</f>
        <v>380080</v>
      </c>
      <c r="E257" s="282">
        <f>886</f>
        <v>886</v>
      </c>
      <c r="F257" s="270">
        <f>32114-32000+5700+33430+946</f>
        <v>40190</v>
      </c>
      <c r="G257" s="270">
        <v>32000</v>
      </c>
      <c r="H257" s="270"/>
      <c r="I257" s="270"/>
      <c r="J257" s="550">
        <f>SUM(D257:I257)</f>
        <v>453156</v>
      </c>
      <c r="K257" s="431">
        <f t="shared" si="107"/>
        <v>0</v>
      </c>
      <c r="L257" s="533">
        <f>SUM(C252:C257)</f>
        <v>826466</v>
      </c>
    </row>
    <row r="258" spans="1:12" x14ac:dyDescent="0.25">
      <c r="A258" s="436" t="s">
        <v>122</v>
      </c>
      <c r="B258" s="525" t="s">
        <v>478</v>
      </c>
      <c r="C258" s="268">
        <f>475100-230100</f>
        <v>245000</v>
      </c>
      <c r="D258" s="268">
        <v>430000</v>
      </c>
      <c r="E258" s="268"/>
      <c r="F258" s="268">
        <f>46000-46000</f>
        <v>0</v>
      </c>
      <c r="G258" s="268">
        <f>-230100+45100</f>
        <v>-185000</v>
      </c>
      <c r="H258" s="268"/>
      <c r="I258" s="268"/>
      <c r="J258" s="551">
        <f t="shared" ref="J258" si="112">SUM(D258:I258)</f>
        <v>245000</v>
      </c>
      <c r="K258" s="431">
        <f t="shared" si="107"/>
        <v>0</v>
      </c>
      <c r="L258" s="533"/>
    </row>
    <row r="259" spans="1:12" ht="15.75" thickBot="1" x14ac:dyDescent="0.3">
      <c r="A259" s="433" t="s">
        <v>124</v>
      </c>
      <c r="B259" s="526" t="s">
        <v>314</v>
      </c>
      <c r="C259" s="270">
        <f>1146000-16800</f>
        <v>1129200</v>
      </c>
      <c r="D259" s="270">
        <f>1220380-74380</f>
        <v>1146000</v>
      </c>
      <c r="E259" s="270"/>
      <c r="F259" s="270">
        <v>0</v>
      </c>
      <c r="G259" s="270">
        <v>-16800</v>
      </c>
      <c r="H259" s="270"/>
      <c r="I259" s="270"/>
      <c r="J259" s="550">
        <f t="shared" ref="J259" si="113">SUM(D259:I259)</f>
        <v>1129200</v>
      </c>
      <c r="K259" s="431">
        <f t="shared" si="107"/>
        <v>0</v>
      </c>
      <c r="L259" s="533">
        <f>SUM(C258:C259)</f>
        <v>1374200</v>
      </c>
    </row>
    <row r="260" spans="1:12" ht="15.75" thickBot="1" x14ac:dyDescent="0.3">
      <c r="A260" s="932" t="s">
        <v>233</v>
      </c>
      <c r="B260" s="933"/>
      <c r="C260" s="446">
        <f>SUM(C242:C259)</f>
        <v>3154766</v>
      </c>
      <c r="D260" s="446">
        <f t="shared" ref="D260:I260" si="114">SUM(D242:D259)</f>
        <v>2705880</v>
      </c>
      <c r="E260" s="446">
        <f t="shared" si="114"/>
        <v>3886</v>
      </c>
      <c r="F260" s="446">
        <f t="shared" si="114"/>
        <v>345000</v>
      </c>
      <c r="G260" s="446">
        <f t="shared" si="114"/>
        <v>0</v>
      </c>
      <c r="H260" s="446">
        <f t="shared" si="114"/>
        <v>0</v>
      </c>
      <c r="I260" s="446">
        <f t="shared" si="114"/>
        <v>100000</v>
      </c>
      <c r="J260" s="552">
        <f>SUM(J242:J259)</f>
        <v>3154766</v>
      </c>
      <c r="K260" s="431">
        <f t="shared" si="107"/>
        <v>0</v>
      </c>
      <c r="L260" s="584"/>
    </row>
    <row r="261" spans="1:12" ht="15.75" thickBot="1" x14ac:dyDescent="0.3">
      <c r="A261" s="430"/>
      <c r="B261" s="448"/>
      <c r="C261" s="449"/>
      <c r="D261" s="276"/>
      <c r="E261" s="276"/>
      <c r="F261" s="447"/>
      <c r="G261" s="447"/>
      <c r="H261" s="447"/>
      <c r="I261" s="276"/>
      <c r="J261" s="548">
        <f>SUM(D261:I261)</f>
        <v>0</v>
      </c>
      <c r="K261" s="431">
        <f t="shared" si="107"/>
        <v>0</v>
      </c>
    </row>
    <row r="262" spans="1:12" ht="15.75" thickBot="1" x14ac:dyDescent="0.3">
      <c r="A262" s="932" t="s">
        <v>234</v>
      </c>
      <c r="B262" s="933"/>
      <c r="C262" s="446">
        <f>SUM(C261:C261)</f>
        <v>0</v>
      </c>
      <c r="D262" s="446">
        <f t="shared" ref="D262:I262" si="115">SUM(D261:D261)</f>
        <v>0</v>
      </c>
      <c r="E262" s="446">
        <f t="shared" si="115"/>
        <v>0</v>
      </c>
      <c r="F262" s="446">
        <f t="shared" si="115"/>
        <v>0</v>
      </c>
      <c r="G262" s="446">
        <f t="shared" si="115"/>
        <v>0</v>
      </c>
      <c r="H262" s="446">
        <f t="shared" si="115"/>
        <v>0</v>
      </c>
      <c r="I262" s="446">
        <f t="shared" si="115"/>
        <v>0</v>
      </c>
      <c r="J262" s="552">
        <f>SUM(J261:J261)</f>
        <v>0</v>
      </c>
      <c r="K262" s="431">
        <f t="shared" si="107"/>
        <v>0</v>
      </c>
    </row>
    <row r="263" spans="1:12" ht="18.75" thickBot="1" x14ac:dyDescent="0.3">
      <c r="A263" s="934" t="s">
        <v>252</v>
      </c>
      <c r="B263" s="935"/>
      <c r="C263" s="446">
        <f>C260+C262</f>
        <v>3154766</v>
      </c>
      <c r="D263" s="446">
        <f t="shared" ref="D263:I263" si="116">D260+D262</f>
        <v>2705880</v>
      </c>
      <c r="E263" s="446">
        <f t="shared" si="116"/>
        <v>3886</v>
      </c>
      <c r="F263" s="446">
        <f t="shared" si="116"/>
        <v>345000</v>
      </c>
      <c r="G263" s="446">
        <f t="shared" si="116"/>
        <v>0</v>
      </c>
      <c r="H263" s="446">
        <f t="shared" si="116"/>
        <v>0</v>
      </c>
      <c r="I263" s="446">
        <f t="shared" si="116"/>
        <v>100000</v>
      </c>
      <c r="J263" s="552">
        <f>J260+J262</f>
        <v>3154766</v>
      </c>
      <c r="K263" s="431">
        <f t="shared" si="107"/>
        <v>0</v>
      </c>
      <c r="L263" s="533">
        <f>SUM(L243:L259)</f>
        <v>3154766</v>
      </c>
    </row>
    <row r="264" spans="1:12" x14ac:dyDescent="0.25">
      <c r="A264" s="450"/>
      <c r="B264" s="583" t="s">
        <v>354</v>
      </c>
      <c r="C264" s="451"/>
      <c r="E264" s="453"/>
      <c r="F264" s="566">
        <v>345000</v>
      </c>
      <c r="G264" s="567">
        <f>185000+16800</f>
        <v>201800</v>
      </c>
      <c r="H264" s="566">
        <v>9000</v>
      </c>
      <c r="I264" s="454"/>
      <c r="J264" s="455"/>
      <c r="K264" s="456"/>
    </row>
    <row r="265" spans="1:12" x14ac:dyDescent="0.25">
      <c r="A265" s="450"/>
      <c r="B265" s="450"/>
      <c r="C265" s="451"/>
      <c r="E265" s="453"/>
      <c r="F265" s="426">
        <f>F264-F263</f>
        <v>0</v>
      </c>
      <c r="G265" s="565">
        <f>F264+G264</f>
        <v>546800</v>
      </c>
      <c r="H265" s="452"/>
      <c r="I265" s="454"/>
      <c r="J265" s="455"/>
      <c r="K265" s="456"/>
    </row>
    <row r="266" spans="1:12" x14ac:dyDescent="0.25">
      <c r="A266" s="427"/>
      <c r="B266" s="538" t="s">
        <v>315</v>
      </c>
      <c r="C266" s="529" t="s">
        <v>299</v>
      </c>
      <c r="D266" s="520">
        <f>2590450-70000-12860+680+29800</f>
        <v>2538070</v>
      </c>
      <c r="E266" s="474">
        <v>3000</v>
      </c>
      <c r="G266" s="460"/>
      <c r="H266" s="460"/>
      <c r="I266" s="427"/>
      <c r="J266" s="520">
        <f>SUM(D266:I266)</f>
        <v>2541070</v>
      </c>
    </row>
    <row r="267" spans="1:12" ht="15.75" x14ac:dyDescent="0.25">
      <c r="A267" s="427"/>
      <c r="C267" s="529" t="s">
        <v>300</v>
      </c>
      <c r="D267" s="528">
        <f>105400+70000-7590</f>
        <v>167810</v>
      </c>
      <c r="E267" s="527">
        <v>886</v>
      </c>
      <c r="F267" s="563"/>
      <c r="G267" s="426"/>
      <c r="H267" s="457"/>
      <c r="I267" s="527">
        <v>100000</v>
      </c>
      <c r="J267" s="743">
        <f>SUM(D267:I267)</f>
        <v>268696</v>
      </c>
    </row>
    <row r="268" spans="1:12" x14ac:dyDescent="0.25">
      <c r="A268" s="427"/>
      <c r="C268" s="427"/>
      <c r="D268" s="520">
        <f>SUM(D266:D267)</f>
        <v>2705880</v>
      </c>
      <c r="E268" s="427"/>
      <c r="F268" s="427"/>
      <c r="G268" s="427"/>
      <c r="H268" s="427"/>
      <c r="I268" s="539"/>
      <c r="J268" s="520"/>
      <c r="K268" s="427"/>
    </row>
    <row r="269" spans="1:12" x14ac:dyDescent="0.25">
      <c r="B269" s="734" t="s">
        <v>583</v>
      </c>
      <c r="D269" s="474">
        <f>D268-D263</f>
        <v>0</v>
      </c>
    </row>
    <row r="270" spans="1:12" x14ac:dyDescent="0.25">
      <c r="B270" t="s">
        <v>185</v>
      </c>
    </row>
    <row r="273" spans="1:16" ht="18.75" thickBot="1" x14ac:dyDescent="0.3">
      <c r="A273" s="928" t="s">
        <v>331</v>
      </c>
      <c r="B273" s="928"/>
      <c r="C273" s="928"/>
      <c r="D273" s="928"/>
      <c r="E273" s="928"/>
      <c r="F273" s="928"/>
      <c r="G273" s="928"/>
      <c r="H273" s="928"/>
      <c r="I273" s="928"/>
    </row>
    <row r="274" spans="1:16" ht="16.5" thickBot="1" x14ac:dyDescent="0.3">
      <c r="A274" s="427"/>
      <c r="B274" s="427"/>
      <c r="C274" s="427"/>
      <c r="D274" s="427"/>
      <c r="E274" s="427"/>
      <c r="F274" s="427"/>
      <c r="G274" s="427"/>
      <c r="H274" s="427"/>
      <c r="I274" s="427"/>
      <c r="J274" s="427"/>
      <c r="N274" s="929" t="s">
        <v>226</v>
      </c>
      <c r="O274" s="930"/>
      <c r="P274" s="931"/>
    </row>
    <row r="275" spans="1:16" ht="45.75" thickBot="1" x14ac:dyDescent="0.3">
      <c r="A275" s="428" t="s">
        <v>221</v>
      </c>
      <c r="B275" s="428" t="s">
        <v>222</v>
      </c>
      <c r="C275" s="429" t="s">
        <v>223</v>
      </c>
      <c r="D275" s="429" t="s">
        <v>310</v>
      </c>
      <c r="E275" s="429" t="s">
        <v>316</v>
      </c>
      <c r="F275" s="429" t="s">
        <v>224</v>
      </c>
      <c r="G275" s="429" t="s">
        <v>338</v>
      </c>
      <c r="H275" s="429" t="s">
        <v>235</v>
      </c>
      <c r="I275" s="536" t="s">
        <v>311</v>
      </c>
      <c r="J275" s="547" t="s">
        <v>225</v>
      </c>
      <c r="L275" t="s">
        <v>339</v>
      </c>
      <c r="N275" s="432" t="s">
        <v>227</v>
      </c>
      <c r="O275" s="540" t="s">
        <v>228</v>
      </c>
      <c r="P275" s="541" t="s">
        <v>317</v>
      </c>
    </row>
    <row r="276" spans="1:16" ht="15.75" x14ac:dyDescent="0.25">
      <c r="A276" s="737" t="s">
        <v>82</v>
      </c>
      <c r="B276" s="738" t="s">
        <v>229</v>
      </c>
      <c r="C276" s="739">
        <v>30000</v>
      </c>
      <c r="D276" s="739"/>
      <c r="E276" s="739"/>
      <c r="F276" s="739">
        <v>30000</v>
      </c>
      <c r="G276" s="739"/>
      <c r="H276" s="739"/>
      <c r="I276" s="739"/>
      <c r="J276" s="551">
        <f>SUM(D276:I276)</f>
        <v>30000</v>
      </c>
      <c r="K276" s="431">
        <f>C276-J276</f>
        <v>0</v>
      </c>
      <c r="L276" s="534"/>
      <c r="N276" s="437" t="s">
        <v>327</v>
      </c>
      <c r="O276" s="441">
        <f>20000-500</f>
        <v>19500</v>
      </c>
      <c r="P276" s="543"/>
    </row>
    <row r="277" spans="1:16" ht="16.5" thickBot="1" x14ac:dyDescent="0.3">
      <c r="A277" s="735" t="s">
        <v>82</v>
      </c>
      <c r="B277" s="736" t="s">
        <v>163</v>
      </c>
      <c r="C277" s="274">
        <v>1500</v>
      </c>
      <c r="D277" s="274"/>
      <c r="E277" s="274"/>
      <c r="F277" s="274">
        <v>1500</v>
      </c>
      <c r="G277" s="274"/>
      <c r="H277" s="274"/>
      <c r="I277" s="274"/>
      <c r="J277" s="548">
        <f t="shared" ref="J277:J279" si="117">SUM(D277:I277)</f>
        <v>1500</v>
      </c>
      <c r="K277" s="431">
        <f t="shared" ref="K277:K297" si="118">C277-J277</f>
        <v>0</v>
      </c>
      <c r="L277" s="533">
        <f>SUM(C276:C277)</f>
        <v>31500</v>
      </c>
      <c r="N277" s="437" t="s">
        <v>318</v>
      </c>
      <c r="O277" s="435">
        <f>5000+10000+1500+200-16700</f>
        <v>0</v>
      </c>
      <c r="P277" s="542"/>
    </row>
    <row r="278" spans="1:16" ht="15.75" x14ac:dyDescent="0.25">
      <c r="A278" s="438" t="s">
        <v>87</v>
      </c>
      <c r="B278" s="537" t="s">
        <v>328</v>
      </c>
      <c r="C278" s="279">
        <f>151200</f>
        <v>151200</v>
      </c>
      <c r="D278" s="279">
        <v>138200</v>
      </c>
      <c r="E278" s="279"/>
      <c r="F278" s="279">
        <v>13000</v>
      </c>
      <c r="G278" s="279"/>
      <c r="H278" s="279"/>
      <c r="I278" s="279"/>
      <c r="J278" s="548">
        <f t="shared" si="117"/>
        <v>151200</v>
      </c>
      <c r="K278" s="431">
        <f t="shared" si="118"/>
        <v>0</v>
      </c>
      <c r="L278" s="534"/>
      <c r="N278" s="437" t="s">
        <v>246</v>
      </c>
      <c r="O278" s="441">
        <v>8000</v>
      </c>
      <c r="P278" s="542"/>
    </row>
    <row r="279" spans="1:16" ht="15.75" x14ac:dyDescent="0.25">
      <c r="A279" s="433" t="s">
        <v>89</v>
      </c>
      <c r="B279" s="283" t="s">
        <v>312</v>
      </c>
      <c r="C279" s="270">
        <v>100000</v>
      </c>
      <c r="D279" s="270">
        <v>0</v>
      </c>
      <c r="E279" s="270"/>
      <c r="F279" s="270">
        <v>0</v>
      </c>
      <c r="G279" s="270"/>
      <c r="H279" s="557"/>
      <c r="I279" s="557">
        <v>100000</v>
      </c>
      <c r="J279" s="550">
        <f t="shared" si="117"/>
        <v>100000</v>
      </c>
      <c r="K279" s="431">
        <f t="shared" si="118"/>
        <v>0</v>
      </c>
      <c r="L279" s="534"/>
      <c r="N279" s="437" t="s">
        <v>319</v>
      </c>
      <c r="O279" s="441">
        <v>2000</v>
      </c>
      <c r="P279" s="543"/>
    </row>
    <row r="280" spans="1:16" ht="16.5" thickBot="1" x14ac:dyDescent="0.3">
      <c r="A280" s="439" t="s">
        <v>93</v>
      </c>
      <c r="B280" s="568" t="s">
        <v>335</v>
      </c>
      <c r="C280" s="273">
        <f>196500-12860</f>
        <v>183640</v>
      </c>
      <c r="D280" s="273">
        <f>196500-12860</f>
        <v>183640</v>
      </c>
      <c r="E280" s="273"/>
      <c r="F280" s="273">
        <v>0</v>
      </c>
      <c r="G280" s="273"/>
      <c r="H280" s="440"/>
      <c r="I280" s="440"/>
      <c r="J280" s="550">
        <f t="shared" ref="J280" si="119">SUM(D280:I280)</f>
        <v>183640</v>
      </c>
      <c r="K280" s="431">
        <f t="shared" si="118"/>
        <v>0</v>
      </c>
      <c r="L280" s="533">
        <f>SUM(C278:C280)</f>
        <v>434840</v>
      </c>
      <c r="N280" s="437" t="s">
        <v>506</v>
      </c>
      <c r="O280" s="435">
        <v>500</v>
      </c>
      <c r="P280" s="542"/>
    </row>
    <row r="281" spans="1:16" ht="15.75" x14ac:dyDescent="0.25">
      <c r="A281" s="438" t="s">
        <v>164</v>
      </c>
      <c r="B281" s="445" t="s">
        <v>165</v>
      </c>
      <c r="C281" s="279">
        <f>3000+20000</f>
        <v>23000</v>
      </c>
      <c r="D281" s="279"/>
      <c r="E281" s="279">
        <v>3000</v>
      </c>
      <c r="F281" s="279">
        <v>20000</v>
      </c>
      <c r="G281" s="279"/>
      <c r="H281" s="279"/>
      <c r="I281" s="279"/>
      <c r="J281" s="548">
        <f t="shared" ref="J281:J282" si="120">SUM(D281:I281)</f>
        <v>23000</v>
      </c>
      <c r="K281" s="431">
        <f t="shared" si="118"/>
        <v>0</v>
      </c>
      <c r="L281" s="534"/>
      <c r="M281" s="426"/>
      <c r="N281" s="437"/>
      <c r="O281" s="435"/>
      <c r="P281" s="542"/>
    </row>
    <row r="282" spans="1:16" ht="15.75" x14ac:dyDescent="0.25">
      <c r="A282" s="433" t="s">
        <v>96</v>
      </c>
      <c r="B282" s="443" t="s">
        <v>247</v>
      </c>
      <c r="C282" s="270">
        <f>10000-5700</f>
        <v>4300</v>
      </c>
      <c r="D282" s="270"/>
      <c r="E282" s="270"/>
      <c r="F282" s="270">
        <f>10000-5700</f>
        <v>4300</v>
      </c>
      <c r="G282" s="270"/>
      <c r="H282" s="270"/>
      <c r="I282" s="270"/>
      <c r="J282" s="550">
        <f t="shared" si="120"/>
        <v>4300</v>
      </c>
      <c r="K282" s="431">
        <f t="shared" si="118"/>
        <v>0</v>
      </c>
      <c r="L282" s="534"/>
      <c r="N282" s="437"/>
      <c r="O282" s="441"/>
      <c r="P282" s="542"/>
    </row>
    <row r="283" spans="1:16" ht="15.75" x14ac:dyDescent="0.25">
      <c r="A283" s="754" t="s">
        <v>96</v>
      </c>
      <c r="B283" s="755" t="s">
        <v>357</v>
      </c>
      <c r="C283" s="753">
        <f>15036+43800+163000-33430-946-55000-300</f>
        <v>132160</v>
      </c>
      <c r="D283" s="270"/>
      <c r="E283" s="270"/>
      <c r="F283" s="753">
        <f>50000+9036-44000+163000-33430-946-55000-300</f>
        <v>88360</v>
      </c>
      <c r="G283" s="270">
        <f>27000+16800</f>
        <v>43800</v>
      </c>
      <c r="H283" s="270"/>
      <c r="I283" s="270"/>
      <c r="J283" s="550">
        <f t="shared" ref="J283" si="121">SUM(D283:I283)</f>
        <v>132160</v>
      </c>
      <c r="K283" s="431">
        <f t="shared" si="118"/>
        <v>0</v>
      </c>
      <c r="L283" s="534"/>
      <c r="N283" s="437"/>
      <c r="O283" s="441"/>
      <c r="P283" s="542"/>
    </row>
    <row r="284" spans="1:16" ht="15.75" x14ac:dyDescent="0.25">
      <c r="A284" s="430" t="s">
        <v>301</v>
      </c>
      <c r="B284" s="492" t="s">
        <v>313</v>
      </c>
      <c r="C284" s="449">
        <f>145000+71000</f>
        <v>216000</v>
      </c>
      <c r="D284" s="276">
        <v>145000</v>
      </c>
      <c r="E284" s="276"/>
      <c r="F284" s="276">
        <f>12700+58300-71000</f>
        <v>0</v>
      </c>
      <c r="G284" s="276">
        <v>71000</v>
      </c>
      <c r="H284" s="276"/>
      <c r="I284" s="276"/>
      <c r="J284" s="548">
        <f>SUM(D284:I284)</f>
        <v>216000</v>
      </c>
      <c r="K284" s="431">
        <f t="shared" si="118"/>
        <v>0</v>
      </c>
      <c r="L284" s="534"/>
      <c r="M284" s="426"/>
      <c r="N284" s="467"/>
      <c r="O284" s="468"/>
      <c r="P284" s="544"/>
    </row>
    <row r="285" spans="1:16" ht="16.5" thickBot="1" x14ac:dyDescent="0.3">
      <c r="A285" s="748" t="s">
        <v>98</v>
      </c>
      <c r="B285" s="777" t="s">
        <v>481</v>
      </c>
      <c r="C285" s="750">
        <f>70000+42000+300</f>
        <v>112300</v>
      </c>
      <c r="D285" s="273">
        <v>70000</v>
      </c>
      <c r="E285" s="273"/>
      <c r="F285" s="750">
        <f>12000+30000+300</f>
        <v>42300</v>
      </c>
      <c r="G285" s="273"/>
      <c r="H285" s="273"/>
      <c r="I285" s="273"/>
      <c r="J285" s="549">
        <f t="shared" ref="J285:J290" si="122">SUM(D285:I285)</f>
        <v>112300</v>
      </c>
      <c r="K285" s="431">
        <f t="shared" si="118"/>
        <v>0</v>
      </c>
      <c r="L285" s="533">
        <f>SUM(C281:C285)</f>
        <v>487760</v>
      </c>
      <c r="N285" s="467"/>
      <c r="O285" s="468"/>
      <c r="P285" s="544"/>
    </row>
    <row r="286" spans="1:16" ht="15.75" x14ac:dyDescent="0.25">
      <c r="A286" s="775" t="s">
        <v>111</v>
      </c>
      <c r="B286" s="776" t="s">
        <v>337</v>
      </c>
      <c r="C286" s="774">
        <f>50000+5000-1800</f>
        <v>53200</v>
      </c>
      <c r="D286" s="268">
        <v>50000</v>
      </c>
      <c r="E286" s="268"/>
      <c r="F286" s="774">
        <f>5000-1800</f>
        <v>3200</v>
      </c>
      <c r="G286" s="268"/>
      <c r="H286" s="268"/>
      <c r="I286" s="268"/>
      <c r="J286" s="551">
        <f t="shared" si="122"/>
        <v>53200</v>
      </c>
      <c r="K286" s="431">
        <f t="shared" si="118"/>
        <v>0</v>
      </c>
      <c r="L286" s="534"/>
      <c r="N286" s="467"/>
      <c r="O286" s="468"/>
      <c r="P286" s="544"/>
    </row>
    <row r="287" spans="1:16" ht="15.75" x14ac:dyDescent="0.25">
      <c r="A287" s="747" t="s">
        <v>111</v>
      </c>
      <c r="B287" s="744" t="s">
        <v>547</v>
      </c>
      <c r="C287" s="742">
        <f>196100-7590+1800+55000</f>
        <v>245310</v>
      </c>
      <c r="D287" s="276">
        <f>105400+35350-7590</f>
        <v>133160</v>
      </c>
      <c r="E287" s="276"/>
      <c r="F287" s="742">
        <f>55350-55000+1800+55000</f>
        <v>57150</v>
      </c>
      <c r="G287" s="276">
        <v>55000</v>
      </c>
      <c r="H287" s="276"/>
      <c r="I287" s="276"/>
      <c r="J287" s="548">
        <f t="shared" si="122"/>
        <v>245310</v>
      </c>
      <c r="K287" s="431">
        <f t="shared" si="118"/>
        <v>0</v>
      </c>
      <c r="L287" s="534"/>
      <c r="M287" s="564"/>
      <c r="N287" s="467"/>
      <c r="O287" s="468"/>
      <c r="P287" s="544"/>
    </row>
    <row r="288" spans="1:16" ht="16.5" thickBot="1" x14ac:dyDescent="0.3">
      <c r="A288" s="747" t="s">
        <v>111</v>
      </c>
      <c r="B288" s="769" t="s">
        <v>330</v>
      </c>
      <c r="C288" s="742">
        <f>30000+29800</f>
        <v>59800</v>
      </c>
      <c r="D288" s="742">
        <v>29800</v>
      </c>
      <c r="E288" s="276"/>
      <c r="F288" s="276">
        <v>30000</v>
      </c>
      <c r="G288" s="276"/>
      <c r="H288" s="276"/>
      <c r="I288" s="276"/>
      <c r="J288" s="550">
        <f t="shared" si="122"/>
        <v>59800</v>
      </c>
      <c r="K288" s="431">
        <f t="shared" si="118"/>
        <v>0</v>
      </c>
      <c r="L288" s="534"/>
      <c r="N288" s="458" t="s">
        <v>230</v>
      </c>
      <c r="O288" s="746">
        <v>0</v>
      </c>
      <c r="P288" s="544"/>
    </row>
    <row r="289" spans="1:16" ht="16.5" thickBot="1" x14ac:dyDescent="0.3">
      <c r="A289" s="430" t="s">
        <v>113</v>
      </c>
      <c r="B289" s="285" t="s">
        <v>232</v>
      </c>
      <c r="C289" s="276">
        <v>0</v>
      </c>
      <c r="D289" s="276"/>
      <c r="E289" s="276"/>
      <c r="F289" s="276">
        <v>0</v>
      </c>
      <c r="G289" s="276"/>
      <c r="H289" s="276"/>
      <c r="I289" s="276"/>
      <c r="J289" s="548">
        <f t="shared" si="122"/>
        <v>0</v>
      </c>
      <c r="K289" s="431">
        <f t="shared" si="118"/>
        <v>0</v>
      </c>
      <c r="L289" s="569"/>
      <c r="M289" s="426">
        <f>F291+G291</f>
        <v>72190</v>
      </c>
      <c r="N289" s="459" t="s">
        <v>231</v>
      </c>
      <c r="O289" s="545">
        <f>SUM(O276:O288)</f>
        <v>30000</v>
      </c>
      <c r="P289" s="546">
        <f>SUM(P276:P288)</f>
        <v>0</v>
      </c>
    </row>
    <row r="290" spans="1:16" x14ac:dyDescent="0.25">
      <c r="A290" s="438" t="s">
        <v>113</v>
      </c>
      <c r="B290" s="554" t="s">
        <v>329</v>
      </c>
      <c r="C290" s="279">
        <v>15000</v>
      </c>
      <c r="D290" s="279"/>
      <c r="E290" s="279"/>
      <c r="F290" s="276">
        <f>15000</f>
        <v>15000</v>
      </c>
      <c r="G290" s="276"/>
      <c r="H290" s="276"/>
      <c r="I290" s="276"/>
      <c r="J290" s="548">
        <f t="shared" si="122"/>
        <v>15000</v>
      </c>
      <c r="K290" s="431">
        <f t="shared" si="118"/>
        <v>0</v>
      </c>
      <c r="L290" s="534"/>
    </row>
    <row r="291" spans="1:16" ht="15.75" thickBot="1" x14ac:dyDescent="0.3">
      <c r="A291" s="442" t="s">
        <v>113</v>
      </c>
      <c r="B291" s="444" t="s">
        <v>496</v>
      </c>
      <c r="C291" s="282">
        <f>379400+33000+5700+33430+680+946</f>
        <v>453156</v>
      </c>
      <c r="D291" s="282">
        <f>379400+680</f>
        <v>380080</v>
      </c>
      <c r="E291" s="282">
        <f>886</f>
        <v>886</v>
      </c>
      <c r="F291" s="270">
        <f>32114-32000+5700+33430+946</f>
        <v>40190</v>
      </c>
      <c r="G291" s="270">
        <v>32000</v>
      </c>
      <c r="H291" s="270"/>
      <c r="I291" s="270"/>
      <c r="J291" s="550">
        <f>SUM(D291:I291)</f>
        <v>453156</v>
      </c>
      <c r="K291" s="431">
        <f t="shared" si="118"/>
        <v>0</v>
      </c>
      <c r="L291" s="533">
        <f>SUM(C286:C291)</f>
        <v>826466</v>
      </c>
    </row>
    <row r="292" spans="1:16" x14ac:dyDescent="0.25">
      <c r="A292" s="436" t="s">
        <v>122</v>
      </c>
      <c r="B292" s="525" t="s">
        <v>478</v>
      </c>
      <c r="C292" s="268">
        <f>475100-230100</f>
        <v>245000</v>
      </c>
      <c r="D292" s="268">
        <v>430000</v>
      </c>
      <c r="E292" s="268"/>
      <c r="F292" s="268">
        <f>46000-46000</f>
        <v>0</v>
      </c>
      <c r="G292" s="268">
        <f>-230100+45100</f>
        <v>-185000</v>
      </c>
      <c r="H292" s="268"/>
      <c r="I292" s="268"/>
      <c r="J292" s="551">
        <f t="shared" ref="J292" si="123">SUM(D292:I292)</f>
        <v>245000</v>
      </c>
      <c r="K292" s="431">
        <f t="shared" si="118"/>
        <v>0</v>
      </c>
      <c r="L292" s="533"/>
    </row>
    <row r="293" spans="1:16" ht="15.75" thickBot="1" x14ac:dyDescent="0.3">
      <c r="A293" s="433" t="s">
        <v>124</v>
      </c>
      <c r="B293" s="526" t="s">
        <v>314</v>
      </c>
      <c r="C293" s="270">
        <f>1146000-16800</f>
        <v>1129200</v>
      </c>
      <c r="D293" s="270">
        <f>1220380-74380</f>
        <v>1146000</v>
      </c>
      <c r="E293" s="270"/>
      <c r="F293" s="270">
        <v>0</v>
      </c>
      <c r="G293" s="270">
        <v>-16800</v>
      </c>
      <c r="H293" s="270"/>
      <c r="I293" s="270"/>
      <c r="J293" s="550">
        <f t="shared" ref="J293" si="124">SUM(D293:I293)</f>
        <v>1129200</v>
      </c>
      <c r="K293" s="431">
        <f t="shared" si="118"/>
        <v>0</v>
      </c>
      <c r="L293" s="533">
        <f>SUM(C292:C293)</f>
        <v>1374200</v>
      </c>
    </row>
    <row r="294" spans="1:16" ht="15.75" thickBot="1" x14ac:dyDescent="0.3">
      <c r="A294" s="932" t="s">
        <v>233</v>
      </c>
      <c r="B294" s="933"/>
      <c r="C294" s="446">
        <f>SUM(C276:C293)</f>
        <v>3154766</v>
      </c>
      <c r="D294" s="446">
        <f t="shared" ref="D294:I294" si="125">SUM(D276:D293)</f>
        <v>2705880</v>
      </c>
      <c r="E294" s="446">
        <f t="shared" si="125"/>
        <v>3886</v>
      </c>
      <c r="F294" s="446">
        <f t="shared" si="125"/>
        <v>345000</v>
      </c>
      <c r="G294" s="446">
        <f t="shared" si="125"/>
        <v>0</v>
      </c>
      <c r="H294" s="446">
        <f t="shared" si="125"/>
        <v>0</v>
      </c>
      <c r="I294" s="446">
        <f t="shared" si="125"/>
        <v>100000</v>
      </c>
      <c r="J294" s="552">
        <f>SUM(J276:J293)</f>
        <v>3154766</v>
      </c>
      <c r="K294" s="431">
        <f t="shared" si="118"/>
        <v>0</v>
      </c>
      <c r="L294" s="584"/>
    </row>
    <row r="295" spans="1:16" ht="15.75" thickBot="1" x14ac:dyDescent="0.3">
      <c r="A295" s="430"/>
      <c r="B295" s="448"/>
      <c r="C295" s="449"/>
      <c r="D295" s="276"/>
      <c r="E295" s="276"/>
      <c r="F295" s="447"/>
      <c r="G295" s="447"/>
      <c r="H295" s="447"/>
      <c r="I295" s="276"/>
      <c r="J295" s="548">
        <f>SUM(D295:I295)</f>
        <v>0</v>
      </c>
      <c r="K295" s="431">
        <f t="shared" si="118"/>
        <v>0</v>
      </c>
    </row>
    <row r="296" spans="1:16" ht="15.75" thickBot="1" x14ac:dyDescent="0.3">
      <c r="A296" s="932" t="s">
        <v>234</v>
      </c>
      <c r="B296" s="933"/>
      <c r="C296" s="446">
        <f>SUM(C295:C295)</f>
        <v>0</v>
      </c>
      <c r="D296" s="446">
        <f t="shared" ref="D296:I296" si="126">SUM(D295:D295)</f>
        <v>0</v>
      </c>
      <c r="E296" s="446">
        <f t="shared" si="126"/>
        <v>0</v>
      </c>
      <c r="F296" s="446">
        <f t="shared" si="126"/>
        <v>0</v>
      </c>
      <c r="G296" s="446">
        <f t="shared" si="126"/>
        <v>0</v>
      </c>
      <c r="H296" s="446">
        <f t="shared" si="126"/>
        <v>0</v>
      </c>
      <c r="I296" s="446">
        <f t="shared" si="126"/>
        <v>0</v>
      </c>
      <c r="J296" s="552">
        <f>SUM(J295:J295)</f>
        <v>0</v>
      </c>
      <c r="K296" s="431">
        <f t="shared" si="118"/>
        <v>0</v>
      </c>
    </row>
    <row r="297" spans="1:16" ht="18.75" thickBot="1" x14ac:dyDescent="0.3">
      <c r="A297" s="934" t="s">
        <v>252</v>
      </c>
      <c r="B297" s="935"/>
      <c r="C297" s="446">
        <f>C294+C296</f>
        <v>3154766</v>
      </c>
      <c r="D297" s="446">
        <f t="shared" ref="D297:I297" si="127">D294+D296</f>
        <v>2705880</v>
      </c>
      <c r="E297" s="446">
        <f t="shared" si="127"/>
        <v>3886</v>
      </c>
      <c r="F297" s="446">
        <f t="shared" si="127"/>
        <v>345000</v>
      </c>
      <c r="G297" s="446">
        <f t="shared" si="127"/>
        <v>0</v>
      </c>
      <c r="H297" s="446">
        <f t="shared" si="127"/>
        <v>0</v>
      </c>
      <c r="I297" s="446">
        <f t="shared" si="127"/>
        <v>100000</v>
      </c>
      <c r="J297" s="552">
        <f>J294+J296</f>
        <v>3154766</v>
      </c>
      <c r="K297" s="431">
        <f t="shared" si="118"/>
        <v>0</v>
      </c>
      <c r="L297" s="533">
        <f>SUM(L277:L293)</f>
        <v>3154766</v>
      </c>
    </row>
    <row r="298" spans="1:16" x14ac:dyDescent="0.25">
      <c r="A298" s="450"/>
      <c r="B298" s="583" t="s">
        <v>354</v>
      </c>
      <c r="C298" s="451"/>
      <c r="E298" s="453"/>
      <c r="F298" s="566">
        <v>345000</v>
      </c>
      <c r="G298" s="567">
        <f>185000+16800</f>
        <v>201800</v>
      </c>
      <c r="H298" s="566">
        <v>9000</v>
      </c>
      <c r="I298" s="454"/>
      <c r="J298" s="455"/>
      <c r="K298" s="456"/>
    </row>
    <row r="299" spans="1:16" x14ac:dyDescent="0.25">
      <c r="A299" s="450"/>
      <c r="B299" s="450"/>
      <c r="C299" s="451"/>
      <c r="E299" s="453"/>
      <c r="F299" s="426">
        <f>F298-F297</f>
        <v>0</v>
      </c>
      <c r="G299" s="565">
        <f>F298+G298</f>
        <v>546800</v>
      </c>
      <c r="H299" s="452"/>
      <c r="I299" s="454"/>
      <c r="J299" s="455"/>
      <c r="K299" s="456"/>
    </row>
    <row r="300" spans="1:16" x14ac:dyDescent="0.25">
      <c r="A300" s="427"/>
      <c r="B300" s="538" t="s">
        <v>315</v>
      </c>
      <c r="C300" s="529" t="s">
        <v>299</v>
      </c>
      <c r="D300" s="520">
        <f>2590450-70000-12860+680</f>
        <v>2508270</v>
      </c>
      <c r="E300" s="474">
        <v>3000</v>
      </c>
      <c r="G300" s="460"/>
      <c r="H300" s="460"/>
      <c r="I300" s="427"/>
      <c r="J300" s="520">
        <f>SUM(D300:I300)</f>
        <v>2511270</v>
      </c>
    </row>
    <row r="301" spans="1:16" ht="15.75" x14ac:dyDescent="0.25">
      <c r="A301" s="427"/>
      <c r="C301" s="529" t="s">
        <v>300</v>
      </c>
      <c r="D301" s="528">
        <f>105400+70000-7590</f>
        <v>167810</v>
      </c>
      <c r="E301" s="527">
        <v>886</v>
      </c>
      <c r="F301" s="563"/>
      <c r="G301" s="426"/>
      <c r="H301" s="457"/>
      <c r="I301" s="527">
        <v>100000</v>
      </c>
      <c r="J301" s="743">
        <f>SUM(D301:I301)</f>
        <v>268696</v>
      </c>
    </row>
    <row r="302" spans="1:16" x14ac:dyDescent="0.25">
      <c r="A302" s="427"/>
      <c r="C302" s="427"/>
      <c r="D302" s="520">
        <f>SUM(D300:D301)</f>
        <v>2676080</v>
      </c>
      <c r="E302" s="427"/>
      <c r="F302" s="427"/>
      <c r="G302" s="427"/>
      <c r="H302" s="427"/>
      <c r="I302" s="539"/>
      <c r="J302" s="520"/>
      <c r="K302" s="427"/>
    </row>
    <row r="303" spans="1:16" x14ac:dyDescent="0.25">
      <c r="B303" s="734" t="s">
        <v>515</v>
      </c>
      <c r="D303" s="474">
        <f>D302-D297</f>
        <v>-29800</v>
      </c>
    </row>
    <row r="304" spans="1:16" x14ac:dyDescent="0.25">
      <c r="B304" t="s">
        <v>185</v>
      </c>
    </row>
    <row r="307" spans="1:16" ht="18.75" thickBot="1" x14ac:dyDescent="0.3">
      <c r="A307" s="928" t="s">
        <v>331</v>
      </c>
      <c r="B307" s="928"/>
      <c r="C307" s="928"/>
      <c r="D307" s="928"/>
      <c r="E307" s="928"/>
      <c r="F307" s="928"/>
      <c r="G307" s="928"/>
      <c r="H307" s="928"/>
      <c r="I307" s="928"/>
    </row>
    <row r="308" spans="1:16" ht="16.5" thickBot="1" x14ac:dyDescent="0.3">
      <c r="A308" s="427"/>
      <c r="B308" s="427"/>
      <c r="C308" s="427"/>
      <c r="D308" s="427"/>
      <c r="E308" s="427"/>
      <c r="F308" s="427"/>
      <c r="G308" s="427"/>
      <c r="H308" s="427"/>
      <c r="I308" s="427"/>
      <c r="J308" s="427"/>
      <c r="N308" s="929" t="s">
        <v>226</v>
      </c>
      <c r="O308" s="930"/>
      <c r="P308" s="931"/>
    </row>
    <row r="309" spans="1:16" ht="45.75" thickBot="1" x14ac:dyDescent="0.3">
      <c r="A309" s="428" t="s">
        <v>221</v>
      </c>
      <c r="B309" s="428" t="s">
        <v>222</v>
      </c>
      <c r="C309" s="429" t="s">
        <v>223</v>
      </c>
      <c r="D309" s="429" t="s">
        <v>310</v>
      </c>
      <c r="E309" s="429" t="s">
        <v>316</v>
      </c>
      <c r="F309" s="429" t="s">
        <v>224</v>
      </c>
      <c r="G309" s="429" t="s">
        <v>338</v>
      </c>
      <c r="H309" s="429" t="s">
        <v>235</v>
      </c>
      <c r="I309" s="536" t="s">
        <v>311</v>
      </c>
      <c r="J309" s="547" t="s">
        <v>225</v>
      </c>
      <c r="L309" t="s">
        <v>339</v>
      </c>
      <c r="N309" s="432" t="s">
        <v>227</v>
      </c>
      <c r="O309" s="540" t="s">
        <v>228</v>
      </c>
      <c r="P309" s="541" t="s">
        <v>317</v>
      </c>
    </row>
    <row r="310" spans="1:16" ht="15.75" x14ac:dyDescent="0.25">
      <c r="A310" s="737" t="s">
        <v>82</v>
      </c>
      <c r="B310" s="738" t="s">
        <v>229</v>
      </c>
      <c r="C310" s="739">
        <v>30000</v>
      </c>
      <c r="D310" s="739"/>
      <c r="E310" s="739"/>
      <c r="F310" s="739">
        <v>30000</v>
      </c>
      <c r="G310" s="739"/>
      <c r="H310" s="739"/>
      <c r="I310" s="739"/>
      <c r="J310" s="551">
        <f>SUM(D310:I310)</f>
        <v>30000</v>
      </c>
      <c r="K310" s="431">
        <f>C310-J310</f>
        <v>0</v>
      </c>
      <c r="L310" s="534"/>
      <c r="N310" s="760" t="s">
        <v>327</v>
      </c>
      <c r="O310" s="761">
        <f>20000-500</f>
        <v>19500</v>
      </c>
      <c r="P310" s="543"/>
    </row>
    <row r="311" spans="1:16" ht="16.5" thickBot="1" x14ac:dyDescent="0.3">
      <c r="A311" s="735" t="s">
        <v>82</v>
      </c>
      <c r="B311" s="736" t="s">
        <v>163</v>
      </c>
      <c r="C311" s="274">
        <v>1500</v>
      </c>
      <c r="D311" s="274"/>
      <c r="E311" s="274"/>
      <c r="F311" s="274">
        <v>1500</v>
      </c>
      <c r="G311" s="274"/>
      <c r="H311" s="274"/>
      <c r="I311" s="274"/>
      <c r="J311" s="548">
        <f t="shared" ref="J311:J313" si="128">SUM(D311:I311)</f>
        <v>1500</v>
      </c>
      <c r="K311" s="431">
        <f t="shared" ref="K311:K331" si="129">C311-J311</f>
        <v>0</v>
      </c>
      <c r="L311" s="533">
        <f>SUM(C310:C311)</f>
        <v>31500</v>
      </c>
      <c r="N311" s="434" t="s">
        <v>318</v>
      </c>
      <c r="O311" s="435">
        <f>5000+10000+1500+200-16700</f>
        <v>0</v>
      </c>
      <c r="P311" s="542"/>
    </row>
    <row r="312" spans="1:16" ht="15.75" x14ac:dyDescent="0.25">
      <c r="A312" s="438" t="s">
        <v>87</v>
      </c>
      <c r="B312" s="537" t="s">
        <v>328</v>
      </c>
      <c r="C312" s="279">
        <f>151200</f>
        <v>151200</v>
      </c>
      <c r="D312" s="279">
        <v>138200</v>
      </c>
      <c r="E312" s="279"/>
      <c r="F312" s="279">
        <v>13000</v>
      </c>
      <c r="G312" s="279"/>
      <c r="H312" s="279"/>
      <c r="I312" s="279"/>
      <c r="J312" s="548">
        <f t="shared" si="128"/>
        <v>151200</v>
      </c>
      <c r="K312" s="431">
        <f t="shared" si="129"/>
        <v>0</v>
      </c>
      <c r="L312" s="534"/>
      <c r="N312" s="437" t="s">
        <v>246</v>
      </c>
      <c r="O312" s="441">
        <v>8000</v>
      </c>
      <c r="P312" s="542"/>
    </row>
    <row r="313" spans="1:16" ht="15.75" x14ac:dyDescent="0.25">
      <c r="A313" s="433" t="s">
        <v>89</v>
      </c>
      <c r="B313" s="283" t="s">
        <v>312</v>
      </c>
      <c r="C313" s="270">
        <v>100000</v>
      </c>
      <c r="D313" s="270">
        <v>0</v>
      </c>
      <c r="E313" s="270"/>
      <c r="F313" s="270">
        <v>0</v>
      </c>
      <c r="G313" s="270"/>
      <c r="H313" s="557"/>
      <c r="I313" s="557">
        <v>100000</v>
      </c>
      <c r="J313" s="550">
        <f t="shared" si="128"/>
        <v>100000</v>
      </c>
      <c r="K313" s="431">
        <f t="shared" si="129"/>
        <v>0</v>
      </c>
      <c r="L313" s="534"/>
      <c r="N313" s="437" t="s">
        <v>319</v>
      </c>
      <c r="O313" s="441">
        <v>2000</v>
      </c>
      <c r="P313" s="543"/>
    </row>
    <row r="314" spans="1:16" ht="16.5" thickBot="1" x14ac:dyDescent="0.3">
      <c r="A314" s="748" t="s">
        <v>93</v>
      </c>
      <c r="B314" s="749" t="s">
        <v>335</v>
      </c>
      <c r="C314" s="750">
        <f>196500-12860</f>
        <v>183640</v>
      </c>
      <c r="D314" s="750">
        <f>196500-12860</f>
        <v>183640</v>
      </c>
      <c r="E314" s="273"/>
      <c r="F314" s="273">
        <v>0</v>
      </c>
      <c r="G314" s="273"/>
      <c r="H314" s="440"/>
      <c r="I314" s="440"/>
      <c r="J314" s="550">
        <f t="shared" ref="J314" si="130">SUM(D314:I314)</f>
        <v>183640</v>
      </c>
      <c r="K314" s="431">
        <f t="shared" si="129"/>
        <v>0</v>
      </c>
      <c r="L314" s="533">
        <f>SUM(C312:C314)</f>
        <v>434840</v>
      </c>
      <c r="N314" s="760" t="s">
        <v>506</v>
      </c>
      <c r="O314" s="762">
        <v>500</v>
      </c>
      <c r="P314" s="542"/>
    </row>
    <row r="315" spans="1:16" ht="15.75" x14ac:dyDescent="0.25">
      <c r="A315" s="438" t="s">
        <v>164</v>
      </c>
      <c r="B315" s="445" t="s">
        <v>165</v>
      </c>
      <c r="C315" s="279">
        <f>3000+20000</f>
        <v>23000</v>
      </c>
      <c r="D315" s="279"/>
      <c r="E315" s="279">
        <v>3000</v>
      </c>
      <c r="F315" s="279">
        <v>20000</v>
      </c>
      <c r="G315" s="279"/>
      <c r="H315" s="279"/>
      <c r="I315" s="279"/>
      <c r="J315" s="548">
        <f t="shared" ref="J315:J316" si="131">SUM(D315:I315)</f>
        <v>23000</v>
      </c>
      <c r="K315" s="431">
        <f t="shared" si="129"/>
        <v>0</v>
      </c>
      <c r="L315" s="534"/>
      <c r="M315" s="426"/>
      <c r="N315" s="437"/>
      <c r="O315" s="435"/>
      <c r="P315" s="542"/>
    </row>
    <row r="316" spans="1:16" ht="15.75" x14ac:dyDescent="0.25">
      <c r="A316" s="754" t="s">
        <v>96</v>
      </c>
      <c r="B316" s="755" t="s">
        <v>247</v>
      </c>
      <c r="C316" s="753">
        <f>10000-5700</f>
        <v>4300</v>
      </c>
      <c r="D316" s="270"/>
      <c r="E316" s="270"/>
      <c r="F316" s="753">
        <f>10000-5700</f>
        <v>4300</v>
      </c>
      <c r="G316" s="270"/>
      <c r="H316" s="270"/>
      <c r="I316" s="270"/>
      <c r="J316" s="550">
        <f t="shared" si="131"/>
        <v>4300</v>
      </c>
      <c r="K316" s="431">
        <f t="shared" si="129"/>
        <v>0</v>
      </c>
      <c r="L316" s="534"/>
      <c r="N316" s="437"/>
      <c r="O316" s="441"/>
      <c r="P316" s="542"/>
    </row>
    <row r="317" spans="1:16" ht="15.75" x14ac:dyDescent="0.25">
      <c r="A317" s="754" t="s">
        <v>96</v>
      </c>
      <c r="B317" s="755" t="s">
        <v>357</v>
      </c>
      <c r="C317" s="753">
        <f>15036+43800+163000-33430-946</f>
        <v>187460</v>
      </c>
      <c r="D317" s="270"/>
      <c r="E317" s="270"/>
      <c r="F317" s="753">
        <f>50000+9036-44000+163000-33430-946</f>
        <v>143660</v>
      </c>
      <c r="G317" s="270">
        <f>27000+16800</f>
        <v>43800</v>
      </c>
      <c r="H317" s="270"/>
      <c r="I317" s="270"/>
      <c r="J317" s="550">
        <f t="shared" ref="J317" si="132">SUM(D317:I317)</f>
        <v>187460</v>
      </c>
      <c r="K317" s="431">
        <f t="shared" si="129"/>
        <v>0</v>
      </c>
      <c r="L317" s="534"/>
      <c r="N317" s="437"/>
      <c r="O317" s="441"/>
      <c r="P317" s="542"/>
    </row>
    <row r="318" spans="1:16" ht="15.75" x14ac:dyDescent="0.25">
      <c r="A318" s="430" t="s">
        <v>301</v>
      </c>
      <c r="B318" s="492" t="s">
        <v>313</v>
      </c>
      <c r="C318" s="449">
        <f>145000+71000</f>
        <v>216000</v>
      </c>
      <c r="D318" s="276">
        <v>145000</v>
      </c>
      <c r="E318" s="276"/>
      <c r="F318" s="276">
        <f>12700+58300-71000</f>
        <v>0</v>
      </c>
      <c r="G318" s="276">
        <v>71000</v>
      </c>
      <c r="H318" s="276"/>
      <c r="I318" s="276"/>
      <c r="J318" s="548">
        <f>SUM(D318:I318)</f>
        <v>216000</v>
      </c>
      <c r="K318" s="431">
        <f t="shared" si="129"/>
        <v>0</v>
      </c>
      <c r="L318" s="534"/>
      <c r="M318" s="426"/>
      <c r="N318" s="467"/>
      <c r="O318" s="468"/>
      <c r="P318" s="544"/>
    </row>
    <row r="319" spans="1:16" ht="16.5" thickBot="1" x14ac:dyDescent="0.3">
      <c r="A319" s="439" t="s">
        <v>98</v>
      </c>
      <c r="B319" s="521" t="s">
        <v>481</v>
      </c>
      <c r="C319" s="273">
        <f>70000+42000</f>
        <v>112000</v>
      </c>
      <c r="D319" s="273">
        <v>70000</v>
      </c>
      <c r="E319" s="273"/>
      <c r="F319" s="273">
        <f>12000+30000</f>
        <v>42000</v>
      </c>
      <c r="G319" s="273"/>
      <c r="H319" s="273"/>
      <c r="I319" s="273"/>
      <c r="J319" s="549">
        <f t="shared" ref="J319:J324" si="133">SUM(D319:I319)</f>
        <v>112000</v>
      </c>
      <c r="K319" s="431">
        <f t="shared" si="129"/>
        <v>0</v>
      </c>
      <c r="L319" s="533">
        <f>SUM(C315:C319)</f>
        <v>542760</v>
      </c>
      <c r="N319" s="467"/>
      <c r="O319" s="468"/>
      <c r="P319" s="544"/>
    </row>
    <row r="320" spans="1:16" ht="15.75" x14ac:dyDescent="0.25">
      <c r="A320" s="436" t="s">
        <v>111</v>
      </c>
      <c r="B320" s="741" t="s">
        <v>337</v>
      </c>
      <c r="C320" s="268">
        <f>50000+5000</f>
        <v>55000</v>
      </c>
      <c r="D320" s="268">
        <v>50000</v>
      </c>
      <c r="E320" s="268"/>
      <c r="F320" s="268">
        <f>5000</f>
        <v>5000</v>
      </c>
      <c r="G320" s="268"/>
      <c r="H320" s="268"/>
      <c r="I320" s="268"/>
      <c r="J320" s="551">
        <f t="shared" si="133"/>
        <v>55000</v>
      </c>
      <c r="K320" s="431">
        <f t="shared" si="129"/>
        <v>0</v>
      </c>
      <c r="L320" s="534"/>
      <c r="N320" s="467"/>
      <c r="O320" s="468"/>
      <c r="P320" s="544"/>
    </row>
    <row r="321" spans="1:16" ht="15.75" x14ac:dyDescent="0.25">
      <c r="A321" s="430" t="s">
        <v>111</v>
      </c>
      <c r="B321" s="740" t="s">
        <v>320</v>
      </c>
      <c r="C321" s="276">
        <f>196100-7590</f>
        <v>188510</v>
      </c>
      <c r="D321" s="276">
        <f>105400+35350-7590</f>
        <v>133160</v>
      </c>
      <c r="E321" s="276"/>
      <c r="F321" s="276">
        <f>55350-55000</f>
        <v>350</v>
      </c>
      <c r="G321" s="276">
        <v>55000</v>
      </c>
      <c r="H321" s="276"/>
      <c r="I321" s="276"/>
      <c r="J321" s="548">
        <f t="shared" si="133"/>
        <v>188510</v>
      </c>
      <c r="K321" s="431">
        <f t="shared" si="129"/>
        <v>0</v>
      </c>
      <c r="L321" s="534"/>
      <c r="M321" s="564"/>
      <c r="N321" s="467"/>
      <c r="O321" s="468"/>
      <c r="P321" s="544"/>
    </row>
    <row r="322" spans="1:16" ht="16.5" thickBot="1" x14ac:dyDescent="0.3">
      <c r="A322" s="430" t="s">
        <v>111</v>
      </c>
      <c r="B322" s="555" t="s">
        <v>330</v>
      </c>
      <c r="C322" s="276">
        <v>30000</v>
      </c>
      <c r="D322" s="276"/>
      <c r="E322" s="276"/>
      <c r="F322" s="276">
        <v>30000</v>
      </c>
      <c r="G322" s="276"/>
      <c r="H322" s="276"/>
      <c r="I322" s="276"/>
      <c r="J322" s="550">
        <f t="shared" si="133"/>
        <v>30000</v>
      </c>
      <c r="K322" s="431">
        <f t="shared" si="129"/>
        <v>0</v>
      </c>
      <c r="L322" s="534"/>
      <c r="N322" s="458" t="s">
        <v>230</v>
      </c>
      <c r="O322" s="746">
        <v>0</v>
      </c>
      <c r="P322" s="544"/>
    </row>
    <row r="323" spans="1:16" ht="16.5" thickBot="1" x14ac:dyDescent="0.3">
      <c r="A323" s="430" t="s">
        <v>113</v>
      </c>
      <c r="B323" s="285" t="s">
        <v>232</v>
      </c>
      <c r="C323" s="276">
        <v>0</v>
      </c>
      <c r="D323" s="276"/>
      <c r="E323" s="276"/>
      <c r="F323" s="276">
        <v>0</v>
      </c>
      <c r="G323" s="276"/>
      <c r="H323" s="276"/>
      <c r="I323" s="276"/>
      <c r="J323" s="548">
        <f t="shared" si="133"/>
        <v>0</v>
      </c>
      <c r="K323" s="431">
        <f t="shared" si="129"/>
        <v>0</v>
      </c>
      <c r="L323" s="569"/>
      <c r="M323" s="426">
        <f>F325+G325</f>
        <v>72190</v>
      </c>
      <c r="N323" s="459" t="s">
        <v>231</v>
      </c>
      <c r="O323" s="545">
        <f>SUM(O310:O322)</f>
        <v>30000</v>
      </c>
      <c r="P323" s="546">
        <f>SUM(P310:P322)</f>
        <v>0</v>
      </c>
    </row>
    <row r="324" spans="1:16" x14ac:dyDescent="0.25">
      <c r="A324" s="438" t="s">
        <v>113</v>
      </c>
      <c r="B324" s="554" t="s">
        <v>329</v>
      </c>
      <c r="C324" s="279">
        <v>15000</v>
      </c>
      <c r="D324" s="279"/>
      <c r="E324" s="279"/>
      <c r="F324" s="276">
        <f>15000</f>
        <v>15000</v>
      </c>
      <c r="G324" s="276"/>
      <c r="H324" s="276"/>
      <c r="I324" s="276"/>
      <c r="J324" s="548">
        <f t="shared" si="133"/>
        <v>15000</v>
      </c>
      <c r="K324" s="431">
        <f t="shared" si="129"/>
        <v>0</v>
      </c>
      <c r="L324" s="534"/>
    </row>
    <row r="325" spans="1:16" ht="15.75" thickBot="1" x14ac:dyDescent="0.3">
      <c r="A325" s="751" t="s">
        <v>113</v>
      </c>
      <c r="B325" s="752" t="s">
        <v>496</v>
      </c>
      <c r="C325" s="709">
        <f>379400+33000+5700+33430+680+946</f>
        <v>453156</v>
      </c>
      <c r="D325" s="709">
        <f>379400+680</f>
        <v>380080</v>
      </c>
      <c r="E325" s="282">
        <f>886</f>
        <v>886</v>
      </c>
      <c r="F325" s="753">
        <f>32114-32000+5700+33430+946</f>
        <v>40190</v>
      </c>
      <c r="G325" s="270">
        <v>32000</v>
      </c>
      <c r="H325" s="270"/>
      <c r="I325" s="270"/>
      <c r="J325" s="550">
        <f>SUM(D325:I325)</f>
        <v>453156</v>
      </c>
      <c r="K325" s="431">
        <f t="shared" si="129"/>
        <v>0</v>
      </c>
      <c r="L325" s="533">
        <f>SUM(C320:C325)</f>
        <v>741666</v>
      </c>
    </row>
    <row r="326" spans="1:16" x14ac:dyDescent="0.25">
      <c r="A326" s="436" t="s">
        <v>122</v>
      </c>
      <c r="B326" s="525" t="s">
        <v>478</v>
      </c>
      <c r="C326" s="268">
        <f>475100-230100</f>
        <v>245000</v>
      </c>
      <c r="D326" s="268">
        <v>430000</v>
      </c>
      <c r="E326" s="268"/>
      <c r="F326" s="268">
        <f>46000-46000</f>
        <v>0</v>
      </c>
      <c r="G326" s="268">
        <f>-230100+45100</f>
        <v>-185000</v>
      </c>
      <c r="H326" s="268"/>
      <c r="I326" s="268"/>
      <c r="J326" s="551">
        <f t="shared" ref="J326" si="134">SUM(D326:I326)</f>
        <v>245000</v>
      </c>
      <c r="K326" s="431">
        <f t="shared" si="129"/>
        <v>0</v>
      </c>
      <c r="L326" s="533"/>
    </row>
    <row r="327" spans="1:16" ht="15.75" thickBot="1" x14ac:dyDescent="0.3">
      <c r="A327" s="433" t="s">
        <v>124</v>
      </c>
      <c r="B327" s="526" t="s">
        <v>314</v>
      </c>
      <c r="C327" s="270">
        <f>1146000-16800</f>
        <v>1129200</v>
      </c>
      <c r="D327" s="270">
        <f>1220380-74380</f>
        <v>1146000</v>
      </c>
      <c r="E327" s="270"/>
      <c r="F327" s="270">
        <v>0</v>
      </c>
      <c r="G327" s="270">
        <v>-16800</v>
      </c>
      <c r="H327" s="270"/>
      <c r="I327" s="270"/>
      <c r="J327" s="550">
        <f t="shared" ref="J327" si="135">SUM(D327:I327)</f>
        <v>1129200</v>
      </c>
      <c r="K327" s="431">
        <f t="shared" si="129"/>
        <v>0</v>
      </c>
      <c r="L327" s="533">
        <f>SUM(C326:C327)</f>
        <v>1374200</v>
      </c>
    </row>
    <row r="328" spans="1:16" ht="15.75" thickBot="1" x14ac:dyDescent="0.3">
      <c r="A328" s="932" t="s">
        <v>233</v>
      </c>
      <c r="B328" s="933"/>
      <c r="C328" s="446">
        <f>SUM(C310:C327)</f>
        <v>3124966</v>
      </c>
      <c r="D328" s="446">
        <f t="shared" ref="D328:I328" si="136">SUM(D310:D327)</f>
        <v>2676080</v>
      </c>
      <c r="E328" s="446">
        <f t="shared" si="136"/>
        <v>3886</v>
      </c>
      <c r="F328" s="446">
        <f t="shared" si="136"/>
        <v>345000</v>
      </c>
      <c r="G328" s="446">
        <f t="shared" si="136"/>
        <v>0</v>
      </c>
      <c r="H328" s="446">
        <f t="shared" si="136"/>
        <v>0</v>
      </c>
      <c r="I328" s="446">
        <f t="shared" si="136"/>
        <v>100000</v>
      </c>
      <c r="J328" s="552">
        <f>SUM(J310:J327)</f>
        <v>3124966</v>
      </c>
      <c r="K328" s="431">
        <f t="shared" si="129"/>
        <v>0</v>
      </c>
      <c r="L328" s="584"/>
    </row>
    <row r="329" spans="1:16" ht="15.75" thickBot="1" x14ac:dyDescent="0.3">
      <c r="A329" s="430"/>
      <c r="B329" s="448"/>
      <c r="C329" s="449"/>
      <c r="D329" s="276"/>
      <c r="E329" s="276"/>
      <c r="F329" s="447"/>
      <c r="G329" s="447"/>
      <c r="H329" s="447"/>
      <c r="I329" s="276"/>
      <c r="J329" s="548">
        <f>SUM(D329:I329)</f>
        <v>0</v>
      </c>
      <c r="K329" s="431">
        <f t="shared" si="129"/>
        <v>0</v>
      </c>
    </row>
    <row r="330" spans="1:16" ht="15.75" thickBot="1" x14ac:dyDescent="0.3">
      <c r="A330" s="932" t="s">
        <v>234</v>
      </c>
      <c r="B330" s="933"/>
      <c r="C330" s="446">
        <f>SUM(C329:C329)</f>
        <v>0</v>
      </c>
      <c r="D330" s="446">
        <f t="shared" ref="D330:I330" si="137">SUM(D329:D329)</f>
        <v>0</v>
      </c>
      <c r="E330" s="446">
        <f t="shared" si="137"/>
        <v>0</v>
      </c>
      <c r="F330" s="446">
        <f t="shared" si="137"/>
        <v>0</v>
      </c>
      <c r="G330" s="446">
        <f t="shared" si="137"/>
        <v>0</v>
      </c>
      <c r="H330" s="446">
        <f t="shared" si="137"/>
        <v>0</v>
      </c>
      <c r="I330" s="446">
        <f t="shared" si="137"/>
        <v>0</v>
      </c>
      <c r="J330" s="552">
        <f>SUM(J329:J329)</f>
        <v>0</v>
      </c>
      <c r="K330" s="431">
        <f t="shared" si="129"/>
        <v>0</v>
      </c>
    </row>
    <row r="331" spans="1:16" ht="18.75" thickBot="1" x14ac:dyDescent="0.3">
      <c r="A331" s="934" t="s">
        <v>252</v>
      </c>
      <c r="B331" s="935"/>
      <c r="C331" s="446">
        <f>C328+C330</f>
        <v>3124966</v>
      </c>
      <c r="D331" s="446">
        <f t="shared" ref="D331:I331" si="138">D328+D330</f>
        <v>2676080</v>
      </c>
      <c r="E331" s="446">
        <f t="shared" si="138"/>
        <v>3886</v>
      </c>
      <c r="F331" s="446">
        <f t="shared" si="138"/>
        <v>345000</v>
      </c>
      <c r="G331" s="446">
        <f t="shared" si="138"/>
        <v>0</v>
      </c>
      <c r="H331" s="446">
        <f t="shared" si="138"/>
        <v>0</v>
      </c>
      <c r="I331" s="446">
        <f t="shared" si="138"/>
        <v>100000</v>
      </c>
      <c r="J331" s="552">
        <f>J328+J330</f>
        <v>3124966</v>
      </c>
      <c r="K331" s="431">
        <f t="shared" si="129"/>
        <v>0</v>
      </c>
      <c r="L331" s="533">
        <f>SUM(L311:L327)</f>
        <v>3124966</v>
      </c>
    </row>
    <row r="332" spans="1:16" x14ac:dyDescent="0.25">
      <c r="A332" s="450"/>
      <c r="B332" s="583" t="s">
        <v>354</v>
      </c>
      <c r="C332" s="451"/>
      <c r="E332" s="453"/>
      <c r="F332" s="566">
        <v>345000</v>
      </c>
      <c r="G332" s="567">
        <f>185000+16800</f>
        <v>201800</v>
      </c>
      <c r="H332" s="566">
        <v>9000</v>
      </c>
      <c r="I332" s="454"/>
      <c r="J332" s="455"/>
      <c r="K332" s="456"/>
    </row>
    <row r="333" spans="1:16" x14ac:dyDescent="0.25">
      <c r="A333" s="450"/>
      <c r="B333" s="450"/>
      <c r="C333" s="451"/>
      <c r="E333" s="453"/>
      <c r="F333" s="426">
        <f>F332-F331</f>
        <v>0</v>
      </c>
      <c r="G333" s="565">
        <f>F332+G332</f>
        <v>546800</v>
      </c>
      <c r="H333" s="452"/>
      <c r="I333" s="454"/>
      <c r="J333" s="455"/>
      <c r="K333" s="456"/>
    </row>
    <row r="334" spans="1:16" x14ac:dyDescent="0.25">
      <c r="A334" s="427"/>
      <c r="B334" s="538" t="s">
        <v>315</v>
      </c>
      <c r="C334" s="529" t="s">
        <v>299</v>
      </c>
      <c r="D334" s="520">
        <f>2590450-70000-12860+680</f>
        <v>2508270</v>
      </c>
      <c r="E334" s="474">
        <v>3000</v>
      </c>
      <c r="G334" s="460"/>
      <c r="H334" s="460"/>
      <c r="I334" s="427"/>
      <c r="J334" s="520">
        <f>SUM(D334:I334)</f>
        <v>2511270</v>
      </c>
    </row>
    <row r="335" spans="1:16" ht="15.75" x14ac:dyDescent="0.25">
      <c r="A335" s="427"/>
      <c r="C335" s="529" t="s">
        <v>300</v>
      </c>
      <c r="D335" s="528">
        <f>105400+70000-7590</f>
        <v>167810</v>
      </c>
      <c r="E335" s="527">
        <v>886</v>
      </c>
      <c r="F335" s="563"/>
      <c r="G335" s="426"/>
      <c r="H335" s="457"/>
      <c r="I335" s="527">
        <v>100000</v>
      </c>
      <c r="J335" s="743">
        <f>SUM(D335:I335)</f>
        <v>268696</v>
      </c>
    </row>
    <row r="336" spans="1:16" x14ac:dyDescent="0.25">
      <c r="A336" s="427"/>
      <c r="C336" s="427"/>
      <c r="D336" s="520">
        <f>SUM(D334:D335)</f>
        <v>2676080</v>
      </c>
      <c r="E336" s="427"/>
      <c r="F336" s="427"/>
      <c r="G336" s="427"/>
      <c r="H336" s="427"/>
      <c r="I336" s="539"/>
      <c r="J336" s="520"/>
      <c r="K336" s="427"/>
    </row>
    <row r="337" spans="1:16" x14ac:dyDescent="0.25">
      <c r="B337" s="734" t="s">
        <v>544</v>
      </c>
      <c r="D337" s="474">
        <f>D336-D331</f>
        <v>0</v>
      </c>
    </row>
    <row r="338" spans="1:16" x14ac:dyDescent="0.25">
      <c r="B338" t="s">
        <v>185</v>
      </c>
    </row>
    <row r="341" spans="1:16" ht="18.75" thickBot="1" x14ac:dyDescent="0.3">
      <c r="A341" s="928" t="s">
        <v>331</v>
      </c>
      <c r="B341" s="928"/>
      <c r="C341" s="928"/>
      <c r="D341" s="928"/>
      <c r="E341" s="928"/>
      <c r="F341" s="928"/>
      <c r="G341" s="928"/>
      <c r="H341" s="928"/>
      <c r="I341" s="928"/>
    </row>
    <row r="342" spans="1:16" ht="16.5" thickBot="1" x14ac:dyDescent="0.3">
      <c r="A342" s="427"/>
      <c r="B342" s="427"/>
      <c r="C342" s="427"/>
      <c r="D342" s="427"/>
      <c r="E342" s="427"/>
      <c r="F342" s="427"/>
      <c r="G342" s="427"/>
      <c r="H342" s="427"/>
      <c r="I342" s="427"/>
      <c r="J342" s="427"/>
      <c r="N342" s="929" t="s">
        <v>226</v>
      </c>
      <c r="O342" s="930"/>
      <c r="P342" s="931"/>
    </row>
    <row r="343" spans="1:16" ht="45.75" thickBot="1" x14ac:dyDescent="0.3">
      <c r="A343" s="428" t="s">
        <v>221</v>
      </c>
      <c r="B343" s="428" t="s">
        <v>222</v>
      </c>
      <c r="C343" s="429" t="s">
        <v>223</v>
      </c>
      <c r="D343" s="429" t="s">
        <v>310</v>
      </c>
      <c r="E343" s="429" t="s">
        <v>316</v>
      </c>
      <c r="F343" s="429" t="s">
        <v>224</v>
      </c>
      <c r="G343" s="429" t="s">
        <v>338</v>
      </c>
      <c r="H343" s="429" t="s">
        <v>235</v>
      </c>
      <c r="I343" s="536" t="s">
        <v>311</v>
      </c>
      <c r="J343" s="547" t="s">
        <v>225</v>
      </c>
      <c r="L343" t="s">
        <v>339</v>
      </c>
      <c r="N343" s="432" t="s">
        <v>227</v>
      </c>
      <c r="O343" s="540" t="s">
        <v>228</v>
      </c>
      <c r="P343" s="541" t="s">
        <v>317</v>
      </c>
    </row>
    <row r="344" spans="1:16" ht="15.75" x14ac:dyDescent="0.25">
      <c r="A344" s="737" t="s">
        <v>82</v>
      </c>
      <c r="B344" s="738" t="s">
        <v>229</v>
      </c>
      <c r="C344" s="739">
        <v>30000</v>
      </c>
      <c r="D344" s="739"/>
      <c r="E344" s="739"/>
      <c r="F344" s="739">
        <v>30000</v>
      </c>
      <c r="G344" s="739"/>
      <c r="H344" s="739"/>
      <c r="I344" s="739"/>
      <c r="J344" s="551">
        <f>SUM(D344:I344)</f>
        <v>30000</v>
      </c>
      <c r="K344" s="431">
        <f>C344-J344</f>
        <v>0</v>
      </c>
      <c r="L344" s="534"/>
      <c r="N344" s="437" t="s">
        <v>327</v>
      </c>
      <c r="O344" s="441">
        <v>20000</v>
      </c>
      <c r="P344" s="543"/>
    </row>
    <row r="345" spans="1:16" ht="16.5" thickBot="1" x14ac:dyDescent="0.3">
      <c r="A345" s="735" t="s">
        <v>82</v>
      </c>
      <c r="B345" s="736" t="s">
        <v>163</v>
      </c>
      <c r="C345" s="274">
        <v>1500</v>
      </c>
      <c r="D345" s="274"/>
      <c r="E345" s="274"/>
      <c r="F345" s="274">
        <v>1500</v>
      </c>
      <c r="G345" s="274"/>
      <c r="H345" s="274"/>
      <c r="I345" s="274"/>
      <c r="J345" s="548">
        <f t="shared" ref="J345:J347" si="139">SUM(D345:I345)</f>
        <v>1500</v>
      </c>
      <c r="K345" s="431">
        <f t="shared" ref="K345:K365" si="140">C345-J345</f>
        <v>0</v>
      </c>
      <c r="L345" s="533">
        <f>SUM(C344:C345)</f>
        <v>31500</v>
      </c>
      <c r="N345" s="434" t="s">
        <v>318</v>
      </c>
      <c r="O345" s="435">
        <f>5000+10000+1500+200-16700</f>
        <v>0</v>
      </c>
      <c r="P345" s="542"/>
    </row>
    <row r="346" spans="1:16" ht="15.75" x14ac:dyDescent="0.25">
      <c r="A346" s="438" t="s">
        <v>87</v>
      </c>
      <c r="B346" s="537" t="s">
        <v>328</v>
      </c>
      <c r="C346" s="279">
        <f>151200</f>
        <v>151200</v>
      </c>
      <c r="D346" s="279">
        <v>138200</v>
      </c>
      <c r="E346" s="279"/>
      <c r="F346" s="279">
        <v>13000</v>
      </c>
      <c r="G346" s="279"/>
      <c r="H346" s="279"/>
      <c r="I346" s="279"/>
      <c r="J346" s="548">
        <f t="shared" si="139"/>
        <v>151200</v>
      </c>
      <c r="K346" s="431">
        <f t="shared" si="140"/>
        <v>0</v>
      </c>
      <c r="L346" s="534"/>
      <c r="N346" s="437" t="s">
        <v>246</v>
      </c>
      <c r="O346" s="441">
        <v>8000</v>
      </c>
      <c r="P346" s="542"/>
    </row>
    <row r="347" spans="1:16" ht="15.75" x14ac:dyDescent="0.25">
      <c r="A347" s="433" t="s">
        <v>89</v>
      </c>
      <c r="B347" s="283" t="s">
        <v>312</v>
      </c>
      <c r="C347" s="270">
        <v>100000</v>
      </c>
      <c r="D347" s="270">
        <v>0</v>
      </c>
      <c r="E347" s="270"/>
      <c r="F347" s="270">
        <v>0</v>
      </c>
      <c r="G347" s="270"/>
      <c r="H347" s="557"/>
      <c r="I347" s="557">
        <v>100000</v>
      </c>
      <c r="J347" s="550">
        <f t="shared" si="139"/>
        <v>100000</v>
      </c>
      <c r="K347" s="431">
        <f t="shared" si="140"/>
        <v>0</v>
      </c>
      <c r="L347" s="534"/>
      <c r="N347" s="437" t="s">
        <v>319</v>
      </c>
      <c r="O347" s="441">
        <v>2000</v>
      </c>
      <c r="P347" s="543"/>
    </row>
    <row r="348" spans="1:16" ht="16.5" thickBot="1" x14ac:dyDescent="0.3">
      <c r="A348" s="439" t="s">
        <v>93</v>
      </c>
      <c r="B348" s="568" t="s">
        <v>335</v>
      </c>
      <c r="C348" s="273">
        <v>196500</v>
      </c>
      <c r="D348" s="273">
        <v>196500</v>
      </c>
      <c r="E348" s="273"/>
      <c r="F348" s="273">
        <v>0</v>
      </c>
      <c r="G348" s="273"/>
      <c r="H348" s="440"/>
      <c r="I348" s="440"/>
      <c r="J348" s="550">
        <f t="shared" ref="J348" si="141">SUM(D348:I348)</f>
        <v>196500</v>
      </c>
      <c r="K348" s="431">
        <f t="shared" si="140"/>
        <v>0</v>
      </c>
      <c r="L348" s="533">
        <f>SUM(C346:C348)</f>
        <v>447700</v>
      </c>
      <c r="N348" s="434"/>
      <c r="O348" s="435"/>
      <c r="P348" s="542"/>
    </row>
    <row r="349" spans="1:16" ht="15.75" x14ac:dyDescent="0.25">
      <c r="A349" s="438" t="s">
        <v>164</v>
      </c>
      <c r="B349" s="445" t="s">
        <v>165</v>
      </c>
      <c r="C349" s="279">
        <f>3000+20000</f>
        <v>23000</v>
      </c>
      <c r="D349" s="279"/>
      <c r="E349" s="279">
        <v>3000</v>
      </c>
      <c r="F349" s="279">
        <v>20000</v>
      </c>
      <c r="G349" s="279"/>
      <c r="H349" s="279"/>
      <c r="I349" s="279"/>
      <c r="J349" s="548">
        <f t="shared" ref="J349:J350" si="142">SUM(D349:I349)</f>
        <v>23000</v>
      </c>
      <c r="K349" s="431">
        <f t="shared" si="140"/>
        <v>0</v>
      </c>
      <c r="L349" s="534"/>
      <c r="M349" s="426"/>
      <c r="N349" s="437"/>
      <c r="O349" s="435"/>
      <c r="P349" s="542"/>
    </row>
    <row r="350" spans="1:16" ht="15.75" x14ac:dyDescent="0.25">
      <c r="A350" s="433" t="s">
        <v>96</v>
      </c>
      <c r="B350" s="443" t="s">
        <v>247</v>
      </c>
      <c r="C350" s="270">
        <v>10000</v>
      </c>
      <c r="D350" s="270"/>
      <c r="E350" s="270"/>
      <c r="F350" s="270">
        <v>10000</v>
      </c>
      <c r="G350" s="270"/>
      <c r="H350" s="270"/>
      <c r="I350" s="270"/>
      <c r="J350" s="550">
        <f t="shared" si="142"/>
        <v>10000</v>
      </c>
      <c r="K350" s="431">
        <f t="shared" si="140"/>
        <v>0</v>
      </c>
      <c r="L350" s="534"/>
      <c r="N350" s="437"/>
      <c r="O350" s="441"/>
      <c r="P350" s="542"/>
    </row>
    <row r="351" spans="1:16" ht="15.75" x14ac:dyDescent="0.25">
      <c r="A351" s="433" t="s">
        <v>96</v>
      </c>
      <c r="B351" s="443" t="s">
        <v>357</v>
      </c>
      <c r="C351" s="270">
        <f>15036+43800+163000</f>
        <v>221836</v>
      </c>
      <c r="D351" s="270"/>
      <c r="E351" s="270"/>
      <c r="F351" s="270">
        <f>50000+9036-44000+163000</f>
        <v>178036</v>
      </c>
      <c r="G351" s="270">
        <f>27000+16800</f>
        <v>43800</v>
      </c>
      <c r="H351" s="270"/>
      <c r="I351" s="270"/>
      <c r="J351" s="550">
        <f t="shared" ref="J351" si="143">SUM(D351:I351)</f>
        <v>221836</v>
      </c>
      <c r="K351" s="431">
        <f t="shared" si="140"/>
        <v>0</v>
      </c>
      <c r="L351" s="534"/>
      <c r="N351" s="437"/>
      <c r="O351" s="441"/>
      <c r="P351" s="542"/>
    </row>
    <row r="352" spans="1:16" ht="15.75" x14ac:dyDescent="0.25">
      <c r="A352" s="430" t="s">
        <v>301</v>
      </c>
      <c r="B352" s="492" t="s">
        <v>313</v>
      </c>
      <c r="C352" s="449">
        <f>145000+71000</f>
        <v>216000</v>
      </c>
      <c r="D352" s="276">
        <v>145000</v>
      </c>
      <c r="E352" s="276"/>
      <c r="F352" s="276">
        <f>12700+58300-71000</f>
        <v>0</v>
      </c>
      <c r="G352" s="276">
        <v>71000</v>
      </c>
      <c r="H352" s="276"/>
      <c r="I352" s="276"/>
      <c r="J352" s="548">
        <f>SUM(D352:I352)</f>
        <v>216000</v>
      </c>
      <c r="K352" s="431">
        <f t="shared" si="140"/>
        <v>0</v>
      </c>
      <c r="L352" s="534"/>
      <c r="M352" s="426"/>
      <c r="N352" s="467"/>
      <c r="O352" s="468"/>
      <c r="P352" s="544"/>
    </row>
    <row r="353" spans="1:16" ht="16.5" thickBot="1" x14ac:dyDescent="0.3">
      <c r="A353" s="439" t="s">
        <v>98</v>
      </c>
      <c r="B353" s="521" t="s">
        <v>481</v>
      </c>
      <c r="C353" s="273">
        <f>70000+42000</f>
        <v>112000</v>
      </c>
      <c r="D353" s="273">
        <v>70000</v>
      </c>
      <c r="E353" s="273"/>
      <c r="F353" s="273">
        <f>12000+30000</f>
        <v>42000</v>
      </c>
      <c r="G353" s="273"/>
      <c r="H353" s="273"/>
      <c r="I353" s="273"/>
      <c r="J353" s="549">
        <f t="shared" ref="J353:J358" si="144">SUM(D353:I353)</f>
        <v>112000</v>
      </c>
      <c r="K353" s="431">
        <f t="shared" si="140"/>
        <v>0</v>
      </c>
      <c r="L353" s="533">
        <f>SUM(C349:C353)</f>
        <v>582836</v>
      </c>
      <c r="N353" s="467"/>
      <c r="O353" s="468"/>
      <c r="P353" s="544"/>
    </row>
    <row r="354" spans="1:16" ht="15.75" x14ac:dyDescent="0.25">
      <c r="A354" s="436" t="s">
        <v>111</v>
      </c>
      <c r="B354" s="741" t="s">
        <v>337</v>
      </c>
      <c r="C354" s="268">
        <f>50000+5000</f>
        <v>55000</v>
      </c>
      <c r="D354" s="268">
        <v>50000</v>
      </c>
      <c r="E354" s="268"/>
      <c r="F354" s="268">
        <f>5000</f>
        <v>5000</v>
      </c>
      <c r="G354" s="268"/>
      <c r="H354" s="268"/>
      <c r="I354" s="268"/>
      <c r="J354" s="551">
        <f t="shared" si="144"/>
        <v>55000</v>
      </c>
      <c r="K354" s="431">
        <f t="shared" si="140"/>
        <v>0</v>
      </c>
      <c r="L354" s="534"/>
      <c r="N354" s="467"/>
      <c r="O354" s="468"/>
      <c r="P354" s="544"/>
    </row>
    <row r="355" spans="1:16" ht="15.75" x14ac:dyDescent="0.25">
      <c r="A355" s="747" t="s">
        <v>111</v>
      </c>
      <c r="B355" s="744" t="s">
        <v>320</v>
      </c>
      <c r="C355" s="742">
        <f>196100-7590</f>
        <v>188510</v>
      </c>
      <c r="D355" s="742">
        <f>105400+35350-7590</f>
        <v>133160</v>
      </c>
      <c r="E355" s="276"/>
      <c r="F355" s="276">
        <f>55350-55000</f>
        <v>350</v>
      </c>
      <c r="G355" s="276">
        <v>55000</v>
      </c>
      <c r="H355" s="276"/>
      <c r="I355" s="276"/>
      <c r="J355" s="548">
        <f t="shared" si="144"/>
        <v>188510</v>
      </c>
      <c r="K355" s="431">
        <f t="shared" si="140"/>
        <v>0</v>
      </c>
      <c r="L355" s="534"/>
      <c r="M355" s="564"/>
      <c r="N355" s="467"/>
      <c r="O355" s="468"/>
      <c r="P355" s="544"/>
    </row>
    <row r="356" spans="1:16" ht="16.5" thickBot="1" x14ac:dyDescent="0.3">
      <c r="A356" s="430" t="s">
        <v>111</v>
      </c>
      <c r="B356" s="555" t="s">
        <v>330</v>
      </c>
      <c r="C356" s="276">
        <v>30000</v>
      </c>
      <c r="D356" s="276"/>
      <c r="E356" s="276"/>
      <c r="F356" s="276">
        <v>30000</v>
      </c>
      <c r="G356" s="276"/>
      <c r="H356" s="276"/>
      <c r="I356" s="276"/>
      <c r="J356" s="550">
        <f t="shared" si="144"/>
        <v>30000</v>
      </c>
      <c r="K356" s="431">
        <f t="shared" si="140"/>
        <v>0</v>
      </c>
      <c r="L356" s="534"/>
      <c r="N356" s="458" t="s">
        <v>230</v>
      </c>
      <c r="O356" s="746">
        <v>0</v>
      </c>
      <c r="P356" s="544"/>
    </row>
    <row r="357" spans="1:16" ht="16.5" thickBot="1" x14ac:dyDescent="0.3">
      <c r="A357" s="430" t="s">
        <v>113</v>
      </c>
      <c r="B357" s="285" t="s">
        <v>232</v>
      </c>
      <c r="C357" s="276">
        <v>0</v>
      </c>
      <c r="D357" s="276"/>
      <c r="E357" s="276"/>
      <c r="F357" s="276">
        <v>0</v>
      </c>
      <c r="G357" s="276"/>
      <c r="H357" s="276"/>
      <c r="I357" s="276"/>
      <c r="J357" s="548">
        <f t="shared" si="144"/>
        <v>0</v>
      </c>
      <c r="K357" s="431">
        <f t="shared" si="140"/>
        <v>0</v>
      </c>
      <c r="L357" s="569"/>
      <c r="M357" s="426"/>
      <c r="N357" s="459" t="s">
        <v>231</v>
      </c>
      <c r="O357" s="545">
        <f>SUM(O344:O356)</f>
        <v>30000</v>
      </c>
      <c r="P357" s="546">
        <f>SUM(P344:P356)</f>
        <v>0</v>
      </c>
    </row>
    <row r="358" spans="1:16" x14ac:dyDescent="0.25">
      <c r="A358" s="438" t="s">
        <v>113</v>
      </c>
      <c r="B358" s="554" t="s">
        <v>329</v>
      </c>
      <c r="C358" s="279">
        <v>15000</v>
      </c>
      <c r="D358" s="279"/>
      <c r="E358" s="279"/>
      <c r="F358" s="276">
        <f>15000</f>
        <v>15000</v>
      </c>
      <c r="G358" s="276"/>
      <c r="H358" s="276"/>
      <c r="I358" s="276"/>
      <c r="J358" s="548">
        <f t="shared" si="144"/>
        <v>15000</v>
      </c>
      <c r="K358" s="431">
        <f t="shared" si="140"/>
        <v>0</v>
      </c>
      <c r="L358" s="534"/>
    </row>
    <row r="359" spans="1:16" ht="15.75" thickBot="1" x14ac:dyDescent="0.3">
      <c r="A359" s="442" t="s">
        <v>113</v>
      </c>
      <c r="B359" s="444" t="s">
        <v>325</v>
      </c>
      <c r="C359" s="282">
        <f>379400+33000</f>
        <v>412400</v>
      </c>
      <c r="D359" s="282">
        <v>379400</v>
      </c>
      <c r="E359" s="282">
        <f>886</f>
        <v>886</v>
      </c>
      <c r="F359" s="270">
        <f>32114-32000</f>
        <v>114</v>
      </c>
      <c r="G359" s="270">
        <v>32000</v>
      </c>
      <c r="H359" s="270"/>
      <c r="I359" s="270"/>
      <c r="J359" s="550">
        <f>SUM(D359:I359)</f>
        <v>412400</v>
      </c>
      <c r="K359" s="431">
        <f t="shared" si="140"/>
        <v>0</v>
      </c>
      <c r="L359" s="533">
        <f>SUM(C354:C359)</f>
        <v>700910</v>
      </c>
    </row>
    <row r="360" spans="1:16" x14ac:dyDescent="0.25">
      <c r="A360" s="436" t="s">
        <v>122</v>
      </c>
      <c r="B360" s="525" t="s">
        <v>478</v>
      </c>
      <c r="C360" s="268">
        <f>475100-230100</f>
        <v>245000</v>
      </c>
      <c r="D360" s="268">
        <v>430000</v>
      </c>
      <c r="E360" s="268"/>
      <c r="F360" s="268">
        <f>46000-46000</f>
        <v>0</v>
      </c>
      <c r="G360" s="268">
        <f>-230100+45100</f>
        <v>-185000</v>
      </c>
      <c r="H360" s="268"/>
      <c r="I360" s="268"/>
      <c r="J360" s="551">
        <f t="shared" ref="J360" si="145">SUM(D360:I360)</f>
        <v>245000</v>
      </c>
      <c r="K360" s="431">
        <f t="shared" si="140"/>
        <v>0</v>
      </c>
      <c r="L360" s="533"/>
    </row>
    <row r="361" spans="1:16" ht="15.75" thickBot="1" x14ac:dyDescent="0.3">
      <c r="A361" s="433" t="s">
        <v>124</v>
      </c>
      <c r="B361" s="526" t="s">
        <v>314</v>
      </c>
      <c r="C361" s="270">
        <f>1146000-16800</f>
        <v>1129200</v>
      </c>
      <c r="D361" s="270">
        <f>1220380-74380</f>
        <v>1146000</v>
      </c>
      <c r="E361" s="270"/>
      <c r="F361" s="270">
        <v>0</v>
      </c>
      <c r="G361" s="270">
        <v>-16800</v>
      </c>
      <c r="H361" s="270"/>
      <c r="I361" s="270"/>
      <c r="J361" s="550">
        <f t="shared" ref="J361" si="146">SUM(D361:I361)</f>
        <v>1129200</v>
      </c>
      <c r="K361" s="431">
        <f t="shared" si="140"/>
        <v>0</v>
      </c>
      <c r="L361" s="533">
        <f>SUM(C360:C361)</f>
        <v>1374200</v>
      </c>
    </row>
    <row r="362" spans="1:16" ht="15.75" thickBot="1" x14ac:dyDescent="0.3">
      <c r="A362" s="932" t="s">
        <v>233</v>
      </c>
      <c r="B362" s="933"/>
      <c r="C362" s="446">
        <f>SUM(C344:C361)</f>
        <v>3137146</v>
      </c>
      <c r="D362" s="446">
        <f t="shared" ref="D362" si="147">SUM(D344:D361)</f>
        <v>2688260</v>
      </c>
      <c r="E362" s="446">
        <f t="shared" ref="E362" si="148">SUM(E344:E361)</f>
        <v>3886</v>
      </c>
      <c r="F362" s="446">
        <f t="shared" ref="F362" si="149">SUM(F344:F361)</f>
        <v>345000</v>
      </c>
      <c r="G362" s="446">
        <f t="shared" ref="G362" si="150">SUM(G344:G361)</f>
        <v>0</v>
      </c>
      <c r="H362" s="446">
        <f t="shared" ref="H362" si="151">SUM(H344:H361)</f>
        <v>0</v>
      </c>
      <c r="I362" s="446">
        <f t="shared" ref="I362" si="152">SUM(I344:I361)</f>
        <v>100000</v>
      </c>
      <c r="J362" s="552">
        <f>SUM(J344:J361)</f>
        <v>3137146</v>
      </c>
      <c r="K362" s="431">
        <f t="shared" si="140"/>
        <v>0</v>
      </c>
      <c r="L362" s="584"/>
    </row>
    <row r="363" spans="1:16" ht="15.75" thickBot="1" x14ac:dyDescent="0.3">
      <c r="A363" s="430"/>
      <c r="B363" s="448"/>
      <c r="C363" s="449"/>
      <c r="D363" s="276"/>
      <c r="E363" s="276"/>
      <c r="F363" s="447"/>
      <c r="G363" s="447"/>
      <c r="H363" s="447"/>
      <c r="I363" s="276"/>
      <c r="J363" s="548">
        <f>SUM(D363:I363)</f>
        <v>0</v>
      </c>
      <c r="K363" s="431">
        <f t="shared" si="140"/>
        <v>0</v>
      </c>
    </row>
    <row r="364" spans="1:16" ht="15.75" thickBot="1" x14ac:dyDescent="0.3">
      <c r="A364" s="932" t="s">
        <v>234</v>
      </c>
      <c r="B364" s="933"/>
      <c r="C364" s="446">
        <f>SUM(C363:C363)</f>
        <v>0</v>
      </c>
      <c r="D364" s="446">
        <f t="shared" ref="D364:I364" si="153">SUM(D363:D363)</f>
        <v>0</v>
      </c>
      <c r="E364" s="446">
        <f t="shared" si="153"/>
        <v>0</v>
      </c>
      <c r="F364" s="446">
        <f t="shared" si="153"/>
        <v>0</v>
      </c>
      <c r="G364" s="446">
        <f t="shared" si="153"/>
        <v>0</v>
      </c>
      <c r="H364" s="446">
        <f t="shared" si="153"/>
        <v>0</v>
      </c>
      <c r="I364" s="446">
        <f t="shared" si="153"/>
        <v>0</v>
      </c>
      <c r="J364" s="552">
        <f>SUM(J363:J363)</f>
        <v>0</v>
      </c>
      <c r="K364" s="431">
        <f t="shared" si="140"/>
        <v>0</v>
      </c>
    </row>
    <row r="365" spans="1:16" ht="18.75" thickBot="1" x14ac:dyDescent="0.3">
      <c r="A365" s="934" t="s">
        <v>252</v>
      </c>
      <c r="B365" s="935"/>
      <c r="C365" s="446">
        <f>C362+C364</f>
        <v>3137146</v>
      </c>
      <c r="D365" s="446">
        <f t="shared" ref="D365:I365" si="154">D362+D364</f>
        <v>2688260</v>
      </c>
      <c r="E365" s="446">
        <f t="shared" si="154"/>
        <v>3886</v>
      </c>
      <c r="F365" s="446">
        <f t="shared" si="154"/>
        <v>345000</v>
      </c>
      <c r="G365" s="446">
        <f t="shared" si="154"/>
        <v>0</v>
      </c>
      <c r="H365" s="446">
        <f t="shared" si="154"/>
        <v>0</v>
      </c>
      <c r="I365" s="446">
        <f t="shared" si="154"/>
        <v>100000</v>
      </c>
      <c r="J365" s="552">
        <f>J362+J364</f>
        <v>3137146</v>
      </c>
      <c r="K365" s="431">
        <f t="shared" si="140"/>
        <v>0</v>
      </c>
      <c r="L365" s="533">
        <f>SUM(L345:L361)</f>
        <v>3137146</v>
      </c>
    </row>
    <row r="366" spans="1:16" x14ac:dyDescent="0.25">
      <c r="A366" s="450"/>
      <c r="B366" s="583" t="s">
        <v>354</v>
      </c>
      <c r="C366" s="451"/>
      <c r="E366" s="453"/>
      <c r="F366" s="566">
        <v>345000</v>
      </c>
      <c r="G366" s="567">
        <f>185000+16800</f>
        <v>201800</v>
      </c>
      <c r="H366" s="566">
        <v>9000</v>
      </c>
      <c r="I366" s="454"/>
      <c r="J366" s="455"/>
      <c r="K366" s="456"/>
    </row>
    <row r="367" spans="1:16" x14ac:dyDescent="0.25">
      <c r="A367" s="450"/>
      <c r="B367" s="450"/>
      <c r="C367" s="451"/>
      <c r="E367" s="453"/>
      <c r="F367" s="426">
        <f>F366-F365</f>
        <v>0</v>
      </c>
      <c r="G367" s="565">
        <f>F366+G366</f>
        <v>546800</v>
      </c>
      <c r="H367" s="452"/>
      <c r="I367" s="454"/>
      <c r="J367" s="455"/>
      <c r="K367" s="456"/>
    </row>
    <row r="368" spans="1:16" x14ac:dyDescent="0.25">
      <c r="A368" s="427"/>
      <c r="B368" s="538" t="s">
        <v>315</v>
      </c>
      <c r="C368" s="529" t="s">
        <v>299</v>
      </c>
      <c r="D368" s="520">
        <f>2590450-70000</f>
        <v>2520450</v>
      </c>
      <c r="E368" s="474">
        <v>3000</v>
      </c>
      <c r="G368" s="460"/>
      <c r="H368" s="460"/>
      <c r="I368" s="427"/>
      <c r="J368" s="520">
        <f>SUM(D368:I368)</f>
        <v>2523450</v>
      </c>
    </row>
    <row r="369" spans="1:16" ht="15.75" x14ac:dyDescent="0.25">
      <c r="A369" s="427"/>
      <c r="C369" s="529" t="s">
        <v>300</v>
      </c>
      <c r="D369" s="528">
        <f>105400+70000-7590</f>
        <v>167810</v>
      </c>
      <c r="E369" s="527">
        <v>886</v>
      </c>
      <c r="F369" s="563"/>
      <c r="G369" s="426"/>
      <c r="H369" s="457"/>
      <c r="I369" s="527">
        <v>100000</v>
      </c>
      <c r="J369" s="743">
        <f>SUM(D369:I369)</f>
        <v>268696</v>
      </c>
    </row>
    <row r="370" spans="1:16" x14ac:dyDescent="0.25">
      <c r="A370" s="427"/>
      <c r="C370" s="427"/>
      <c r="D370" s="520">
        <f>SUM(D368:D369)</f>
        <v>2688260</v>
      </c>
      <c r="E370" s="427"/>
      <c r="F370" s="427"/>
      <c r="G370" s="427"/>
      <c r="H370" s="427"/>
      <c r="I370" s="539"/>
      <c r="J370" s="520"/>
      <c r="K370" s="427"/>
    </row>
    <row r="371" spans="1:16" x14ac:dyDescent="0.25">
      <c r="B371" s="734" t="s">
        <v>482</v>
      </c>
      <c r="D371" s="474">
        <f>D370-D365</f>
        <v>0</v>
      </c>
    </row>
    <row r="372" spans="1:16" x14ac:dyDescent="0.25">
      <c r="B372" t="s">
        <v>185</v>
      </c>
    </row>
    <row r="375" spans="1:16" ht="18.75" thickBot="1" x14ac:dyDescent="0.3">
      <c r="A375" s="928" t="s">
        <v>331</v>
      </c>
      <c r="B375" s="928"/>
      <c r="C375" s="928"/>
      <c r="D375" s="928"/>
      <c r="E375" s="928"/>
      <c r="F375" s="928"/>
      <c r="G375" s="928"/>
      <c r="H375" s="928"/>
      <c r="I375" s="928"/>
    </row>
    <row r="376" spans="1:16" ht="16.5" thickBot="1" x14ac:dyDescent="0.3">
      <c r="A376" s="427"/>
      <c r="B376" s="427"/>
      <c r="C376" s="427"/>
      <c r="D376" s="427"/>
      <c r="E376" s="427"/>
      <c r="F376" s="427"/>
      <c r="G376" s="427"/>
      <c r="H376" s="427"/>
      <c r="I376" s="427"/>
      <c r="J376" s="427"/>
      <c r="N376" s="929" t="s">
        <v>226</v>
      </c>
      <c r="O376" s="930"/>
      <c r="P376" s="931"/>
    </row>
    <row r="377" spans="1:16" ht="45.75" thickBot="1" x14ac:dyDescent="0.3">
      <c r="A377" s="428" t="s">
        <v>221</v>
      </c>
      <c r="B377" s="428" t="s">
        <v>222</v>
      </c>
      <c r="C377" s="429" t="s">
        <v>223</v>
      </c>
      <c r="D377" s="429" t="s">
        <v>310</v>
      </c>
      <c r="E377" s="429" t="s">
        <v>316</v>
      </c>
      <c r="F377" s="429" t="s">
        <v>224</v>
      </c>
      <c r="G377" s="429" t="s">
        <v>338</v>
      </c>
      <c r="H377" s="429" t="s">
        <v>235</v>
      </c>
      <c r="I377" s="536" t="s">
        <v>311</v>
      </c>
      <c r="J377" s="547" t="s">
        <v>225</v>
      </c>
      <c r="L377" t="s">
        <v>339</v>
      </c>
      <c r="N377" s="432" t="s">
        <v>227</v>
      </c>
      <c r="O377" s="540" t="s">
        <v>228</v>
      </c>
      <c r="P377" s="541" t="s">
        <v>317</v>
      </c>
    </row>
    <row r="378" spans="1:16" ht="15.75" x14ac:dyDescent="0.25">
      <c r="A378" s="737" t="s">
        <v>82</v>
      </c>
      <c r="B378" s="738" t="s">
        <v>229</v>
      </c>
      <c r="C378" s="739">
        <v>30000</v>
      </c>
      <c r="D378" s="739"/>
      <c r="E378" s="739"/>
      <c r="F378" s="739">
        <v>30000</v>
      </c>
      <c r="G378" s="739"/>
      <c r="H378" s="739"/>
      <c r="I378" s="739"/>
      <c r="J378" s="551">
        <f>SUM(D378:I378)</f>
        <v>30000</v>
      </c>
      <c r="K378" s="431">
        <f>C378-J378</f>
        <v>0</v>
      </c>
      <c r="L378" s="534"/>
      <c r="N378" s="437" t="s">
        <v>327</v>
      </c>
      <c r="O378" s="441">
        <v>20000</v>
      </c>
      <c r="P378" s="543"/>
    </row>
    <row r="379" spans="1:16" ht="16.5" thickBot="1" x14ac:dyDescent="0.3">
      <c r="A379" s="735" t="s">
        <v>82</v>
      </c>
      <c r="B379" s="736" t="s">
        <v>163</v>
      </c>
      <c r="C379" s="274">
        <v>1500</v>
      </c>
      <c r="D379" s="274"/>
      <c r="E379" s="274"/>
      <c r="F379" s="274">
        <v>1500</v>
      </c>
      <c r="G379" s="274"/>
      <c r="H379" s="274"/>
      <c r="I379" s="274"/>
      <c r="J379" s="548">
        <f t="shared" ref="J379:J384" si="155">SUM(D379:I379)</f>
        <v>1500</v>
      </c>
      <c r="K379" s="431">
        <f t="shared" ref="K379:K399" si="156">C379-J379</f>
        <v>0</v>
      </c>
      <c r="L379" s="533">
        <f>SUM(C378:C379)</f>
        <v>31500</v>
      </c>
      <c r="N379" s="434" t="s">
        <v>318</v>
      </c>
      <c r="O379" s="435">
        <f>5000+10000+1500+200-16700</f>
        <v>0</v>
      </c>
      <c r="P379" s="542"/>
    </row>
    <row r="380" spans="1:16" ht="15.75" x14ac:dyDescent="0.25">
      <c r="A380" s="438" t="s">
        <v>87</v>
      </c>
      <c r="B380" s="537" t="s">
        <v>328</v>
      </c>
      <c r="C380" s="279">
        <f>151200</f>
        <v>151200</v>
      </c>
      <c r="D380" s="279">
        <v>138200</v>
      </c>
      <c r="E380" s="279"/>
      <c r="F380" s="279">
        <v>13000</v>
      </c>
      <c r="G380" s="279"/>
      <c r="H380" s="279"/>
      <c r="I380" s="279"/>
      <c r="J380" s="548">
        <f t="shared" si="155"/>
        <v>151200</v>
      </c>
      <c r="K380" s="431">
        <f t="shared" si="156"/>
        <v>0</v>
      </c>
      <c r="L380" s="534"/>
      <c r="N380" s="437" t="s">
        <v>246</v>
      </c>
      <c r="O380" s="441">
        <v>8000</v>
      </c>
      <c r="P380" s="542"/>
    </row>
    <row r="381" spans="1:16" ht="15.75" x14ac:dyDescent="0.25">
      <c r="A381" s="433" t="s">
        <v>89</v>
      </c>
      <c r="B381" s="283" t="s">
        <v>312</v>
      </c>
      <c r="C381" s="270">
        <v>100000</v>
      </c>
      <c r="D381" s="270">
        <v>0</v>
      </c>
      <c r="E381" s="270"/>
      <c r="F381" s="270">
        <v>0</v>
      </c>
      <c r="G381" s="270"/>
      <c r="H381" s="557"/>
      <c r="I381" s="557">
        <v>100000</v>
      </c>
      <c r="J381" s="550">
        <f t="shared" si="155"/>
        <v>100000</v>
      </c>
      <c r="K381" s="431">
        <f t="shared" si="156"/>
        <v>0</v>
      </c>
      <c r="L381" s="534"/>
      <c r="N381" s="437" t="s">
        <v>319</v>
      </c>
      <c r="O381" s="441">
        <v>2000</v>
      </c>
      <c r="P381" s="543"/>
    </row>
    <row r="382" spans="1:16" ht="16.5" thickBot="1" x14ac:dyDescent="0.3">
      <c r="A382" s="439" t="s">
        <v>93</v>
      </c>
      <c r="B382" s="568" t="s">
        <v>335</v>
      </c>
      <c r="C382" s="273">
        <v>196500</v>
      </c>
      <c r="D382" s="273">
        <v>196500</v>
      </c>
      <c r="E382" s="273"/>
      <c r="F382" s="273">
        <v>0</v>
      </c>
      <c r="G382" s="273"/>
      <c r="H382" s="440"/>
      <c r="I382" s="440"/>
      <c r="J382" s="550">
        <f t="shared" ref="J382" si="157">SUM(D382:I382)</f>
        <v>196500</v>
      </c>
      <c r="K382" s="431">
        <f t="shared" si="156"/>
        <v>0</v>
      </c>
      <c r="L382" s="533">
        <f>SUM(C380:C382)</f>
        <v>447700</v>
      </c>
      <c r="N382" s="434"/>
      <c r="O382" s="435"/>
      <c r="P382" s="542"/>
    </row>
    <row r="383" spans="1:16" ht="15.75" x14ac:dyDescent="0.25">
      <c r="A383" s="438" t="s">
        <v>164</v>
      </c>
      <c r="B383" s="445" t="s">
        <v>165</v>
      </c>
      <c r="C383" s="279">
        <f>3000+20000</f>
        <v>23000</v>
      </c>
      <c r="D383" s="279"/>
      <c r="E383" s="279">
        <v>3000</v>
      </c>
      <c r="F383" s="279">
        <v>20000</v>
      </c>
      <c r="G383" s="279"/>
      <c r="H383" s="279"/>
      <c r="I383" s="279"/>
      <c r="J383" s="548">
        <f t="shared" si="155"/>
        <v>23000</v>
      </c>
      <c r="K383" s="431">
        <f t="shared" si="156"/>
        <v>0</v>
      </c>
      <c r="L383" s="534"/>
      <c r="M383" s="426"/>
      <c r="N383" s="437"/>
      <c r="O383" s="435"/>
      <c r="P383" s="542"/>
    </row>
    <row r="384" spans="1:16" ht="15.75" x14ac:dyDescent="0.25">
      <c r="A384" s="433" t="s">
        <v>96</v>
      </c>
      <c r="B384" s="443" t="s">
        <v>247</v>
      </c>
      <c r="C384" s="270">
        <v>10000</v>
      </c>
      <c r="D384" s="270"/>
      <c r="E384" s="270"/>
      <c r="F384" s="270">
        <v>10000</v>
      </c>
      <c r="G384" s="270"/>
      <c r="H384" s="270"/>
      <c r="I384" s="270"/>
      <c r="J384" s="550">
        <f t="shared" si="155"/>
        <v>10000</v>
      </c>
      <c r="K384" s="431">
        <f t="shared" si="156"/>
        <v>0</v>
      </c>
      <c r="L384" s="534"/>
      <c r="N384" s="437"/>
      <c r="O384" s="441"/>
      <c r="P384" s="542"/>
    </row>
    <row r="385" spans="1:16" ht="15.75" x14ac:dyDescent="0.25">
      <c r="A385" s="433" t="s">
        <v>96</v>
      </c>
      <c r="B385" s="443" t="s">
        <v>357</v>
      </c>
      <c r="C385" s="270">
        <f>15036+43800+163000</f>
        <v>221836</v>
      </c>
      <c r="D385" s="270"/>
      <c r="E385" s="270"/>
      <c r="F385" s="270">
        <f>50000+9036-44000+163000</f>
        <v>178036</v>
      </c>
      <c r="G385" s="270">
        <f>27000+16800</f>
        <v>43800</v>
      </c>
      <c r="H385" s="270"/>
      <c r="I385" s="270"/>
      <c r="J385" s="550">
        <f t="shared" ref="J385" si="158">SUM(D385:I385)</f>
        <v>221836</v>
      </c>
      <c r="K385" s="431">
        <f t="shared" si="156"/>
        <v>0</v>
      </c>
      <c r="L385" s="534"/>
      <c r="N385" s="437"/>
      <c r="O385" s="441"/>
      <c r="P385" s="542"/>
    </row>
    <row r="386" spans="1:16" ht="15.75" x14ac:dyDescent="0.25">
      <c r="A386" s="430" t="s">
        <v>301</v>
      </c>
      <c r="B386" s="492" t="s">
        <v>313</v>
      </c>
      <c r="C386" s="449">
        <f>145000+71000</f>
        <v>216000</v>
      </c>
      <c r="D386" s="276">
        <v>145000</v>
      </c>
      <c r="E386" s="276"/>
      <c r="F386" s="276">
        <f>12700+58300-71000</f>
        <v>0</v>
      </c>
      <c r="G386" s="276">
        <v>71000</v>
      </c>
      <c r="H386" s="276"/>
      <c r="I386" s="276"/>
      <c r="J386" s="548">
        <f>SUM(D386:I386)</f>
        <v>216000</v>
      </c>
      <c r="K386" s="431">
        <f t="shared" si="156"/>
        <v>0</v>
      </c>
      <c r="L386" s="534"/>
      <c r="M386" s="426"/>
      <c r="N386" s="467"/>
      <c r="O386" s="468"/>
      <c r="P386" s="544"/>
    </row>
    <row r="387" spans="1:16" ht="16.5" thickBot="1" x14ac:dyDescent="0.3">
      <c r="A387" s="439" t="s">
        <v>98</v>
      </c>
      <c r="B387" s="521" t="s">
        <v>481</v>
      </c>
      <c r="C387" s="273">
        <f>70000+42000</f>
        <v>112000</v>
      </c>
      <c r="D387" s="273">
        <v>70000</v>
      </c>
      <c r="E387" s="273"/>
      <c r="F387" s="273">
        <f>12000+30000</f>
        <v>42000</v>
      </c>
      <c r="G387" s="273"/>
      <c r="H387" s="273"/>
      <c r="I387" s="273"/>
      <c r="J387" s="549">
        <f t="shared" ref="J387:J394" si="159">SUM(D387:I387)</f>
        <v>112000</v>
      </c>
      <c r="K387" s="431">
        <f t="shared" si="156"/>
        <v>0</v>
      </c>
      <c r="L387" s="533">
        <f>SUM(C383:C387)</f>
        <v>582836</v>
      </c>
      <c r="N387" s="467"/>
      <c r="O387" s="468"/>
      <c r="P387" s="544"/>
    </row>
    <row r="388" spans="1:16" ht="15.75" x14ac:dyDescent="0.25">
      <c r="A388" s="436" t="s">
        <v>111</v>
      </c>
      <c r="B388" s="741" t="s">
        <v>337</v>
      </c>
      <c r="C388" s="268">
        <f>50000+5000</f>
        <v>55000</v>
      </c>
      <c r="D388" s="268">
        <v>50000</v>
      </c>
      <c r="E388" s="268"/>
      <c r="F388" s="268">
        <f>5000</f>
        <v>5000</v>
      </c>
      <c r="G388" s="268"/>
      <c r="H388" s="268"/>
      <c r="I388" s="268"/>
      <c r="J388" s="551">
        <f t="shared" ref="J388" si="160">SUM(D388:I388)</f>
        <v>55000</v>
      </c>
      <c r="K388" s="431">
        <f t="shared" si="156"/>
        <v>0</v>
      </c>
      <c r="L388" s="534"/>
      <c r="N388" s="467"/>
      <c r="O388" s="468"/>
      <c r="P388" s="544"/>
    </row>
    <row r="389" spans="1:16" ht="15.75" x14ac:dyDescent="0.25">
      <c r="A389" s="430" t="s">
        <v>111</v>
      </c>
      <c r="B389" s="740" t="s">
        <v>320</v>
      </c>
      <c r="C389" s="276">
        <f>184200+11900</f>
        <v>196100</v>
      </c>
      <c r="D389" s="276">
        <f>105400+35350</f>
        <v>140750</v>
      </c>
      <c r="E389" s="276"/>
      <c r="F389" s="276">
        <f>55350-55000</f>
        <v>350</v>
      </c>
      <c r="G389" s="276">
        <v>55000</v>
      </c>
      <c r="H389" s="276"/>
      <c r="I389" s="276"/>
      <c r="J389" s="548">
        <f t="shared" si="159"/>
        <v>196100</v>
      </c>
      <c r="K389" s="431">
        <f t="shared" si="156"/>
        <v>0</v>
      </c>
      <c r="L389" s="534"/>
      <c r="M389" s="564"/>
      <c r="N389" s="467"/>
      <c r="O389" s="468"/>
      <c r="P389" s="544"/>
    </row>
    <row r="390" spans="1:16" ht="16.5" thickBot="1" x14ac:dyDescent="0.3">
      <c r="A390" s="430" t="s">
        <v>111</v>
      </c>
      <c r="B390" s="555" t="s">
        <v>330</v>
      </c>
      <c r="C390" s="276">
        <v>30000</v>
      </c>
      <c r="D390" s="276"/>
      <c r="E390" s="276"/>
      <c r="F390" s="276">
        <v>30000</v>
      </c>
      <c r="G390" s="276"/>
      <c r="H390" s="276"/>
      <c r="I390" s="276"/>
      <c r="J390" s="550">
        <f t="shared" ref="J390" si="161">SUM(D390:I390)</f>
        <v>30000</v>
      </c>
      <c r="K390" s="431">
        <f t="shared" si="156"/>
        <v>0</v>
      </c>
      <c r="L390" s="534"/>
      <c r="N390" s="458" t="s">
        <v>230</v>
      </c>
      <c r="O390" s="746">
        <v>0</v>
      </c>
      <c r="P390" s="544"/>
    </row>
    <row r="391" spans="1:16" ht="16.5" thickBot="1" x14ac:dyDescent="0.3">
      <c r="A391" s="430" t="s">
        <v>113</v>
      </c>
      <c r="B391" s="285" t="s">
        <v>232</v>
      </c>
      <c r="C391" s="276">
        <v>0</v>
      </c>
      <c r="D391" s="276"/>
      <c r="E391" s="276"/>
      <c r="F391" s="276">
        <v>0</v>
      </c>
      <c r="G391" s="276"/>
      <c r="H391" s="276"/>
      <c r="I391" s="276"/>
      <c r="J391" s="548">
        <f t="shared" si="159"/>
        <v>0</v>
      </c>
      <c r="K391" s="431">
        <f t="shared" si="156"/>
        <v>0</v>
      </c>
      <c r="L391" s="569"/>
      <c r="M391" s="426"/>
      <c r="N391" s="459" t="s">
        <v>231</v>
      </c>
      <c r="O391" s="545">
        <f>SUM(O378:O390)</f>
        <v>30000</v>
      </c>
      <c r="P391" s="546">
        <f>SUM(P378:P390)</f>
        <v>0</v>
      </c>
    </row>
    <row r="392" spans="1:16" x14ac:dyDescent="0.25">
      <c r="A392" s="438" t="s">
        <v>113</v>
      </c>
      <c r="B392" s="554" t="s">
        <v>329</v>
      </c>
      <c r="C392" s="279">
        <v>15000</v>
      </c>
      <c r="D392" s="279"/>
      <c r="E392" s="279"/>
      <c r="F392" s="276">
        <f>15000</f>
        <v>15000</v>
      </c>
      <c r="G392" s="276"/>
      <c r="H392" s="276"/>
      <c r="I392" s="276"/>
      <c r="J392" s="548">
        <f t="shared" ref="J392" si="162">SUM(D392:I392)</f>
        <v>15000</v>
      </c>
      <c r="K392" s="431">
        <f t="shared" si="156"/>
        <v>0</v>
      </c>
      <c r="L392" s="534"/>
    </row>
    <row r="393" spans="1:16" ht="15.75" thickBot="1" x14ac:dyDescent="0.3">
      <c r="A393" s="442" t="s">
        <v>113</v>
      </c>
      <c r="B393" s="444" t="s">
        <v>325</v>
      </c>
      <c r="C393" s="282">
        <f>379400+33000</f>
        <v>412400</v>
      </c>
      <c r="D393" s="282">
        <v>379400</v>
      </c>
      <c r="E393" s="282">
        <f>886</f>
        <v>886</v>
      </c>
      <c r="F393" s="270">
        <f>32114-32000</f>
        <v>114</v>
      </c>
      <c r="G393" s="270">
        <v>32000</v>
      </c>
      <c r="H393" s="270"/>
      <c r="I393" s="270"/>
      <c r="J393" s="550">
        <f>SUM(D393:I393)</f>
        <v>412400</v>
      </c>
      <c r="K393" s="431">
        <f t="shared" si="156"/>
        <v>0</v>
      </c>
      <c r="L393" s="533">
        <f>SUM(C388:C393)</f>
        <v>708500</v>
      </c>
    </row>
    <row r="394" spans="1:16" x14ac:dyDescent="0.25">
      <c r="A394" s="436" t="s">
        <v>122</v>
      </c>
      <c r="B394" s="525" t="s">
        <v>478</v>
      </c>
      <c r="C394" s="268">
        <f>475100-230100</f>
        <v>245000</v>
      </c>
      <c r="D394" s="268">
        <v>430000</v>
      </c>
      <c r="E394" s="268"/>
      <c r="F394" s="268">
        <f>46000-46000</f>
        <v>0</v>
      </c>
      <c r="G394" s="268">
        <f>-230100+45100</f>
        <v>-185000</v>
      </c>
      <c r="H394" s="268"/>
      <c r="I394" s="268"/>
      <c r="J394" s="551">
        <f t="shared" si="159"/>
        <v>245000</v>
      </c>
      <c r="K394" s="431">
        <f t="shared" si="156"/>
        <v>0</v>
      </c>
      <c r="L394" s="533"/>
    </row>
    <row r="395" spans="1:16" ht="15.75" thickBot="1" x14ac:dyDescent="0.3">
      <c r="A395" s="433" t="s">
        <v>124</v>
      </c>
      <c r="B395" s="526" t="s">
        <v>314</v>
      </c>
      <c r="C395" s="270">
        <f>1146000-16800</f>
        <v>1129200</v>
      </c>
      <c r="D395" s="270">
        <f>1220380-74380</f>
        <v>1146000</v>
      </c>
      <c r="E395" s="270"/>
      <c r="F395" s="270">
        <v>0</v>
      </c>
      <c r="G395" s="270">
        <v>-16800</v>
      </c>
      <c r="H395" s="270"/>
      <c r="I395" s="270"/>
      <c r="J395" s="550">
        <f t="shared" ref="J395" si="163">SUM(D395:I395)</f>
        <v>1129200</v>
      </c>
      <c r="K395" s="431">
        <f t="shared" si="156"/>
        <v>0</v>
      </c>
      <c r="L395" s="533">
        <f>SUM(C394:C395)</f>
        <v>1374200</v>
      </c>
    </row>
    <row r="396" spans="1:16" ht="15.75" thickBot="1" x14ac:dyDescent="0.3">
      <c r="A396" s="932" t="s">
        <v>233</v>
      </c>
      <c r="B396" s="933"/>
      <c r="C396" s="446">
        <f>SUM(C378:C395)</f>
        <v>3144736</v>
      </c>
      <c r="D396" s="446">
        <f t="shared" ref="D396:I396" si="164">SUM(D378:D395)</f>
        <v>2695850</v>
      </c>
      <c r="E396" s="446">
        <f t="shared" si="164"/>
        <v>3886</v>
      </c>
      <c r="F396" s="446">
        <f t="shared" si="164"/>
        <v>345000</v>
      </c>
      <c r="G396" s="446">
        <f t="shared" si="164"/>
        <v>0</v>
      </c>
      <c r="H396" s="446">
        <f t="shared" si="164"/>
        <v>0</v>
      </c>
      <c r="I396" s="446">
        <f t="shared" si="164"/>
        <v>100000</v>
      </c>
      <c r="J396" s="552">
        <f>SUM(J378:J395)</f>
        <v>3144736</v>
      </c>
      <c r="K396" s="431">
        <f t="shared" si="156"/>
        <v>0</v>
      </c>
      <c r="L396" s="584"/>
    </row>
    <row r="397" spans="1:16" ht="15.75" thickBot="1" x14ac:dyDescent="0.3">
      <c r="A397" s="430"/>
      <c r="B397" s="448"/>
      <c r="C397" s="449"/>
      <c r="D397" s="276"/>
      <c r="E397" s="276"/>
      <c r="F397" s="447"/>
      <c r="G397" s="447"/>
      <c r="H397" s="447"/>
      <c r="I397" s="276"/>
      <c r="J397" s="548">
        <f>SUM(D397:I397)</f>
        <v>0</v>
      </c>
      <c r="K397" s="431">
        <f t="shared" si="156"/>
        <v>0</v>
      </c>
    </row>
    <row r="398" spans="1:16" ht="15.75" thickBot="1" x14ac:dyDescent="0.3">
      <c r="A398" s="932" t="s">
        <v>234</v>
      </c>
      <c r="B398" s="933"/>
      <c r="C398" s="446">
        <f>SUM(C397:C397)</f>
        <v>0</v>
      </c>
      <c r="D398" s="446">
        <f t="shared" ref="D398:I398" si="165">SUM(D397:D397)</f>
        <v>0</v>
      </c>
      <c r="E398" s="446">
        <f t="shared" si="165"/>
        <v>0</v>
      </c>
      <c r="F398" s="446">
        <f t="shared" si="165"/>
        <v>0</v>
      </c>
      <c r="G398" s="446">
        <f t="shared" ref="G398" si="166">SUM(G397:G397)</f>
        <v>0</v>
      </c>
      <c r="H398" s="446">
        <f t="shared" si="165"/>
        <v>0</v>
      </c>
      <c r="I398" s="446">
        <f t="shared" si="165"/>
        <v>0</v>
      </c>
      <c r="J398" s="552">
        <f>SUM(J397:J397)</f>
        <v>0</v>
      </c>
      <c r="K398" s="431">
        <f t="shared" si="156"/>
        <v>0</v>
      </c>
    </row>
    <row r="399" spans="1:16" ht="18.75" thickBot="1" x14ac:dyDescent="0.3">
      <c r="A399" s="934" t="s">
        <v>252</v>
      </c>
      <c r="B399" s="935"/>
      <c r="C399" s="446">
        <f>C396+C398</f>
        <v>3144736</v>
      </c>
      <c r="D399" s="446">
        <f t="shared" ref="D399:I399" si="167">D396+D398</f>
        <v>2695850</v>
      </c>
      <c r="E399" s="446">
        <f t="shared" si="167"/>
        <v>3886</v>
      </c>
      <c r="F399" s="446">
        <f t="shared" si="167"/>
        <v>345000</v>
      </c>
      <c r="G399" s="446">
        <f t="shared" ref="G399" si="168">G396+G398</f>
        <v>0</v>
      </c>
      <c r="H399" s="446">
        <f t="shared" si="167"/>
        <v>0</v>
      </c>
      <c r="I399" s="446">
        <f t="shared" si="167"/>
        <v>100000</v>
      </c>
      <c r="J399" s="552">
        <f>J396+J398</f>
        <v>3144736</v>
      </c>
      <c r="K399" s="431">
        <f t="shared" si="156"/>
        <v>0</v>
      </c>
      <c r="L399" s="533">
        <f>SUM(L379:L395)</f>
        <v>3144736</v>
      </c>
    </row>
    <row r="400" spans="1:16" x14ac:dyDescent="0.25">
      <c r="A400" s="450"/>
      <c r="B400" s="583" t="s">
        <v>354</v>
      </c>
      <c r="C400" s="451"/>
      <c r="E400" s="453"/>
      <c r="F400" s="566">
        <v>345000</v>
      </c>
      <c r="G400" s="567">
        <f>185000+16800</f>
        <v>201800</v>
      </c>
      <c r="H400" s="566">
        <v>9000</v>
      </c>
      <c r="I400" s="454"/>
      <c r="J400" s="455"/>
      <c r="K400" s="456"/>
    </row>
    <row r="401" spans="1:14" x14ac:dyDescent="0.25">
      <c r="A401" s="450"/>
      <c r="B401" s="450"/>
      <c r="C401" s="451"/>
      <c r="E401" s="453"/>
      <c r="F401" s="426">
        <f>F400-F399</f>
        <v>0</v>
      </c>
      <c r="G401" s="565">
        <f>F400+G400</f>
        <v>546800</v>
      </c>
      <c r="H401" s="452"/>
      <c r="I401" s="454"/>
      <c r="J401" s="455"/>
      <c r="K401" s="456"/>
    </row>
    <row r="402" spans="1:14" x14ac:dyDescent="0.25">
      <c r="A402" s="427"/>
      <c r="B402" s="538" t="s">
        <v>315</v>
      </c>
      <c r="C402" s="529" t="s">
        <v>299</v>
      </c>
      <c r="D402" s="520">
        <v>2590450</v>
      </c>
      <c r="E402" s="474">
        <v>3000</v>
      </c>
      <c r="G402" s="460"/>
      <c r="H402" s="460"/>
      <c r="I402" s="427"/>
      <c r="J402" s="520">
        <f>SUM(D402:I402)</f>
        <v>2593450</v>
      </c>
    </row>
    <row r="403" spans="1:14" ht="15.75" x14ac:dyDescent="0.25">
      <c r="A403" s="427"/>
      <c r="C403" s="529" t="s">
        <v>300</v>
      </c>
      <c r="D403" s="528">
        <f>105400</f>
        <v>105400</v>
      </c>
      <c r="E403" s="527">
        <v>886</v>
      </c>
      <c r="F403" s="563"/>
      <c r="G403" s="426"/>
      <c r="H403" s="457"/>
      <c r="I403" s="527">
        <v>100000</v>
      </c>
      <c r="J403" s="520">
        <f>SUM(D403:I403)</f>
        <v>206286</v>
      </c>
    </row>
    <row r="404" spans="1:14" x14ac:dyDescent="0.25">
      <c r="A404" s="427"/>
      <c r="C404" s="427"/>
      <c r="D404" s="520">
        <f>SUM(D402:D403)</f>
        <v>2695850</v>
      </c>
      <c r="E404" s="427"/>
      <c r="F404" s="427"/>
      <c r="G404" s="427"/>
      <c r="H404" s="427"/>
      <c r="I404" s="539"/>
      <c r="J404" s="427"/>
      <c r="K404" s="427"/>
    </row>
    <row r="405" spans="1:14" x14ac:dyDescent="0.25">
      <c r="B405" s="734" t="s">
        <v>480</v>
      </c>
      <c r="D405" s="474">
        <f>D404-D399</f>
        <v>0</v>
      </c>
    </row>
    <row r="406" spans="1:14" x14ac:dyDescent="0.25">
      <c r="B406" t="s">
        <v>185</v>
      </c>
      <c r="N406">
        <v>3</v>
      </c>
    </row>
  </sheetData>
  <sortState ref="N390:P400">
    <sortCondition ref="N390"/>
  </sortState>
  <mergeCells count="55">
    <mergeCell ref="A1:I1"/>
    <mergeCell ref="N3:P3"/>
    <mergeCell ref="A34:B34"/>
    <mergeCell ref="A36:B36"/>
    <mergeCell ref="A37:B37"/>
    <mergeCell ref="A239:I239"/>
    <mergeCell ref="N240:P240"/>
    <mergeCell ref="A260:B260"/>
    <mergeCell ref="A262:B262"/>
    <mergeCell ref="A263:B263"/>
    <mergeCell ref="A307:I307"/>
    <mergeCell ref="N308:P308"/>
    <mergeCell ref="A328:B328"/>
    <mergeCell ref="A330:B330"/>
    <mergeCell ref="A331:B331"/>
    <mergeCell ref="A341:I341"/>
    <mergeCell ref="N342:P342"/>
    <mergeCell ref="A362:B362"/>
    <mergeCell ref="A364:B364"/>
    <mergeCell ref="A365:B365"/>
    <mergeCell ref="A375:I375"/>
    <mergeCell ref="A396:B396"/>
    <mergeCell ref="A398:B398"/>
    <mergeCell ref="A399:B399"/>
    <mergeCell ref="N376:P376"/>
    <mergeCell ref="A273:I273"/>
    <mergeCell ref="N274:P274"/>
    <mergeCell ref="A294:B294"/>
    <mergeCell ref="A296:B296"/>
    <mergeCell ref="A297:B297"/>
    <mergeCell ref="A205:I205"/>
    <mergeCell ref="N206:P206"/>
    <mergeCell ref="A227:B227"/>
    <mergeCell ref="A229:B229"/>
    <mergeCell ref="A230:B230"/>
    <mergeCell ref="A170:I170"/>
    <mergeCell ref="N171:P171"/>
    <mergeCell ref="A193:B193"/>
    <mergeCell ref="A195:B195"/>
    <mergeCell ref="A196:B196"/>
    <mergeCell ref="A134:I134"/>
    <mergeCell ref="N135:P135"/>
    <mergeCell ref="A158:B158"/>
    <mergeCell ref="A160:B160"/>
    <mergeCell ref="A161:B161"/>
    <mergeCell ref="A90:I90"/>
    <mergeCell ref="N91:P91"/>
    <mergeCell ref="A122:B122"/>
    <mergeCell ref="A124:B124"/>
    <mergeCell ref="A125:B125"/>
    <mergeCell ref="A46:I46"/>
    <mergeCell ref="N47:P47"/>
    <mergeCell ref="A78:B78"/>
    <mergeCell ref="A80:B80"/>
    <mergeCell ref="A81:B81"/>
  </mergeCells>
  <pageMargins left="0.7" right="0.7" top="0.75" bottom="0.75" header="0.3" footer="0.3"/>
  <pageSetup paperSize="9" scale="1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B6FD8-5186-41DE-AC9F-58EB7B17F2F5}">
  <sheetPr>
    <pageSetUpPr fitToPage="1"/>
  </sheetPr>
  <dimension ref="A1:AV76"/>
  <sheetViews>
    <sheetView zoomScale="83" zoomScaleNormal="83" workbookViewId="0">
      <pane ySplit="7" topLeftCell="A8" activePane="bottomLeft" state="frozen"/>
      <selection pane="bottomLeft" sqref="A1:C1"/>
    </sheetView>
  </sheetViews>
  <sheetFormatPr defaultRowHeight="15" x14ac:dyDescent="0.25"/>
  <cols>
    <col min="2" max="2" width="48.5703125" customWidth="1"/>
    <col min="3" max="3" width="13.28515625" customWidth="1"/>
    <col min="6" max="6" width="54.7109375" customWidth="1"/>
    <col min="7" max="7" width="14.7109375" customWidth="1"/>
    <col min="10" max="10" width="55.42578125" customWidth="1"/>
    <col min="11" max="11" width="13" customWidth="1"/>
    <col min="14" max="14" width="46" customWidth="1"/>
    <col min="15" max="15" width="13.42578125" customWidth="1"/>
    <col min="18" max="18" width="43.28515625" customWidth="1"/>
    <col min="19" max="19" width="13.140625" customWidth="1"/>
    <col min="22" max="22" width="48.7109375" customWidth="1"/>
    <col min="23" max="23" width="14.140625" customWidth="1"/>
    <col min="26" max="26" width="44" customWidth="1"/>
    <col min="27" max="27" width="12.85546875" customWidth="1"/>
    <col min="30" max="30" width="47.7109375" customWidth="1"/>
    <col min="31" max="31" width="14.85546875" customWidth="1"/>
    <col min="34" max="34" width="53.85546875" customWidth="1"/>
    <col min="35" max="35" width="13.5703125" customWidth="1"/>
    <col min="38" max="38" width="50.7109375" customWidth="1"/>
    <col min="39" max="39" width="12.5703125" customWidth="1"/>
    <col min="41" max="41" width="8.85546875" customWidth="1"/>
    <col min="42" max="42" width="45.42578125" customWidth="1"/>
    <col min="43" max="43" width="12.42578125" customWidth="1"/>
    <col min="44" max="44" width="16.28515625" customWidth="1"/>
    <col min="46" max="46" width="52.140625" customWidth="1"/>
    <col min="47" max="47" width="14.42578125" customWidth="1"/>
  </cols>
  <sheetData>
    <row r="1" spans="1:47" ht="18" x14ac:dyDescent="0.25">
      <c r="A1" s="917" t="s">
        <v>943</v>
      </c>
      <c r="B1" s="917"/>
      <c r="C1" s="917"/>
      <c r="E1" s="917" t="s">
        <v>883</v>
      </c>
      <c r="F1" s="917"/>
      <c r="G1" s="917"/>
      <c r="I1" s="917" t="s">
        <v>857</v>
      </c>
      <c r="J1" s="917"/>
      <c r="K1" s="917"/>
      <c r="M1" s="917" t="s">
        <v>776</v>
      </c>
      <c r="N1" s="917"/>
      <c r="O1" s="917"/>
      <c r="Q1" s="917" t="s">
        <v>753</v>
      </c>
      <c r="R1" s="917"/>
      <c r="S1" s="917"/>
      <c r="U1" s="917" t="s">
        <v>727</v>
      </c>
      <c r="V1" s="917"/>
      <c r="W1" s="917"/>
      <c r="Y1" s="917" t="s">
        <v>657</v>
      </c>
      <c r="Z1" s="917"/>
      <c r="AA1" s="917"/>
      <c r="AC1" s="917" t="s">
        <v>620</v>
      </c>
      <c r="AD1" s="917"/>
      <c r="AE1" s="917"/>
      <c r="AG1" s="917" t="s">
        <v>570</v>
      </c>
      <c r="AH1" s="917"/>
      <c r="AI1" s="917"/>
      <c r="AK1" s="917" t="s">
        <v>528</v>
      </c>
      <c r="AL1" s="917"/>
      <c r="AM1" s="917"/>
      <c r="AO1" s="917" t="s">
        <v>424</v>
      </c>
      <c r="AP1" s="917"/>
      <c r="AQ1" s="917"/>
      <c r="AS1" s="917" t="s">
        <v>422</v>
      </c>
      <c r="AT1" s="917"/>
      <c r="AU1" s="917"/>
    </row>
    <row r="2" spans="1:47" x14ac:dyDescent="0.25">
      <c r="A2" s="918" t="s">
        <v>403</v>
      </c>
      <c r="B2" s="918"/>
      <c r="C2" s="918"/>
      <c r="E2" s="918" t="s">
        <v>403</v>
      </c>
      <c r="F2" s="918"/>
      <c r="G2" s="918"/>
      <c r="I2" s="918" t="s">
        <v>403</v>
      </c>
      <c r="J2" s="918"/>
      <c r="K2" s="918"/>
      <c r="M2" s="918" t="s">
        <v>403</v>
      </c>
      <c r="N2" s="918"/>
      <c r="O2" s="918"/>
      <c r="Q2" s="918" t="s">
        <v>403</v>
      </c>
      <c r="R2" s="918"/>
      <c r="S2" s="918"/>
      <c r="U2" s="918" t="s">
        <v>403</v>
      </c>
      <c r="V2" s="918"/>
      <c r="W2" s="918"/>
      <c r="Y2" s="918" t="s">
        <v>403</v>
      </c>
      <c r="Z2" s="918"/>
      <c r="AA2" s="918"/>
      <c r="AC2" s="918" t="s">
        <v>403</v>
      </c>
      <c r="AD2" s="918"/>
      <c r="AE2" s="918"/>
      <c r="AG2" s="918" t="s">
        <v>403</v>
      </c>
      <c r="AH2" s="918"/>
      <c r="AI2" s="918"/>
      <c r="AK2" s="918" t="s">
        <v>403</v>
      </c>
      <c r="AL2" s="918"/>
      <c r="AM2" s="918"/>
      <c r="AO2" s="918" t="s">
        <v>403</v>
      </c>
      <c r="AP2" s="918"/>
      <c r="AQ2" s="918"/>
      <c r="AS2" s="918" t="s">
        <v>403</v>
      </c>
      <c r="AT2" s="918"/>
      <c r="AU2" s="918"/>
    </row>
    <row r="3" spans="1:47" x14ac:dyDescent="0.25">
      <c r="A3" s="919" t="s">
        <v>404</v>
      </c>
      <c r="B3" s="919"/>
      <c r="C3" s="919"/>
      <c r="E3" s="919" t="s">
        <v>404</v>
      </c>
      <c r="F3" s="919"/>
      <c r="G3" s="919"/>
      <c r="I3" s="919" t="s">
        <v>404</v>
      </c>
      <c r="J3" s="919"/>
      <c r="K3" s="919"/>
      <c r="M3" s="919" t="s">
        <v>404</v>
      </c>
      <c r="N3" s="919"/>
      <c r="O3" s="919"/>
      <c r="Q3" s="919" t="s">
        <v>404</v>
      </c>
      <c r="R3" s="919"/>
      <c r="S3" s="919"/>
      <c r="U3" s="919" t="s">
        <v>404</v>
      </c>
      <c r="V3" s="919"/>
      <c r="W3" s="919"/>
      <c r="Y3" s="919" t="s">
        <v>404</v>
      </c>
      <c r="Z3" s="919"/>
      <c r="AA3" s="919"/>
      <c r="AC3" s="919" t="s">
        <v>404</v>
      </c>
      <c r="AD3" s="919"/>
      <c r="AE3" s="919"/>
      <c r="AG3" s="919" t="s">
        <v>404</v>
      </c>
      <c r="AH3" s="919"/>
      <c r="AI3" s="919"/>
      <c r="AK3" s="919" t="s">
        <v>404</v>
      </c>
      <c r="AL3" s="919"/>
      <c r="AM3" s="919"/>
      <c r="AO3" s="919" t="s">
        <v>404</v>
      </c>
      <c r="AP3" s="919"/>
      <c r="AQ3" s="919"/>
      <c r="AS3" s="919" t="s">
        <v>404</v>
      </c>
      <c r="AT3" s="919"/>
      <c r="AU3" s="919"/>
    </row>
    <row r="4" spans="1:47" x14ac:dyDescent="0.25">
      <c r="A4" s="862"/>
      <c r="B4" s="862"/>
      <c r="C4" s="862"/>
      <c r="E4" s="852"/>
      <c r="F4" s="852"/>
      <c r="G4" s="852"/>
      <c r="I4" s="849"/>
      <c r="J4" s="849"/>
      <c r="K4" s="849"/>
      <c r="M4" s="827"/>
      <c r="N4" s="827"/>
      <c r="O4" s="827"/>
      <c r="Q4" s="825"/>
      <c r="R4" s="825"/>
      <c r="S4" s="825"/>
      <c r="U4" s="824"/>
      <c r="V4" s="824"/>
      <c r="W4" s="824"/>
      <c r="Y4" s="791"/>
      <c r="Z4" s="791"/>
      <c r="AA4" s="791"/>
      <c r="AC4" s="783"/>
      <c r="AD4" s="783"/>
      <c r="AE4" s="783"/>
      <c r="AG4" s="778"/>
      <c r="AH4" s="778"/>
      <c r="AI4" s="778"/>
      <c r="AK4" s="768"/>
      <c r="AL4" s="768"/>
      <c r="AM4" s="768"/>
      <c r="AO4" s="615"/>
      <c r="AP4" s="615"/>
      <c r="AQ4" s="615"/>
      <c r="AS4" s="615"/>
      <c r="AT4" s="615"/>
      <c r="AU4" s="615"/>
    </row>
    <row r="5" spans="1:47" ht="15.75" thickBot="1" x14ac:dyDescent="0.3">
      <c r="A5" s="909" t="s">
        <v>405</v>
      </c>
      <c r="B5" s="909"/>
      <c r="C5" s="909"/>
      <c r="E5" s="909" t="s">
        <v>405</v>
      </c>
      <c r="F5" s="909"/>
      <c r="G5" s="909"/>
      <c r="I5" s="909" t="s">
        <v>405</v>
      </c>
      <c r="J5" s="909"/>
      <c r="K5" s="909"/>
      <c r="M5" s="909" t="s">
        <v>405</v>
      </c>
      <c r="N5" s="909"/>
      <c r="O5" s="909"/>
      <c r="Q5" s="909" t="s">
        <v>405</v>
      </c>
      <c r="R5" s="909"/>
      <c r="S5" s="909"/>
      <c r="U5" s="909" t="s">
        <v>405</v>
      </c>
      <c r="V5" s="909"/>
      <c r="W5" s="909"/>
      <c r="Y5" s="909" t="s">
        <v>405</v>
      </c>
      <c r="Z5" s="909"/>
      <c r="AA5" s="909"/>
      <c r="AC5" s="909" t="s">
        <v>405</v>
      </c>
      <c r="AD5" s="909"/>
      <c r="AE5" s="909"/>
      <c r="AG5" s="909" t="s">
        <v>405</v>
      </c>
      <c r="AH5" s="909"/>
      <c r="AI5" s="909"/>
      <c r="AK5" s="909" t="s">
        <v>405</v>
      </c>
      <c r="AL5" s="909"/>
      <c r="AM5" s="909"/>
      <c r="AO5" s="909" t="s">
        <v>405</v>
      </c>
      <c r="AP5" s="909"/>
      <c r="AQ5" s="909"/>
      <c r="AS5" s="909" t="s">
        <v>405</v>
      </c>
      <c r="AT5" s="909"/>
      <c r="AU5" s="909"/>
    </row>
    <row r="6" spans="1:47" ht="15.75" thickBot="1" x14ac:dyDescent="0.3">
      <c r="A6" s="616" t="s">
        <v>406</v>
      </c>
      <c r="B6" s="617" t="s">
        <v>407</v>
      </c>
      <c r="C6" s="618" t="s">
        <v>408</v>
      </c>
      <c r="E6" s="616" t="s">
        <v>406</v>
      </c>
      <c r="F6" s="617" t="s">
        <v>407</v>
      </c>
      <c r="G6" s="618" t="s">
        <v>408</v>
      </c>
      <c r="I6" s="616" t="s">
        <v>406</v>
      </c>
      <c r="J6" s="617" t="s">
        <v>407</v>
      </c>
      <c r="K6" s="618" t="s">
        <v>408</v>
      </c>
      <c r="M6" s="616" t="s">
        <v>406</v>
      </c>
      <c r="N6" s="617" t="s">
        <v>407</v>
      </c>
      <c r="O6" s="618" t="s">
        <v>408</v>
      </c>
      <c r="Q6" s="616" t="s">
        <v>406</v>
      </c>
      <c r="R6" s="617" t="s">
        <v>407</v>
      </c>
      <c r="S6" s="618" t="s">
        <v>408</v>
      </c>
      <c r="U6" s="616" t="s">
        <v>406</v>
      </c>
      <c r="V6" s="617" t="s">
        <v>407</v>
      </c>
      <c r="W6" s="618" t="s">
        <v>408</v>
      </c>
      <c r="Y6" s="616" t="s">
        <v>406</v>
      </c>
      <c r="Z6" s="617" t="s">
        <v>407</v>
      </c>
      <c r="AA6" s="618" t="s">
        <v>408</v>
      </c>
      <c r="AC6" s="616" t="s">
        <v>406</v>
      </c>
      <c r="AD6" s="617" t="s">
        <v>407</v>
      </c>
      <c r="AE6" s="618" t="s">
        <v>408</v>
      </c>
      <c r="AG6" s="616" t="s">
        <v>406</v>
      </c>
      <c r="AH6" s="617" t="s">
        <v>407</v>
      </c>
      <c r="AI6" s="618" t="s">
        <v>408</v>
      </c>
      <c r="AK6" s="616" t="s">
        <v>406</v>
      </c>
      <c r="AL6" s="617" t="s">
        <v>407</v>
      </c>
      <c r="AM6" s="618" t="s">
        <v>408</v>
      </c>
      <c r="AO6" s="616" t="s">
        <v>406</v>
      </c>
      <c r="AP6" s="617" t="s">
        <v>407</v>
      </c>
      <c r="AQ6" s="618" t="s">
        <v>408</v>
      </c>
      <c r="AS6" s="616" t="s">
        <v>406</v>
      </c>
      <c r="AT6" s="617" t="s">
        <v>407</v>
      </c>
      <c r="AU6" s="618" t="s">
        <v>408</v>
      </c>
    </row>
    <row r="7" spans="1:47" ht="15.75" thickBot="1" x14ac:dyDescent="0.3">
      <c r="A7" s="910" t="s">
        <v>409</v>
      </c>
      <c r="B7" s="911"/>
      <c r="C7" s="619">
        <f>SUM(C8:C21)</f>
        <v>27316</v>
      </c>
      <c r="E7" s="910" t="s">
        <v>409</v>
      </c>
      <c r="F7" s="911"/>
      <c r="G7" s="619">
        <f>SUM(G8:G15)</f>
        <v>30173</v>
      </c>
      <c r="I7" s="910" t="s">
        <v>409</v>
      </c>
      <c r="J7" s="911"/>
      <c r="K7" s="619">
        <f>SUM(K8:K16)</f>
        <v>24848</v>
      </c>
      <c r="M7" s="910" t="s">
        <v>409</v>
      </c>
      <c r="N7" s="911"/>
      <c r="O7" s="619">
        <f>SUM(O8:O13)</f>
        <v>41281</v>
      </c>
      <c r="Q7" s="910" t="s">
        <v>409</v>
      </c>
      <c r="R7" s="911"/>
      <c r="S7" s="619">
        <f>SUM(S8:S12)</f>
        <v>1600</v>
      </c>
      <c r="U7" s="910" t="s">
        <v>409</v>
      </c>
      <c r="V7" s="911"/>
      <c r="W7" s="619">
        <f>SUM(W8:W15)</f>
        <v>2197</v>
      </c>
      <c r="Y7" s="910" t="s">
        <v>409</v>
      </c>
      <c r="Z7" s="911"/>
      <c r="AA7" s="619">
        <f>SUM(AA8:AA16)</f>
        <v>4399</v>
      </c>
      <c r="AC7" s="910" t="s">
        <v>409</v>
      </c>
      <c r="AD7" s="911"/>
      <c r="AE7" s="619">
        <f>SUM(AE8:AE14)</f>
        <v>97829</v>
      </c>
      <c r="AG7" s="910" t="s">
        <v>409</v>
      </c>
      <c r="AH7" s="911"/>
      <c r="AI7" s="619">
        <f>SUM(AI8:AI16)</f>
        <v>11956</v>
      </c>
      <c r="AK7" s="910" t="s">
        <v>409</v>
      </c>
      <c r="AL7" s="911"/>
      <c r="AM7" s="619">
        <f>SUM(AM8:AM9)</f>
        <v>0</v>
      </c>
      <c r="AO7" s="910" t="s">
        <v>409</v>
      </c>
      <c r="AP7" s="911"/>
      <c r="AQ7" s="619">
        <f>SUM(AQ8:AQ17)</f>
        <v>-6776</v>
      </c>
      <c r="AS7" s="910" t="s">
        <v>409</v>
      </c>
      <c r="AT7" s="911"/>
      <c r="AU7" s="619">
        <f>SUM(AU8:AU19)</f>
        <v>-328</v>
      </c>
    </row>
    <row r="8" spans="1:47" x14ac:dyDescent="0.25">
      <c r="A8" s="620">
        <v>121</v>
      </c>
      <c r="B8" s="621" t="s">
        <v>948</v>
      </c>
      <c r="C8" s="622">
        <f>-3060+3600-2160+1620</f>
        <v>0</v>
      </c>
      <c r="E8" s="620">
        <v>311</v>
      </c>
      <c r="F8" s="621" t="s">
        <v>860</v>
      </c>
      <c r="G8" s="622">
        <v>100</v>
      </c>
      <c r="I8" s="620">
        <v>311</v>
      </c>
      <c r="J8" s="621" t="s">
        <v>860</v>
      </c>
      <c r="K8" s="622">
        <v>150</v>
      </c>
      <c r="M8" s="620">
        <v>292</v>
      </c>
      <c r="N8" s="621" t="s">
        <v>821</v>
      </c>
      <c r="O8" s="622">
        <f>150-150</f>
        <v>0</v>
      </c>
      <c r="Q8" s="620">
        <v>111</v>
      </c>
      <c r="R8" s="621" t="s">
        <v>754</v>
      </c>
      <c r="S8" s="821">
        <v>-1900</v>
      </c>
      <c r="U8" s="620">
        <v>221</v>
      </c>
      <c r="V8" s="621" t="s">
        <v>728</v>
      </c>
      <c r="W8" s="821">
        <f>200-200</f>
        <v>0</v>
      </c>
      <c r="Y8" s="620">
        <v>292</v>
      </c>
      <c r="Z8" s="621" t="s">
        <v>726</v>
      </c>
      <c r="AA8" s="821">
        <v>924</v>
      </c>
      <c r="AC8" s="620">
        <v>312</v>
      </c>
      <c r="AD8" s="621" t="s">
        <v>622</v>
      </c>
      <c r="AE8" s="622">
        <v>3000</v>
      </c>
      <c r="AG8" s="620">
        <v>212</v>
      </c>
      <c r="AH8" s="621" t="s">
        <v>587</v>
      </c>
      <c r="AI8" s="622">
        <f>36-36</f>
        <v>0</v>
      </c>
      <c r="AK8" s="620">
        <v>212</v>
      </c>
      <c r="AL8" s="621" t="s">
        <v>538</v>
      </c>
      <c r="AM8" s="622">
        <f>-40+40</f>
        <v>0</v>
      </c>
      <c r="AO8" s="620">
        <v>212</v>
      </c>
      <c r="AP8" s="621" t="s">
        <v>518</v>
      </c>
      <c r="AQ8" s="622">
        <f>204-204</f>
        <v>0</v>
      </c>
      <c r="AS8" s="620">
        <v>212</v>
      </c>
      <c r="AT8" s="621" t="s">
        <v>441</v>
      </c>
      <c r="AU8" s="622">
        <f>-20+127+129-236</f>
        <v>0</v>
      </c>
    </row>
    <row r="9" spans="1:47" x14ac:dyDescent="0.25">
      <c r="A9" s="620">
        <v>223</v>
      </c>
      <c r="B9" s="621" t="s">
        <v>949</v>
      </c>
      <c r="C9" s="622">
        <f>-10+10</f>
        <v>0</v>
      </c>
      <c r="E9" s="620">
        <v>312</v>
      </c>
      <c r="F9" s="621" t="s">
        <v>908</v>
      </c>
      <c r="G9" s="622">
        <f>22980+1900</f>
        <v>24880</v>
      </c>
      <c r="I9" s="620">
        <v>312</v>
      </c>
      <c r="J9" s="621" t="s">
        <v>730</v>
      </c>
      <c r="K9" s="622">
        <v>7467</v>
      </c>
      <c r="M9" s="620">
        <v>312</v>
      </c>
      <c r="N9" s="621" t="s">
        <v>822</v>
      </c>
      <c r="O9" s="622">
        <v>-2597</v>
      </c>
      <c r="Q9" s="620">
        <v>221</v>
      </c>
      <c r="R9" s="621" t="s">
        <v>755</v>
      </c>
      <c r="S9" s="622">
        <v>1900</v>
      </c>
      <c r="U9" s="620">
        <v>312</v>
      </c>
      <c r="V9" s="621" t="s">
        <v>730</v>
      </c>
      <c r="W9" s="622">
        <v>-13</v>
      </c>
      <c r="Y9" s="620">
        <v>292</v>
      </c>
      <c r="Z9" s="621" t="s">
        <v>725</v>
      </c>
      <c r="AA9" s="622">
        <v>-924</v>
      </c>
      <c r="AC9" s="620">
        <v>312</v>
      </c>
      <c r="AD9" s="621" t="s">
        <v>706</v>
      </c>
      <c r="AE9" s="622">
        <v>63800</v>
      </c>
      <c r="AG9" s="620">
        <v>292</v>
      </c>
      <c r="AH9" s="621" t="s">
        <v>586</v>
      </c>
      <c r="AI9" s="622">
        <f>-924+924</f>
        <v>0</v>
      </c>
      <c r="AK9" s="620"/>
      <c r="AL9" s="621"/>
      <c r="AM9" s="622"/>
      <c r="AO9" s="620">
        <v>223</v>
      </c>
      <c r="AP9" s="621" t="s">
        <v>519</v>
      </c>
      <c r="AQ9" s="622">
        <f>200-200</f>
        <v>0</v>
      </c>
      <c r="AS9" s="620">
        <v>292</v>
      </c>
      <c r="AT9" s="621" t="s">
        <v>426</v>
      </c>
      <c r="AU9" s="622">
        <v>15</v>
      </c>
    </row>
    <row r="10" spans="1:47" ht="15.75" thickBot="1" x14ac:dyDescent="0.3">
      <c r="A10" s="620">
        <v>223</v>
      </c>
      <c r="B10" s="621" t="s">
        <v>950</v>
      </c>
      <c r="C10" s="622">
        <v>1000</v>
      </c>
      <c r="E10" s="620">
        <v>312</v>
      </c>
      <c r="F10" s="621" t="s">
        <v>905</v>
      </c>
      <c r="G10" s="622">
        <v>350</v>
      </c>
      <c r="I10" s="620">
        <v>312</v>
      </c>
      <c r="J10" s="621" t="s">
        <v>729</v>
      </c>
      <c r="K10" s="622">
        <v>6429</v>
      </c>
      <c r="M10" s="620">
        <v>312</v>
      </c>
      <c r="N10" s="621" t="s">
        <v>824</v>
      </c>
      <c r="O10" s="622">
        <f>25520+4505</f>
        <v>30025</v>
      </c>
      <c r="Q10" s="620">
        <v>312</v>
      </c>
      <c r="R10" s="621" t="s">
        <v>756</v>
      </c>
      <c r="S10" s="622">
        <v>600</v>
      </c>
      <c r="U10" s="620">
        <v>312</v>
      </c>
      <c r="V10" s="621" t="s">
        <v>731</v>
      </c>
      <c r="W10" s="622">
        <v>3076</v>
      </c>
      <c r="X10" s="426">
        <f>SUM(W9:W10)</f>
        <v>3063</v>
      </c>
      <c r="Y10" s="620">
        <v>311</v>
      </c>
      <c r="Z10" s="621" t="s">
        <v>687</v>
      </c>
      <c r="AA10" s="622">
        <v>3000</v>
      </c>
      <c r="AC10" s="620">
        <v>312</v>
      </c>
      <c r="AD10" s="621" t="s">
        <v>642</v>
      </c>
      <c r="AE10" s="622">
        <v>380</v>
      </c>
      <c r="AG10" s="620">
        <v>312</v>
      </c>
      <c r="AH10" s="621" t="s">
        <v>592</v>
      </c>
      <c r="AI10" s="622">
        <v>15</v>
      </c>
      <c r="AK10" s="938" t="s">
        <v>405</v>
      </c>
      <c r="AL10" s="921"/>
      <c r="AM10" s="922"/>
      <c r="AO10" s="620">
        <v>292</v>
      </c>
      <c r="AP10" s="621" t="s">
        <v>463</v>
      </c>
      <c r="AQ10" s="622">
        <f>-4250+4250</f>
        <v>0</v>
      </c>
      <c r="AS10" s="620">
        <v>292</v>
      </c>
      <c r="AT10" s="621" t="s">
        <v>463</v>
      </c>
      <c r="AU10" s="622">
        <f>4250-4250</f>
        <v>0</v>
      </c>
    </row>
    <row r="11" spans="1:47" ht="15.75" thickBot="1" x14ac:dyDescent="0.3">
      <c r="A11" s="620">
        <v>223</v>
      </c>
      <c r="B11" s="621" t="s">
        <v>951</v>
      </c>
      <c r="C11" s="622">
        <v>-1000</v>
      </c>
      <c r="E11" s="620">
        <v>312</v>
      </c>
      <c r="F11" s="621" t="s">
        <v>907</v>
      </c>
      <c r="G11" s="622">
        <f>99+25</f>
        <v>124</v>
      </c>
      <c r="I11" s="620">
        <v>312</v>
      </c>
      <c r="J11" s="621" t="s">
        <v>861</v>
      </c>
      <c r="K11" s="622">
        <v>450</v>
      </c>
      <c r="M11" s="620">
        <v>312</v>
      </c>
      <c r="N11" s="621" t="s">
        <v>730</v>
      </c>
      <c r="O11" s="622">
        <v>3274</v>
      </c>
      <c r="Q11" s="620">
        <v>312</v>
      </c>
      <c r="R11" s="621" t="s">
        <v>757</v>
      </c>
      <c r="S11" s="622">
        <v>1000</v>
      </c>
      <c r="U11" s="620">
        <v>312</v>
      </c>
      <c r="V11" s="621" t="s">
        <v>729</v>
      </c>
      <c r="W11" s="622">
        <v>-48</v>
      </c>
      <c r="Y11" s="620">
        <v>312</v>
      </c>
      <c r="Z11" s="621" t="s">
        <v>672</v>
      </c>
      <c r="AA11" s="622">
        <v>570</v>
      </c>
      <c r="AC11" s="620">
        <v>312</v>
      </c>
      <c r="AD11" s="621" t="s">
        <v>643</v>
      </c>
      <c r="AE11" s="622">
        <v>220</v>
      </c>
      <c r="AG11" s="620">
        <v>312</v>
      </c>
      <c r="AH11" s="621" t="s">
        <v>607</v>
      </c>
      <c r="AI11" s="622">
        <v>580</v>
      </c>
      <c r="AK11" s="912" t="s">
        <v>156</v>
      </c>
      <c r="AL11" s="923"/>
      <c r="AM11" s="623">
        <f>SUM(AM12:AM12)</f>
        <v>0</v>
      </c>
      <c r="AO11" s="620">
        <v>312</v>
      </c>
      <c r="AP11" s="621" t="s">
        <v>444</v>
      </c>
      <c r="AQ11" s="622">
        <v>413</v>
      </c>
      <c r="AS11" s="620">
        <v>292</v>
      </c>
      <c r="AT11" s="621" t="s">
        <v>442</v>
      </c>
      <c r="AU11" s="622">
        <f>1-1</f>
        <v>0</v>
      </c>
    </row>
    <row r="12" spans="1:47" ht="15.75" thickBot="1" x14ac:dyDescent="0.3">
      <c r="A12" s="620">
        <v>223</v>
      </c>
      <c r="B12" s="621" t="s">
        <v>952</v>
      </c>
      <c r="C12" s="622">
        <v>35</v>
      </c>
      <c r="E12" s="620">
        <v>312</v>
      </c>
      <c r="F12" s="621" t="s">
        <v>884</v>
      </c>
      <c r="G12" s="622">
        <v>64</v>
      </c>
      <c r="I12" s="620">
        <v>312</v>
      </c>
      <c r="J12" s="621" t="s">
        <v>862</v>
      </c>
      <c r="K12" s="622">
        <v>2330</v>
      </c>
      <c r="M12" s="620">
        <v>312</v>
      </c>
      <c r="N12" s="621" t="s">
        <v>729</v>
      </c>
      <c r="O12" s="622">
        <v>10579</v>
      </c>
      <c r="Q12" s="938"/>
      <c r="R12" s="921"/>
      <c r="S12" s="922"/>
      <c r="U12" s="620">
        <v>312</v>
      </c>
      <c r="V12" s="621" t="s">
        <v>734</v>
      </c>
      <c r="W12" s="622">
        <v>6990</v>
      </c>
      <c r="Y12" s="620">
        <v>312</v>
      </c>
      <c r="Z12" s="621" t="s">
        <v>671</v>
      </c>
      <c r="AA12" s="622">
        <f>6600+1170</f>
        <v>7770</v>
      </c>
      <c r="AC12" s="620">
        <v>312</v>
      </c>
      <c r="AD12" s="621" t="s">
        <v>644</v>
      </c>
      <c r="AE12" s="622">
        <v>7627</v>
      </c>
      <c r="AG12" s="620">
        <v>312</v>
      </c>
      <c r="AH12" s="621" t="s">
        <v>588</v>
      </c>
      <c r="AI12" s="622">
        <v>1912</v>
      </c>
      <c r="AK12" s="624"/>
      <c r="AL12" s="625"/>
      <c r="AM12" s="626"/>
      <c r="AO12" s="620">
        <v>312</v>
      </c>
      <c r="AP12" s="621" t="s">
        <v>484</v>
      </c>
      <c r="AQ12" s="622">
        <v>3000</v>
      </c>
      <c r="AS12" s="620">
        <v>312</v>
      </c>
      <c r="AT12" s="621" t="s">
        <v>443</v>
      </c>
      <c r="AU12" s="622">
        <f>57+660</f>
        <v>717</v>
      </c>
    </row>
    <row r="13" spans="1:47" ht="15.75" thickBot="1" x14ac:dyDescent="0.3">
      <c r="A13" s="620">
        <v>223</v>
      </c>
      <c r="B13" s="621" t="s">
        <v>953</v>
      </c>
      <c r="C13" s="622">
        <v>-300</v>
      </c>
      <c r="D13" s="426"/>
      <c r="E13" s="620">
        <v>313</v>
      </c>
      <c r="F13" s="621" t="s">
        <v>904</v>
      </c>
      <c r="G13" s="622">
        <v>-150</v>
      </c>
      <c r="H13" s="426">
        <f>SUM(G11:G13)</f>
        <v>38</v>
      </c>
      <c r="I13" s="620">
        <v>312</v>
      </c>
      <c r="J13" s="621" t="s">
        <v>863</v>
      </c>
      <c r="K13" s="622">
        <v>589</v>
      </c>
      <c r="L13" s="426">
        <f>SUM(K10:K13)</f>
        <v>9798</v>
      </c>
      <c r="M13" s="938"/>
      <c r="N13" s="921"/>
      <c r="O13" s="922"/>
      <c r="Q13" s="912" t="s">
        <v>156</v>
      </c>
      <c r="R13" s="923"/>
      <c r="S13" s="623">
        <f>SUM(S14:S14)</f>
        <v>0</v>
      </c>
      <c r="U13" s="620">
        <v>312</v>
      </c>
      <c r="V13" s="621" t="s">
        <v>733</v>
      </c>
      <c r="W13" s="622">
        <v>-4808</v>
      </c>
      <c r="Y13" s="620">
        <v>312</v>
      </c>
      <c r="Z13" s="621" t="s">
        <v>706</v>
      </c>
      <c r="AA13" s="622">
        <v>4</v>
      </c>
      <c r="AC13" s="620">
        <v>312</v>
      </c>
      <c r="AD13" s="621" t="s">
        <v>645</v>
      </c>
      <c r="AE13" s="622">
        <v>22337</v>
      </c>
      <c r="AG13" s="620">
        <v>312</v>
      </c>
      <c r="AH13" s="621" t="s">
        <v>590</v>
      </c>
      <c r="AI13" s="622">
        <v>1727</v>
      </c>
      <c r="AJ13" s="426">
        <f>SUM(AI12:AI13)</f>
        <v>3639</v>
      </c>
      <c r="AK13" s="914" t="s">
        <v>168</v>
      </c>
      <c r="AL13" s="927"/>
      <c r="AM13" s="627">
        <f>SUM(AM14:AM15)</f>
        <v>0</v>
      </c>
      <c r="AO13" s="620">
        <v>312</v>
      </c>
      <c r="AP13" s="621" t="s">
        <v>485</v>
      </c>
      <c r="AQ13" s="622">
        <v>450</v>
      </c>
      <c r="AR13" s="745">
        <f>SUM(AQ11:AQ13)</f>
        <v>3863</v>
      </c>
      <c r="AS13" s="620">
        <v>312</v>
      </c>
      <c r="AT13" s="621" t="s">
        <v>437</v>
      </c>
      <c r="AU13" s="622">
        <v>-10</v>
      </c>
    </row>
    <row r="14" spans="1:47" ht="15.75" thickBot="1" x14ac:dyDescent="0.3">
      <c r="A14" s="620">
        <v>292</v>
      </c>
      <c r="B14" s="621" t="s">
        <v>954</v>
      </c>
      <c r="C14" s="622">
        <f>-350+350</f>
        <v>0</v>
      </c>
      <c r="E14" s="620">
        <v>312</v>
      </c>
      <c r="F14" s="621" t="s">
        <v>898</v>
      </c>
      <c r="G14" s="622">
        <f>4085+720</f>
        <v>4805</v>
      </c>
      <c r="I14" s="620">
        <v>312</v>
      </c>
      <c r="J14" s="621" t="s">
        <v>865</v>
      </c>
      <c r="K14" s="622">
        <v>5872</v>
      </c>
      <c r="M14" s="912" t="s">
        <v>156</v>
      </c>
      <c r="N14" s="923"/>
      <c r="O14" s="623">
        <f>SUM(O15:O15)</f>
        <v>0</v>
      </c>
      <c r="Q14" s="624"/>
      <c r="R14" s="625"/>
      <c r="S14" s="626"/>
      <c r="U14" s="620">
        <v>312</v>
      </c>
      <c r="V14" s="621" t="s">
        <v>732</v>
      </c>
      <c r="W14" s="622">
        <v>-3000</v>
      </c>
      <c r="X14" s="426">
        <f>SUM(W11:W14)</f>
        <v>-866</v>
      </c>
      <c r="Y14" s="620">
        <v>312</v>
      </c>
      <c r="Z14" s="621" t="s">
        <v>711</v>
      </c>
      <c r="AA14" s="622">
        <f>795-250-100-4200</f>
        <v>-3755</v>
      </c>
      <c r="AC14" s="620">
        <v>312</v>
      </c>
      <c r="AD14" s="621" t="s">
        <v>658</v>
      </c>
      <c r="AE14" s="622">
        <v>465</v>
      </c>
      <c r="AF14" s="426">
        <f>SUM(AE13:AE14)</f>
        <v>22802</v>
      </c>
      <c r="AG14" s="620">
        <v>312</v>
      </c>
      <c r="AH14" s="621" t="s">
        <v>589</v>
      </c>
      <c r="AI14" s="622">
        <v>1722</v>
      </c>
      <c r="AK14" s="628"/>
      <c r="AL14" s="629"/>
      <c r="AM14" s="630"/>
      <c r="AO14" s="620">
        <v>312</v>
      </c>
      <c r="AP14" s="621" t="s">
        <v>445</v>
      </c>
      <c r="AQ14" s="622">
        <v>-14249</v>
      </c>
      <c r="AS14" s="620">
        <v>312</v>
      </c>
      <c r="AT14" s="621" t="s">
        <v>438</v>
      </c>
      <c r="AU14" s="622">
        <v>-10</v>
      </c>
    </row>
    <row r="15" spans="1:47" ht="15.75" thickBot="1" x14ac:dyDescent="0.3">
      <c r="A15" s="620">
        <v>311</v>
      </c>
      <c r="B15" s="621" t="s">
        <v>955</v>
      </c>
      <c r="C15" s="622">
        <v>100</v>
      </c>
      <c r="E15" s="938"/>
      <c r="F15" s="921"/>
      <c r="G15" s="922"/>
      <c r="I15" s="620">
        <v>312</v>
      </c>
      <c r="J15" s="621" t="s">
        <v>864</v>
      </c>
      <c r="K15" s="622">
        <v>1561</v>
      </c>
      <c r="M15" s="624"/>
      <c r="N15" s="625"/>
      <c r="O15" s="626"/>
      <c r="Q15" s="914" t="s">
        <v>168</v>
      </c>
      <c r="R15" s="927"/>
      <c r="S15" s="627">
        <f>SUM(S16:S17)</f>
        <v>0</v>
      </c>
      <c r="U15" s="938"/>
      <c r="V15" s="921"/>
      <c r="W15" s="922"/>
      <c r="Y15" s="620">
        <v>312</v>
      </c>
      <c r="Z15" s="621" t="s">
        <v>712</v>
      </c>
      <c r="AA15" s="622">
        <f>-3185-5</f>
        <v>-3190</v>
      </c>
      <c r="AB15" s="426">
        <f>SUM(AA14:AA15)</f>
        <v>-6945</v>
      </c>
      <c r="AC15" s="938" t="s">
        <v>405</v>
      </c>
      <c r="AD15" s="921"/>
      <c r="AE15" s="922"/>
      <c r="AG15" s="620">
        <v>312</v>
      </c>
      <c r="AH15" s="621" t="s">
        <v>572</v>
      </c>
      <c r="AI15" s="622">
        <v>2000</v>
      </c>
      <c r="AK15" s="631"/>
      <c r="AL15" s="632"/>
      <c r="AM15" s="633"/>
      <c r="AO15" s="620">
        <v>312</v>
      </c>
      <c r="AP15" s="621" t="s">
        <v>488</v>
      </c>
      <c r="AQ15" s="622">
        <v>-356</v>
      </c>
      <c r="AS15" s="620">
        <v>312</v>
      </c>
      <c r="AT15" s="621" t="s">
        <v>439</v>
      </c>
      <c r="AU15" s="622">
        <v>70</v>
      </c>
    </row>
    <row r="16" spans="1:47" ht="15.75" thickBot="1" x14ac:dyDescent="0.3">
      <c r="A16" s="620">
        <v>312</v>
      </c>
      <c r="B16" s="621" t="s">
        <v>956</v>
      </c>
      <c r="C16" s="622">
        <v>-300</v>
      </c>
      <c r="E16" s="912" t="s">
        <v>156</v>
      </c>
      <c r="F16" s="923"/>
      <c r="G16" s="623">
        <f>SUM(G17:G17)</f>
        <v>0</v>
      </c>
      <c r="I16" s="938"/>
      <c r="J16" s="921"/>
      <c r="K16" s="922"/>
      <c r="M16" s="914" t="s">
        <v>168</v>
      </c>
      <c r="N16" s="927"/>
      <c r="O16" s="627">
        <f>SUM(O17:O18)</f>
        <v>0</v>
      </c>
      <c r="Q16" s="628"/>
      <c r="R16" s="629"/>
      <c r="S16" s="630"/>
      <c r="U16" s="912" t="s">
        <v>156</v>
      </c>
      <c r="V16" s="923"/>
      <c r="W16" s="623">
        <f>SUM(W17:W17)</f>
        <v>95000</v>
      </c>
      <c r="Y16" s="938" t="s">
        <v>405</v>
      </c>
      <c r="Z16" s="921"/>
      <c r="AA16" s="922"/>
      <c r="AC16" s="912" t="s">
        <v>156</v>
      </c>
      <c r="AD16" s="923"/>
      <c r="AE16" s="623">
        <f>SUM(AE17:AE17)</f>
        <v>0</v>
      </c>
      <c r="AG16" s="620">
        <v>312</v>
      </c>
      <c r="AH16" s="621" t="s">
        <v>591</v>
      </c>
      <c r="AI16" s="622">
        <f>2000+1000+1000</f>
        <v>4000</v>
      </c>
      <c r="AK16" s="905" t="s">
        <v>464</v>
      </c>
      <c r="AL16" s="906"/>
      <c r="AM16" s="634">
        <f>AM7+AM11+AM13</f>
        <v>0</v>
      </c>
      <c r="AO16" s="620">
        <v>312</v>
      </c>
      <c r="AP16" s="621" t="s">
        <v>486</v>
      </c>
      <c r="AQ16" s="622">
        <v>-450</v>
      </c>
      <c r="AS16" s="620">
        <v>312</v>
      </c>
      <c r="AT16" s="621" t="s">
        <v>444</v>
      </c>
      <c r="AU16" s="622">
        <v>3</v>
      </c>
    </row>
    <row r="17" spans="1:48" ht="15.75" thickBot="1" x14ac:dyDescent="0.3">
      <c r="A17" s="620">
        <v>312</v>
      </c>
      <c r="B17" s="621" t="s">
        <v>957</v>
      </c>
      <c r="C17" s="622">
        <f>1462+258</f>
        <v>1720</v>
      </c>
      <c r="E17" s="624"/>
      <c r="F17" s="625"/>
      <c r="G17" s="626"/>
      <c r="I17" s="912" t="s">
        <v>156</v>
      </c>
      <c r="J17" s="923"/>
      <c r="K17" s="623">
        <f>SUM(K18:K18)</f>
        <v>0</v>
      </c>
      <c r="M17" s="628"/>
      <c r="N17" s="629"/>
      <c r="O17" s="630"/>
      <c r="Q17" s="631"/>
      <c r="R17" s="632"/>
      <c r="S17" s="633"/>
      <c r="U17" s="624">
        <v>322</v>
      </c>
      <c r="V17" s="625" t="s">
        <v>735</v>
      </c>
      <c r="W17" s="626">
        <v>95000</v>
      </c>
      <c r="Y17" s="912" t="s">
        <v>156</v>
      </c>
      <c r="Z17" s="923"/>
      <c r="AA17" s="623">
        <f>SUM(AA18:AA18)</f>
        <v>0</v>
      </c>
      <c r="AC17" s="624"/>
      <c r="AD17" s="625"/>
      <c r="AE17" s="626"/>
      <c r="AG17" s="938" t="s">
        <v>405</v>
      </c>
      <c r="AH17" s="921"/>
      <c r="AI17" s="922"/>
      <c r="AK17" s="635" t="s">
        <v>53</v>
      </c>
      <c r="AL17" s="636" t="s">
        <v>410</v>
      </c>
      <c r="AM17" s="637"/>
      <c r="AO17" s="620">
        <v>312</v>
      </c>
      <c r="AP17" s="621" t="s">
        <v>487</v>
      </c>
      <c r="AQ17" s="622">
        <v>4416</v>
      </c>
      <c r="AR17" s="745">
        <f>SUM(AQ14:AQ17)</f>
        <v>-10639</v>
      </c>
      <c r="AS17" s="620">
        <v>312</v>
      </c>
      <c r="AT17" s="621" t="s">
        <v>445</v>
      </c>
      <c r="AU17" s="622">
        <v>-1806</v>
      </c>
    </row>
    <row r="18" spans="1:48" ht="15.75" thickBot="1" x14ac:dyDescent="0.3">
      <c r="A18" s="620">
        <v>312</v>
      </c>
      <c r="B18" s="621" t="s">
        <v>958</v>
      </c>
      <c r="C18" s="622">
        <f>2456-287</f>
        <v>2169</v>
      </c>
      <c r="E18" s="914" t="s">
        <v>168</v>
      </c>
      <c r="F18" s="927"/>
      <c r="G18" s="627">
        <f>SUM(G19:G20)</f>
        <v>0</v>
      </c>
      <c r="I18" s="624"/>
      <c r="J18" s="625"/>
      <c r="K18" s="626"/>
      <c r="M18" s="631"/>
      <c r="N18" s="632"/>
      <c r="O18" s="633"/>
      <c r="Q18" s="905" t="s">
        <v>464</v>
      </c>
      <c r="R18" s="906"/>
      <c r="S18" s="634">
        <f>S7+S13+S15</f>
        <v>1600</v>
      </c>
      <c r="U18" s="914" t="s">
        <v>168</v>
      </c>
      <c r="V18" s="927"/>
      <c r="W18" s="627">
        <f>SUM(W19:W20)</f>
        <v>0</v>
      </c>
      <c r="Y18" s="624"/>
      <c r="Z18" s="625"/>
      <c r="AA18" s="626"/>
      <c r="AC18" s="914" t="s">
        <v>168</v>
      </c>
      <c r="AD18" s="927"/>
      <c r="AE18" s="627">
        <f>SUM(AE19:AE20)</f>
        <v>0</v>
      </c>
      <c r="AG18" s="912" t="s">
        <v>156</v>
      </c>
      <c r="AH18" s="923"/>
      <c r="AI18" s="623">
        <f>SUM(AI19:AI19)</f>
        <v>0</v>
      </c>
      <c r="AK18" s="638" t="s">
        <v>53</v>
      </c>
      <c r="AL18" s="639" t="s">
        <v>411</v>
      </c>
      <c r="AM18" s="640"/>
      <c r="AO18" s="938" t="s">
        <v>405</v>
      </c>
      <c r="AP18" s="921"/>
      <c r="AQ18" s="922"/>
      <c r="AS18" s="620">
        <v>312</v>
      </c>
      <c r="AT18" s="621" t="s">
        <v>446</v>
      </c>
      <c r="AU18" s="622">
        <v>693</v>
      </c>
      <c r="AV18" s="426">
        <f>SUM(AU17:AU18)</f>
        <v>-1113</v>
      </c>
    </row>
    <row r="19" spans="1:48" ht="15.75" thickBot="1" x14ac:dyDescent="0.3">
      <c r="A19" s="620">
        <v>312</v>
      </c>
      <c r="B19" s="621" t="s">
        <v>959</v>
      </c>
      <c r="C19" s="622">
        <v>12452</v>
      </c>
      <c r="E19" s="628"/>
      <c r="F19" s="629"/>
      <c r="G19" s="630"/>
      <c r="I19" s="914" t="s">
        <v>168</v>
      </c>
      <c r="J19" s="927"/>
      <c r="K19" s="627">
        <f>SUM(K20:K21)</f>
        <v>0</v>
      </c>
      <c r="M19" s="905" t="s">
        <v>464</v>
      </c>
      <c r="N19" s="906"/>
      <c r="O19" s="634">
        <f>O7+O14+O16</f>
        <v>41281</v>
      </c>
      <c r="Q19" s="635" t="s">
        <v>53</v>
      </c>
      <c r="R19" s="636" t="s">
        <v>410</v>
      </c>
      <c r="S19" s="637"/>
      <c r="U19" s="628"/>
      <c r="V19" s="629"/>
      <c r="W19" s="630"/>
      <c r="Y19" s="914" t="s">
        <v>168</v>
      </c>
      <c r="Z19" s="927"/>
      <c r="AA19" s="627">
        <f>SUM(AA20:AA21)</f>
        <v>0</v>
      </c>
      <c r="AC19" s="628"/>
      <c r="AD19" s="629"/>
      <c r="AE19" s="630"/>
      <c r="AG19" s="624"/>
      <c r="AH19" s="625"/>
      <c r="AI19" s="626"/>
      <c r="AK19" s="936" t="s">
        <v>412</v>
      </c>
      <c r="AL19" s="937"/>
      <c r="AM19" s="641">
        <f>SUM(AM17:AM18)</f>
        <v>0</v>
      </c>
      <c r="AO19" s="912" t="s">
        <v>156</v>
      </c>
      <c r="AP19" s="923"/>
      <c r="AQ19" s="623">
        <f>SUM(AQ20:AQ20)</f>
        <v>0</v>
      </c>
      <c r="AS19" s="620"/>
      <c r="AT19" s="621"/>
      <c r="AU19" s="622"/>
    </row>
    <row r="20" spans="1:48" ht="15.75" thickBot="1" x14ac:dyDescent="0.3">
      <c r="A20" s="620">
        <v>312</v>
      </c>
      <c r="B20" s="621" t="s">
        <v>960</v>
      </c>
      <c r="C20" s="622">
        <v>11440</v>
      </c>
      <c r="E20" s="631"/>
      <c r="F20" s="632"/>
      <c r="G20" s="633"/>
      <c r="I20" s="628"/>
      <c r="J20" s="629"/>
      <c r="K20" s="630"/>
      <c r="M20" s="635" t="s">
        <v>53</v>
      </c>
      <c r="N20" s="636" t="s">
        <v>410</v>
      </c>
      <c r="O20" s="637"/>
      <c r="Q20" s="638" t="s">
        <v>53</v>
      </c>
      <c r="R20" s="639" t="s">
        <v>411</v>
      </c>
      <c r="S20" s="640"/>
      <c r="U20" s="631"/>
      <c r="V20" s="632"/>
      <c r="W20" s="633"/>
      <c r="Y20" s="628"/>
      <c r="Z20" s="629"/>
      <c r="AA20" s="630"/>
      <c r="AC20" s="631"/>
      <c r="AD20" s="632"/>
      <c r="AE20" s="633"/>
      <c r="AG20" s="914" t="s">
        <v>168</v>
      </c>
      <c r="AH20" s="927"/>
      <c r="AI20" s="627">
        <f>SUM(AI21:AI22)</f>
        <v>0</v>
      </c>
      <c r="AK20" s="907" t="s">
        <v>413</v>
      </c>
      <c r="AL20" s="908"/>
      <c r="AM20" s="642">
        <f>AM16+AM19</f>
        <v>0</v>
      </c>
      <c r="AO20" s="624"/>
      <c r="AP20" s="625"/>
      <c r="AQ20" s="626"/>
      <c r="AS20" s="938" t="s">
        <v>405</v>
      </c>
      <c r="AT20" s="921"/>
      <c r="AU20" s="922"/>
    </row>
    <row r="21" spans="1:48" ht="15.75" thickBot="1" x14ac:dyDescent="0.3">
      <c r="A21" s="938"/>
      <c r="B21" s="921"/>
      <c r="C21" s="922"/>
      <c r="E21" s="905" t="s">
        <v>464</v>
      </c>
      <c r="F21" s="906"/>
      <c r="G21" s="634">
        <f>G7+G16+G18</f>
        <v>30173</v>
      </c>
      <c r="I21" s="631"/>
      <c r="J21" s="632"/>
      <c r="K21" s="633"/>
      <c r="M21" s="638" t="s">
        <v>53</v>
      </c>
      <c r="N21" s="639" t="s">
        <v>411</v>
      </c>
      <c r="O21" s="640"/>
      <c r="Q21" s="936" t="s">
        <v>412</v>
      </c>
      <c r="R21" s="937"/>
      <c r="S21" s="641">
        <f>SUM(S19:S20)</f>
        <v>0</v>
      </c>
      <c r="U21" s="905" t="s">
        <v>464</v>
      </c>
      <c r="V21" s="906"/>
      <c r="W21" s="634">
        <f>W7+W16+W18</f>
        <v>97197</v>
      </c>
      <c r="Y21" s="631"/>
      <c r="Z21" s="632"/>
      <c r="AA21" s="633"/>
      <c r="AC21" s="905" t="s">
        <v>464</v>
      </c>
      <c r="AD21" s="906"/>
      <c r="AE21" s="634">
        <f>AE7+AE16+AE18</f>
        <v>97829</v>
      </c>
      <c r="AG21" s="628"/>
      <c r="AH21" s="629"/>
      <c r="AI21" s="630"/>
      <c r="AL21" s="643"/>
      <c r="AM21" s="426"/>
      <c r="AO21" s="914" t="s">
        <v>168</v>
      </c>
      <c r="AP21" s="927"/>
      <c r="AQ21" s="627">
        <f>SUM(AQ22:AQ23)</f>
        <v>0</v>
      </c>
      <c r="AS21" s="912" t="s">
        <v>156</v>
      </c>
      <c r="AT21" s="923"/>
      <c r="AU21" s="623">
        <f>SUM(AU22:AU23)</f>
        <v>-70000</v>
      </c>
    </row>
    <row r="22" spans="1:48" ht="15.75" thickBot="1" x14ac:dyDescent="0.3">
      <c r="A22" s="912" t="s">
        <v>156</v>
      </c>
      <c r="B22" s="923"/>
      <c r="C22" s="623">
        <f>SUM(C23:C23)</f>
        <v>0</v>
      </c>
      <c r="E22" s="635" t="s">
        <v>53</v>
      </c>
      <c r="F22" s="636" t="s">
        <v>410</v>
      </c>
      <c r="G22" s="637"/>
      <c r="I22" s="905" t="s">
        <v>464</v>
      </c>
      <c r="J22" s="906"/>
      <c r="K22" s="634">
        <f>K7+K17+K19</f>
        <v>24848</v>
      </c>
      <c r="M22" s="936" t="s">
        <v>412</v>
      </c>
      <c r="N22" s="937"/>
      <c r="O22" s="641">
        <f>SUM(O20:O21)</f>
        <v>0</v>
      </c>
      <c r="Q22" s="907" t="s">
        <v>413</v>
      </c>
      <c r="R22" s="908"/>
      <c r="S22" s="642">
        <f>S18+S21</f>
        <v>1600</v>
      </c>
      <c r="U22" s="635" t="s">
        <v>53</v>
      </c>
      <c r="V22" s="636" t="s">
        <v>410</v>
      </c>
      <c r="W22" s="637"/>
      <c r="Y22" s="905" t="s">
        <v>464</v>
      </c>
      <c r="Z22" s="906"/>
      <c r="AA22" s="634">
        <f>AA7+AA17+AA19</f>
        <v>4399</v>
      </c>
      <c r="AC22" s="635" t="s">
        <v>53</v>
      </c>
      <c r="AD22" s="636" t="s">
        <v>410</v>
      </c>
      <c r="AE22" s="637"/>
      <c r="AG22" s="631"/>
      <c r="AH22" s="632"/>
      <c r="AI22" s="633"/>
      <c r="AK22" s="909" t="s">
        <v>414</v>
      </c>
      <c r="AL22" s="909"/>
      <c r="AM22" s="909"/>
      <c r="AO22" s="628"/>
      <c r="AP22" s="629"/>
      <c r="AQ22" s="630"/>
      <c r="AS22" s="624">
        <v>322</v>
      </c>
      <c r="AT22" s="625" t="s">
        <v>432</v>
      </c>
      <c r="AU22" s="626">
        <v>-70000</v>
      </c>
    </row>
    <row r="23" spans="1:48" ht="15.75" thickBot="1" x14ac:dyDescent="0.3">
      <c r="A23" s="624"/>
      <c r="B23" s="625"/>
      <c r="C23" s="626"/>
      <c r="E23" s="638" t="s">
        <v>53</v>
      </c>
      <c r="F23" s="639" t="s">
        <v>411</v>
      </c>
      <c r="G23" s="640"/>
      <c r="I23" s="635" t="s">
        <v>53</v>
      </c>
      <c r="J23" s="636" t="s">
        <v>410</v>
      </c>
      <c r="K23" s="637"/>
      <c r="M23" s="907" t="s">
        <v>413</v>
      </c>
      <c r="N23" s="908"/>
      <c r="O23" s="642">
        <f>O19+O22</f>
        <v>41281</v>
      </c>
      <c r="R23" s="643"/>
      <c r="S23" s="426"/>
      <c r="U23" s="638" t="s">
        <v>53</v>
      </c>
      <c r="V23" s="639" t="s">
        <v>411</v>
      </c>
      <c r="W23" s="640"/>
      <c r="Y23" s="635" t="s">
        <v>53</v>
      </c>
      <c r="Z23" s="636" t="s">
        <v>410</v>
      </c>
      <c r="AA23" s="637"/>
      <c r="AC23" s="638" t="s">
        <v>53</v>
      </c>
      <c r="AD23" s="639" t="s">
        <v>411</v>
      </c>
      <c r="AE23" s="640"/>
      <c r="AG23" s="905" t="s">
        <v>464</v>
      </c>
      <c r="AH23" s="906"/>
      <c r="AI23" s="634">
        <f>AI7+AI18+AI20</f>
        <v>11956</v>
      </c>
      <c r="AK23" s="644" t="s">
        <v>221</v>
      </c>
      <c r="AL23" s="645" t="s">
        <v>415</v>
      </c>
      <c r="AM23" s="646" t="s">
        <v>416</v>
      </c>
      <c r="AO23" s="631"/>
      <c r="AP23" s="632"/>
      <c r="AQ23" s="633"/>
      <c r="AS23" s="624"/>
      <c r="AT23" s="625"/>
      <c r="AU23" s="626"/>
    </row>
    <row r="24" spans="1:48" ht="15.75" thickBot="1" x14ac:dyDescent="0.3">
      <c r="A24" s="914" t="s">
        <v>168</v>
      </c>
      <c r="B24" s="927"/>
      <c r="C24" s="627">
        <f>SUM(C25:C26)</f>
        <v>0</v>
      </c>
      <c r="E24" s="936" t="s">
        <v>412</v>
      </c>
      <c r="F24" s="937"/>
      <c r="G24" s="641">
        <f>SUM(G22:G23)</f>
        <v>0</v>
      </c>
      <c r="I24" s="638" t="s">
        <v>53</v>
      </c>
      <c r="J24" s="639" t="s">
        <v>411</v>
      </c>
      <c r="K24" s="640"/>
      <c r="N24" s="643"/>
      <c r="O24" s="426"/>
      <c r="Q24" s="909" t="s">
        <v>414</v>
      </c>
      <c r="R24" s="909"/>
      <c r="S24" s="909"/>
      <c r="U24" s="936" t="s">
        <v>412</v>
      </c>
      <c r="V24" s="937"/>
      <c r="W24" s="641">
        <f>SUM(W22:W23)</f>
        <v>0</v>
      </c>
      <c r="Y24" s="638" t="s">
        <v>53</v>
      </c>
      <c r="Z24" s="639" t="s">
        <v>411</v>
      </c>
      <c r="AA24" s="640"/>
      <c r="AC24" s="936" t="s">
        <v>412</v>
      </c>
      <c r="AD24" s="937"/>
      <c r="AE24" s="641">
        <f>SUM(AE22:AE23)</f>
        <v>0</v>
      </c>
      <c r="AG24" s="635" t="s">
        <v>53</v>
      </c>
      <c r="AH24" s="636" t="s">
        <v>410</v>
      </c>
      <c r="AI24" s="637"/>
      <c r="AK24" s="910" t="s">
        <v>409</v>
      </c>
      <c r="AL24" s="911"/>
      <c r="AM24" s="647">
        <f>SUM(AM25:AM45)</f>
        <v>0</v>
      </c>
      <c r="AO24" s="905" t="s">
        <v>464</v>
      </c>
      <c r="AP24" s="906"/>
      <c r="AQ24" s="634">
        <f>AQ7+AQ19+AQ21</f>
        <v>-6776</v>
      </c>
      <c r="AS24" s="914" t="s">
        <v>168</v>
      </c>
      <c r="AT24" s="927"/>
      <c r="AU24" s="627">
        <f>SUM(AU25:AU32)</f>
        <v>67627</v>
      </c>
    </row>
    <row r="25" spans="1:48" ht="15.75" thickBot="1" x14ac:dyDescent="0.3">
      <c r="A25" s="628"/>
      <c r="B25" s="629"/>
      <c r="C25" s="630"/>
      <c r="E25" s="907" t="s">
        <v>413</v>
      </c>
      <c r="F25" s="908"/>
      <c r="G25" s="642">
        <f>G21+G24</f>
        <v>30173</v>
      </c>
      <c r="I25" s="936" t="s">
        <v>412</v>
      </c>
      <c r="J25" s="937"/>
      <c r="K25" s="641">
        <f>SUM(K23:K24)</f>
        <v>0</v>
      </c>
      <c r="M25" s="909" t="s">
        <v>414</v>
      </c>
      <c r="N25" s="909"/>
      <c r="O25" s="909"/>
      <c r="Q25" s="644" t="s">
        <v>221</v>
      </c>
      <c r="R25" s="645" t="s">
        <v>415</v>
      </c>
      <c r="S25" s="646" t="s">
        <v>416</v>
      </c>
      <c r="U25" s="907" t="s">
        <v>413</v>
      </c>
      <c r="V25" s="908"/>
      <c r="W25" s="642">
        <f>W21+W24</f>
        <v>97197</v>
      </c>
      <c r="Y25" s="936" t="s">
        <v>412</v>
      </c>
      <c r="Z25" s="937"/>
      <c r="AA25" s="641">
        <f>SUM(AA23:AA24)</f>
        <v>0</v>
      </c>
      <c r="AC25" s="907" t="s">
        <v>413</v>
      </c>
      <c r="AD25" s="908"/>
      <c r="AE25" s="642">
        <f>AE21+AE24</f>
        <v>97829</v>
      </c>
      <c r="AG25" s="638" t="s">
        <v>53</v>
      </c>
      <c r="AH25" s="639" t="s">
        <v>411</v>
      </c>
      <c r="AI25" s="640"/>
      <c r="AK25" s="648" t="s">
        <v>63</v>
      </c>
      <c r="AL25" s="649" t="s">
        <v>553</v>
      </c>
      <c r="AM25" s="622">
        <f>200-200</f>
        <v>0</v>
      </c>
      <c r="AO25" s="635" t="s">
        <v>53</v>
      </c>
      <c r="AP25" s="636" t="s">
        <v>410</v>
      </c>
      <c r="AQ25" s="637"/>
      <c r="AS25" s="628">
        <v>453</v>
      </c>
      <c r="AT25" s="629" t="s">
        <v>461</v>
      </c>
      <c r="AU25" s="630">
        <f>3781</f>
        <v>3781</v>
      </c>
    </row>
    <row r="26" spans="1:48" ht="18.75" customHeight="1" thickBot="1" x14ac:dyDescent="0.3">
      <c r="A26" s="631"/>
      <c r="B26" s="632"/>
      <c r="C26" s="633"/>
      <c r="F26" s="643"/>
      <c r="G26" s="426"/>
      <c r="I26" s="907" t="s">
        <v>413</v>
      </c>
      <c r="J26" s="908"/>
      <c r="K26" s="642">
        <f>K22+K25</f>
        <v>24848</v>
      </c>
      <c r="M26" s="644" t="s">
        <v>221</v>
      </c>
      <c r="N26" s="645" t="s">
        <v>415</v>
      </c>
      <c r="O26" s="646" t="s">
        <v>416</v>
      </c>
      <c r="Q26" s="910" t="s">
        <v>409</v>
      </c>
      <c r="R26" s="911"/>
      <c r="S26" s="647">
        <f>SUM(S27:S40)</f>
        <v>1600</v>
      </c>
      <c r="V26" s="643"/>
      <c r="W26" s="426"/>
      <c r="Y26" s="907" t="s">
        <v>413</v>
      </c>
      <c r="Z26" s="908"/>
      <c r="AA26" s="642">
        <f>AA22+AA25</f>
        <v>4399</v>
      </c>
      <c r="AD26" s="643"/>
      <c r="AE26" s="426"/>
      <c r="AG26" s="936" t="s">
        <v>412</v>
      </c>
      <c r="AH26" s="937"/>
      <c r="AI26" s="641">
        <f>SUM(AI24:AI25)</f>
        <v>0</v>
      </c>
      <c r="AK26" s="648" t="s">
        <v>65</v>
      </c>
      <c r="AL26" s="649" t="s">
        <v>555</v>
      </c>
      <c r="AM26" s="622">
        <f>80-80</f>
        <v>0</v>
      </c>
      <c r="AO26" s="638" t="s">
        <v>53</v>
      </c>
      <c r="AP26" s="639" t="s">
        <v>411</v>
      </c>
      <c r="AQ26" s="640"/>
      <c r="AS26" s="628">
        <v>453</v>
      </c>
      <c r="AT26" s="629" t="s">
        <v>427</v>
      </c>
      <c r="AU26" s="630">
        <f>-2100-400</f>
        <v>-2500</v>
      </c>
    </row>
    <row r="27" spans="1:48" ht="15.75" thickBot="1" x14ac:dyDescent="0.3">
      <c r="A27" s="905" t="s">
        <v>464</v>
      </c>
      <c r="B27" s="906"/>
      <c r="C27" s="634">
        <f>C7+C22+C24</f>
        <v>27316</v>
      </c>
      <c r="E27" s="909" t="s">
        <v>414</v>
      </c>
      <c r="F27" s="909"/>
      <c r="G27" s="909"/>
      <c r="J27" s="643"/>
      <c r="K27" s="426"/>
      <c r="M27" s="910" t="s">
        <v>409</v>
      </c>
      <c r="N27" s="911"/>
      <c r="O27" s="647">
        <f>SUM(O28:O45)</f>
        <v>30702</v>
      </c>
      <c r="Q27" s="648" t="s">
        <v>63</v>
      </c>
      <c r="R27" s="649" t="s">
        <v>758</v>
      </c>
      <c r="S27" s="622">
        <f>100-100</f>
        <v>0</v>
      </c>
      <c r="U27" s="909" t="s">
        <v>414</v>
      </c>
      <c r="V27" s="909"/>
      <c r="W27" s="909"/>
      <c r="Z27" s="643"/>
      <c r="AA27" s="426"/>
      <c r="AC27" s="909" t="s">
        <v>414</v>
      </c>
      <c r="AD27" s="909"/>
      <c r="AE27" s="909"/>
      <c r="AG27" s="907" t="s">
        <v>413</v>
      </c>
      <c r="AH27" s="908"/>
      <c r="AI27" s="642">
        <f>AI23+AI26</f>
        <v>11956</v>
      </c>
      <c r="AK27" s="648" t="s">
        <v>69</v>
      </c>
      <c r="AL27" s="649" t="s">
        <v>556</v>
      </c>
      <c r="AM27" s="622">
        <f>83-83</f>
        <v>0</v>
      </c>
      <c r="AO27" s="936" t="s">
        <v>412</v>
      </c>
      <c r="AP27" s="937"/>
      <c r="AQ27" s="641">
        <f>SUM(AQ25:AQ26)</f>
        <v>0</v>
      </c>
      <c r="AS27" s="628">
        <v>453</v>
      </c>
      <c r="AT27" s="629" t="s">
        <v>428</v>
      </c>
      <c r="AU27" s="630">
        <v>502</v>
      </c>
    </row>
    <row r="28" spans="1:48" ht="15.75" thickBot="1" x14ac:dyDescent="0.3">
      <c r="A28" s="635" t="s">
        <v>53</v>
      </c>
      <c r="B28" s="636" t="s">
        <v>410</v>
      </c>
      <c r="C28" s="637"/>
      <c r="E28" s="644" t="s">
        <v>221</v>
      </c>
      <c r="F28" s="645" t="s">
        <v>415</v>
      </c>
      <c r="G28" s="646" t="s">
        <v>416</v>
      </c>
      <c r="I28" s="909" t="s">
        <v>414</v>
      </c>
      <c r="J28" s="909"/>
      <c r="K28" s="909"/>
      <c r="M28" s="648" t="s">
        <v>63</v>
      </c>
      <c r="N28" s="649" t="s">
        <v>825</v>
      </c>
      <c r="O28" s="622">
        <f>-2597+240-240+130-130</f>
        <v>-2597</v>
      </c>
      <c r="Q28" s="648" t="s">
        <v>75</v>
      </c>
      <c r="R28" s="649" t="s">
        <v>760</v>
      </c>
      <c r="S28" s="622">
        <f>132-132</f>
        <v>0</v>
      </c>
      <c r="U28" s="644" t="s">
        <v>221</v>
      </c>
      <c r="V28" s="645" t="s">
        <v>415</v>
      </c>
      <c r="W28" s="646" t="s">
        <v>416</v>
      </c>
      <c r="Y28" s="909" t="s">
        <v>414</v>
      </c>
      <c r="Z28" s="909"/>
      <c r="AA28" s="909"/>
      <c r="AC28" s="644" t="s">
        <v>221</v>
      </c>
      <c r="AD28" s="645" t="s">
        <v>415</v>
      </c>
      <c r="AE28" s="646" t="s">
        <v>416</v>
      </c>
      <c r="AH28" s="643"/>
      <c r="AI28" s="426"/>
      <c r="AK28" s="648" t="s">
        <v>69</v>
      </c>
      <c r="AL28" s="649" t="s">
        <v>557</v>
      </c>
      <c r="AM28" s="622">
        <f>60-60</f>
        <v>0</v>
      </c>
      <c r="AO28" s="907" t="s">
        <v>413</v>
      </c>
      <c r="AP28" s="908"/>
      <c r="AQ28" s="642">
        <f>AQ24+AQ27</f>
        <v>-6776</v>
      </c>
      <c r="AS28" s="628">
        <v>453</v>
      </c>
      <c r="AT28" s="629" t="s">
        <v>429</v>
      </c>
      <c r="AU28" s="630">
        <f>325+58</f>
        <v>383</v>
      </c>
    </row>
    <row r="29" spans="1:48" ht="17.25" customHeight="1" thickBot="1" x14ac:dyDescent="0.3">
      <c r="A29" s="638" t="s">
        <v>53</v>
      </c>
      <c r="B29" s="639" t="s">
        <v>411</v>
      </c>
      <c r="C29" s="640"/>
      <c r="E29" s="910" t="s">
        <v>409</v>
      </c>
      <c r="F29" s="911"/>
      <c r="G29" s="647">
        <f>SUM(G30:G54)</f>
        <v>30135</v>
      </c>
      <c r="I29" s="644" t="s">
        <v>221</v>
      </c>
      <c r="J29" s="645" t="s">
        <v>415</v>
      </c>
      <c r="K29" s="646" t="s">
        <v>416</v>
      </c>
      <c r="M29" s="648" t="s">
        <v>65</v>
      </c>
      <c r="N29" s="649" t="s">
        <v>826</v>
      </c>
      <c r="O29" s="622">
        <f>3015-3015</f>
        <v>0</v>
      </c>
      <c r="Q29" s="648" t="s">
        <v>87</v>
      </c>
      <c r="R29" s="649" t="s">
        <v>762</v>
      </c>
      <c r="S29" s="622">
        <v>9885</v>
      </c>
      <c r="U29" s="910" t="s">
        <v>409</v>
      </c>
      <c r="V29" s="911"/>
      <c r="W29" s="647">
        <f>SUM(W30:W42)</f>
        <v>3063</v>
      </c>
      <c r="Y29" s="644" t="s">
        <v>221</v>
      </c>
      <c r="Z29" s="645" t="s">
        <v>415</v>
      </c>
      <c r="AA29" s="646" t="s">
        <v>416</v>
      </c>
      <c r="AC29" s="910" t="s">
        <v>409</v>
      </c>
      <c r="AD29" s="911"/>
      <c r="AE29" s="647">
        <f>SUM(AE30:AE44)</f>
        <v>61832</v>
      </c>
      <c r="AG29" s="909" t="s">
        <v>414</v>
      </c>
      <c r="AH29" s="909"/>
      <c r="AI29" s="909"/>
      <c r="AK29" s="648" t="s">
        <v>73</v>
      </c>
      <c r="AL29" s="649" t="s">
        <v>559</v>
      </c>
      <c r="AM29" s="622">
        <f>-40+40</f>
        <v>0</v>
      </c>
      <c r="AP29" s="643"/>
      <c r="AQ29" s="426"/>
      <c r="AS29" s="628">
        <v>453</v>
      </c>
      <c r="AT29" s="629" t="s">
        <v>430</v>
      </c>
      <c r="AU29" s="630">
        <v>3211</v>
      </c>
    </row>
    <row r="30" spans="1:48" ht="16.5" customHeight="1" thickBot="1" x14ac:dyDescent="0.3">
      <c r="A30" s="936" t="s">
        <v>412</v>
      </c>
      <c r="B30" s="937"/>
      <c r="C30" s="641">
        <f>SUM(C28:C29)</f>
        <v>0</v>
      </c>
      <c r="E30" s="648" t="s">
        <v>63</v>
      </c>
      <c r="F30" s="649" t="s">
        <v>921</v>
      </c>
      <c r="G30" s="622">
        <f>320-320</f>
        <v>0</v>
      </c>
      <c r="I30" s="910" t="s">
        <v>409</v>
      </c>
      <c r="J30" s="911"/>
      <c r="K30" s="647">
        <f>SUM(K31:K49)</f>
        <v>9178</v>
      </c>
      <c r="M30" s="648" t="s">
        <v>69</v>
      </c>
      <c r="N30" s="649" t="s">
        <v>828</v>
      </c>
      <c r="O30" s="622">
        <f>11-11</f>
        <v>0</v>
      </c>
      <c r="Q30" s="648" t="s">
        <v>87</v>
      </c>
      <c r="R30" s="649" t="s">
        <v>761</v>
      </c>
      <c r="S30" s="622">
        <v>-9885</v>
      </c>
      <c r="U30" s="648" t="s">
        <v>63</v>
      </c>
      <c r="V30" s="649" t="s">
        <v>737</v>
      </c>
      <c r="W30" s="622">
        <f>-550+550</f>
        <v>0</v>
      </c>
      <c r="Y30" s="910" t="s">
        <v>409</v>
      </c>
      <c r="Z30" s="911"/>
      <c r="AA30" s="647">
        <f>SUM(AA31:AA48)</f>
        <v>4454</v>
      </c>
      <c r="AC30" s="648" t="s">
        <v>63</v>
      </c>
      <c r="AD30" s="649" t="s">
        <v>647</v>
      </c>
      <c r="AE30" s="622">
        <v>50605</v>
      </c>
      <c r="AG30" s="644" t="s">
        <v>221</v>
      </c>
      <c r="AH30" s="645" t="s">
        <v>415</v>
      </c>
      <c r="AI30" s="646" t="s">
        <v>416</v>
      </c>
      <c r="AK30" s="648" t="s">
        <v>77</v>
      </c>
      <c r="AL30" s="649" t="s">
        <v>560</v>
      </c>
      <c r="AM30" s="622">
        <f>30-30</f>
        <v>0</v>
      </c>
      <c r="AO30" s="909" t="s">
        <v>414</v>
      </c>
      <c r="AP30" s="909"/>
      <c r="AQ30" s="909"/>
      <c r="AS30" s="628">
        <v>453</v>
      </c>
      <c r="AT30" s="629" t="s">
        <v>431</v>
      </c>
      <c r="AU30" s="630">
        <v>70000</v>
      </c>
    </row>
    <row r="31" spans="1:48" ht="15.75" thickBot="1" x14ac:dyDescent="0.3">
      <c r="A31" s="907" t="s">
        <v>413</v>
      </c>
      <c r="B31" s="908"/>
      <c r="C31" s="642">
        <f>C27+C30</f>
        <v>27316</v>
      </c>
      <c r="E31" s="648" t="s">
        <v>63</v>
      </c>
      <c r="F31" s="649" t="s">
        <v>922</v>
      </c>
      <c r="G31" s="622">
        <f>680-680</f>
        <v>0</v>
      </c>
      <c r="I31" s="648" t="s">
        <v>63</v>
      </c>
      <c r="J31" s="649" t="s">
        <v>879</v>
      </c>
      <c r="K31" s="622">
        <f>711-711</f>
        <v>0</v>
      </c>
      <c r="M31" s="648" t="s">
        <v>73</v>
      </c>
      <c r="N31" s="649" t="s">
        <v>832</v>
      </c>
      <c r="O31" s="622">
        <f>35-35</f>
        <v>0</v>
      </c>
      <c r="Q31" s="648" t="s">
        <v>96</v>
      </c>
      <c r="R31" s="649" t="s">
        <v>759</v>
      </c>
      <c r="S31" s="622">
        <f>270-270</f>
        <v>0</v>
      </c>
      <c r="U31" s="648" t="s">
        <v>69</v>
      </c>
      <c r="V31" s="649" t="s">
        <v>746</v>
      </c>
      <c r="W31" s="622">
        <f>-70+70</f>
        <v>0</v>
      </c>
      <c r="Y31" s="648" t="s">
        <v>63</v>
      </c>
      <c r="Z31" s="649" t="s">
        <v>713</v>
      </c>
      <c r="AA31" s="622">
        <f>500-200-300+59</f>
        <v>59</v>
      </c>
      <c r="AC31" s="648" t="s">
        <v>69</v>
      </c>
      <c r="AD31" s="649" t="s">
        <v>654</v>
      </c>
      <c r="AE31" s="622">
        <v>220</v>
      </c>
      <c r="AG31" s="910" t="s">
        <v>409</v>
      </c>
      <c r="AH31" s="911"/>
      <c r="AI31" s="647">
        <f>SUM(AI32:AI49)</f>
        <v>8317</v>
      </c>
      <c r="AK31" s="648" t="s">
        <v>77</v>
      </c>
      <c r="AL31" s="649" t="s">
        <v>561</v>
      </c>
      <c r="AM31" s="622">
        <f>-2+2</f>
        <v>0</v>
      </c>
      <c r="AO31" s="644" t="s">
        <v>221</v>
      </c>
      <c r="AP31" s="645" t="s">
        <v>415</v>
      </c>
      <c r="AQ31" s="646" t="s">
        <v>416</v>
      </c>
      <c r="AS31" s="628">
        <v>453</v>
      </c>
      <c r="AT31" s="629" t="s">
        <v>433</v>
      </c>
      <c r="AU31" s="630">
        <v>-7590</v>
      </c>
    </row>
    <row r="32" spans="1:48" ht="15.75" thickBot="1" x14ac:dyDescent="0.3">
      <c r="B32" s="643"/>
      <c r="C32" s="426"/>
      <c r="E32" s="648" t="s">
        <v>65</v>
      </c>
      <c r="F32" s="649" t="s">
        <v>923</v>
      </c>
      <c r="G32" s="622">
        <f>700+280+165+50+210-530-145-200-310-220</f>
        <v>0</v>
      </c>
      <c r="I32" s="648" t="s">
        <v>69</v>
      </c>
      <c r="J32" s="649" t="s">
        <v>866</v>
      </c>
      <c r="K32" s="622">
        <f>140-140</f>
        <v>0</v>
      </c>
      <c r="M32" s="648" t="s">
        <v>75</v>
      </c>
      <c r="N32" s="649" t="s">
        <v>831</v>
      </c>
      <c r="O32" s="622">
        <f>178-178</f>
        <v>0</v>
      </c>
      <c r="Q32" s="648" t="s">
        <v>98</v>
      </c>
      <c r="R32" s="649" t="s">
        <v>769</v>
      </c>
      <c r="S32" s="622">
        <f>54-54</f>
        <v>0</v>
      </c>
      <c r="U32" s="648" t="s">
        <v>87</v>
      </c>
      <c r="V32" s="649" t="s">
        <v>741</v>
      </c>
      <c r="W32" s="622">
        <f>200-200</f>
        <v>0</v>
      </c>
      <c r="Y32" s="648" t="s">
        <v>65</v>
      </c>
      <c r="Z32" s="649" t="s">
        <v>714</v>
      </c>
      <c r="AA32" s="622">
        <f>200-200</f>
        <v>0</v>
      </c>
      <c r="AC32" s="648" t="s">
        <v>75</v>
      </c>
      <c r="AD32" s="649" t="s">
        <v>690</v>
      </c>
      <c r="AE32" s="622">
        <f>945-945</f>
        <v>0</v>
      </c>
      <c r="AG32" s="648" t="s">
        <v>63</v>
      </c>
      <c r="AH32" s="649" t="s">
        <v>593</v>
      </c>
      <c r="AI32" s="622">
        <f>140-140</f>
        <v>0</v>
      </c>
      <c r="AK32" s="648" t="s">
        <v>80</v>
      </c>
      <c r="AL32" s="649" t="s">
        <v>554</v>
      </c>
      <c r="AM32" s="622">
        <f>100-100</f>
        <v>0</v>
      </c>
      <c r="AO32" s="910" t="s">
        <v>409</v>
      </c>
      <c r="AP32" s="911"/>
      <c r="AQ32" s="647">
        <f>SUM(AQ33:AQ42)</f>
        <v>3863</v>
      </c>
      <c r="AS32" s="631">
        <v>453</v>
      </c>
      <c r="AT32" s="629" t="s">
        <v>460</v>
      </c>
      <c r="AU32" s="633">
        <v>-160</v>
      </c>
    </row>
    <row r="33" spans="1:47" ht="15.75" thickBot="1" x14ac:dyDescent="0.3">
      <c r="A33" s="909" t="s">
        <v>414</v>
      </c>
      <c r="B33" s="909"/>
      <c r="C33" s="909"/>
      <c r="E33" s="648" t="s">
        <v>69</v>
      </c>
      <c r="F33" s="649" t="s">
        <v>924</v>
      </c>
      <c r="G33" s="622">
        <f>5800+470-6270</f>
        <v>0</v>
      </c>
      <c r="I33" s="648" t="s">
        <v>75</v>
      </c>
      <c r="J33" s="649" t="s">
        <v>881</v>
      </c>
      <c r="K33" s="622">
        <f>150+17-17</f>
        <v>150</v>
      </c>
      <c r="M33" s="648" t="s">
        <v>77</v>
      </c>
      <c r="N33" s="649" t="s">
        <v>796</v>
      </c>
      <c r="O33" s="622">
        <v>30025</v>
      </c>
      <c r="Q33" s="648" t="s">
        <v>113</v>
      </c>
      <c r="R33" s="649" t="s">
        <v>767</v>
      </c>
      <c r="S33" s="622">
        <f>-1070+250+120+700+1000</f>
        <v>1000</v>
      </c>
      <c r="U33" s="648" t="s">
        <v>87</v>
      </c>
      <c r="V33" s="649" t="s">
        <v>742</v>
      </c>
      <c r="W33" s="622">
        <f>-200+200</f>
        <v>0</v>
      </c>
      <c r="Y33" s="648" t="s">
        <v>82</v>
      </c>
      <c r="Z33" s="649" t="s">
        <v>715</v>
      </c>
      <c r="AA33" s="622">
        <f>11-11+30-30-6945</f>
        <v>-6945</v>
      </c>
      <c r="AC33" s="648" t="s">
        <v>77</v>
      </c>
      <c r="AD33" s="649" t="s">
        <v>651</v>
      </c>
      <c r="AE33" s="622">
        <f>531-531</f>
        <v>0</v>
      </c>
      <c r="AG33" s="648" t="s">
        <v>69</v>
      </c>
      <c r="AH33" s="649" t="s">
        <v>594</v>
      </c>
      <c r="AI33" s="622">
        <f>170-170</f>
        <v>0</v>
      </c>
      <c r="AK33" s="648" t="s">
        <v>84</v>
      </c>
      <c r="AL33" s="649" t="s">
        <v>539</v>
      </c>
      <c r="AM33" s="622">
        <f>5-5</f>
        <v>0</v>
      </c>
      <c r="AO33" s="648" t="s">
        <v>63</v>
      </c>
      <c r="AP33" s="649" t="s">
        <v>520</v>
      </c>
      <c r="AQ33" s="622">
        <f>-70+70</f>
        <v>0</v>
      </c>
      <c r="AS33" s="905" t="s">
        <v>464</v>
      </c>
      <c r="AT33" s="906"/>
      <c r="AU33" s="634">
        <f>AU7+AU21+AU24</f>
        <v>-2701</v>
      </c>
    </row>
    <row r="34" spans="1:47" ht="15.75" thickBot="1" x14ac:dyDescent="0.3">
      <c r="A34" s="644" t="s">
        <v>221</v>
      </c>
      <c r="B34" s="645" t="s">
        <v>415</v>
      </c>
      <c r="C34" s="646" t="s">
        <v>416</v>
      </c>
      <c r="E34" s="648" t="s">
        <v>75</v>
      </c>
      <c r="F34" s="649" t="s">
        <v>930</v>
      </c>
      <c r="G34" s="622">
        <f>100+50-50</f>
        <v>100</v>
      </c>
      <c r="I34" s="648" t="s">
        <v>77</v>
      </c>
      <c r="J34" s="649" t="s">
        <v>867</v>
      </c>
      <c r="K34" s="622">
        <f>-800+800</f>
        <v>0</v>
      </c>
      <c r="M34" s="648" t="s">
        <v>80</v>
      </c>
      <c r="N34" s="649" t="s">
        <v>827</v>
      </c>
      <c r="O34" s="622">
        <f>1500-1500</f>
        <v>0</v>
      </c>
      <c r="Q34" s="648" t="s">
        <v>119</v>
      </c>
      <c r="R34" s="649" t="s">
        <v>768</v>
      </c>
      <c r="S34" s="622">
        <f>-100+100</f>
        <v>0</v>
      </c>
      <c r="U34" s="648" t="s">
        <v>93</v>
      </c>
      <c r="V34" s="649" t="s">
        <v>744</v>
      </c>
      <c r="W34" s="622">
        <f>-207+207</f>
        <v>0</v>
      </c>
      <c r="Y34" s="648" t="s">
        <v>84</v>
      </c>
      <c r="Z34" s="649" t="s">
        <v>699</v>
      </c>
      <c r="AA34" s="622">
        <f>-20+20</f>
        <v>0</v>
      </c>
      <c r="AC34" s="648" t="s">
        <v>80</v>
      </c>
      <c r="AD34" s="649" t="s">
        <v>649</v>
      </c>
      <c r="AE34" s="622">
        <f>210-210</f>
        <v>0</v>
      </c>
      <c r="AG34" s="648" t="s">
        <v>75</v>
      </c>
      <c r="AH34" s="649" t="s">
        <v>595</v>
      </c>
      <c r="AI34" s="622">
        <f>1300-1300</f>
        <v>0</v>
      </c>
      <c r="AK34" s="648" t="s">
        <v>87</v>
      </c>
      <c r="AL34" s="649" t="s">
        <v>545</v>
      </c>
      <c r="AM34" s="622">
        <f>1800-1800</f>
        <v>0</v>
      </c>
      <c r="AO34" s="648" t="s">
        <v>69</v>
      </c>
      <c r="AP34" s="649" t="s">
        <v>521</v>
      </c>
      <c r="AQ34" s="622">
        <f>-1+1</f>
        <v>0</v>
      </c>
      <c r="AS34" s="635" t="s">
        <v>53</v>
      </c>
      <c r="AT34" s="636" t="s">
        <v>410</v>
      </c>
      <c r="AU34" s="637"/>
    </row>
    <row r="35" spans="1:47" ht="15.75" thickBot="1" x14ac:dyDescent="0.3">
      <c r="A35" s="910" t="s">
        <v>409</v>
      </c>
      <c r="B35" s="911"/>
      <c r="C35" s="647">
        <f>SUM(C36:C60)</f>
        <v>14864</v>
      </c>
      <c r="E35" s="648" t="s">
        <v>77</v>
      </c>
      <c r="F35" s="649" t="s">
        <v>931</v>
      </c>
      <c r="G35" s="622">
        <f>-100+100</f>
        <v>0</v>
      </c>
      <c r="I35" s="648" t="s">
        <v>80</v>
      </c>
      <c r="J35" s="649" t="s">
        <v>827</v>
      </c>
      <c r="K35" s="622">
        <f>520-520</f>
        <v>0</v>
      </c>
      <c r="M35" s="648" t="s">
        <v>84</v>
      </c>
      <c r="N35" s="649" t="s">
        <v>833</v>
      </c>
      <c r="O35" s="622">
        <f>22-22</f>
        <v>0</v>
      </c>
      <c r="Q35" s="648" t="s">
        <v>122</v>
      </c>
      <c r="R35" s="649" t="s">
        <v>763</v>
      </c>
      <c r="S35" s="622">
        <f>105-105</f>
        <v>0</v>
      </c>
      <c r="U35" s="648" t="s">
        <v>93</v>
      </c>
      <c r="V35" s="649" t="s">
        <v>745</v>
      </c>
      <c r="W35" s="622">
        <f>-300+300</f>
        <v>0</v>
      </c>
      <c r="Y35" s="648" t="s">
        <v>87</v>
      </c>
      <c r="Z35" s="649" t="s">
        <v>677</v>
      </c>
      <c r="AA35" s="622">
        <f>20-20</f>
        <v>0</v>
      </c>
      <c r="AC35" s="648" t="s">
        <v>82</v>
      </c>
      <c r="AD35" s="649" t="s">
        <v>689</v>
      </c>
      <c r="AE35" s="622">
        <f>4000-4000</f>
        <v>0</v>
      </c>
      <c r="AG35" s="648" t="s">
        <v>77</v>
      </c>
      <c r="AH35" s="649" t="s">
        <v>596</v>
      </c>
      <c r="AI35" s="622">
        <f>3-3</f>
        <v>0</v>
      </c>
      <c r="AK35" s="648" t="s">
        <v>96</v>
      </c>
      <c r="AL35" s="649" t="s">
        <v>558</v>
      </c>
      <c r="AM35" s="622">
        <f>685-685</f>
        <v>0</v>
      </c>
      <c r="AO35" s="648" t="s">
        <v>87</v>
      </c>
      <c r="AP35" s="649" t="s">
        <v>523</v>
      </c>
      <c r="AQ35" s="622">
        <f>20-20</f>
        <v>0</v>
      </c>
      <c r="AS35" s="638" t="s">
        <v>53</v>
      </c>
      <c r="AT35" s="639" t="s">
        <v>411</v>
      </c>
      <c r="AU35" s="640"/>
    </row>
    <row r="36" spans="1:47" ht="15.75" thickBot="1" x14ac:dyDescent="0.3">
      <c r="A36" s="648" t="s">
        <v>63</v>
      </c>
      <c r="B36" s="649" t="s">
        <v>966</v>
      </c>
      <c r="C36" s="622">
        <f>1200-1200</f>
        <v>0</v>
      </c>
      <c r="E36" s="648" t="s">
        <v>80</v>
      </c>
      <c r="F36" s="649" t="s">
        <v>925</v>
      </c>
      <c r="G36" s="622">
        <f>1230-1180-50</f>
        <v>0</v>
      </c>
      <c r="I36" s="648" t="s">
        <v>84</v>
      </c>
      <c r="J36" s="649" t="s">
        <v>882</v>
      </c>
      <c r="K36" s="622">
        <f>3000-3000</f>
        <v>0</v>
      </c>
      <c r="M36" s="648" t="s">
        <v>87</v>
      </c>
      <c r="N36" s="649" t="s">
        <v>834</v>
      </c>
      <c r="O36" s="622">
        <v>-780</v>
      </c>
      <c r="Q36" s="648" t="s">
        <v>765</v>
      </c>
      <c r="R36" s="649" t="s">
        <v>766</v>
      </c>
      <c r="S36" s="622">
        <f>18+78+5+35+26+117+7+53+43+195+11+88-676</f>
        <v>0</v>
      </c>
      <c r="U36" s="648" t="s">
        <v>96</v>
      </c>
      <c r="V36" s="649" t="s">
        <v>739</v>
      </c>
      <c r="W36" s="622">
        <f>-300+300</f>
        <v>0</v>
      </c>
      <c r="Y36" s="648" t="s">
        <v>87</v>
      </c>
      <c r="Z36" s="649" t="s">
        <v>716</v>
      </c>
      <c r="AA36" s="622">
        <f>-20+20</f>
        <v>0</v>
      </c>
      <c r="AC36" s="648" t="s">
        <v>87</v>
      </c>
      <c r="AD36" s="649" t="s">
        <v>656</v>
      </c>
      <c r="AE36" s="622">
        <v>380</v>
      </c>
      <c r="AG36" s="648" t="s">
        <v>80</v>
      </c>
      <c r="AH36" s="649" t="s">
        <v>597</v>
      </c>
      <c r="AI36" s="622">
        <f>1155-205-950</f>
        <v>0</v>
      </c>
      <c r="AK36" s="648" t="s">
        <v>113</v>
      </c>
      <c r="AL36" s="649" t="s">
        <v>563</v>
      </c>
      <c r="AM36" s="622">
        <v>100</v>
      </c>
      <c r="AO36" s="648" t="s">
        <v>87</v>
      </c>
      <c r="AP36" s="649" t="s">
        <v>525</v>
      </c>
      <c r="AQ36" s="622">
        <f>-150+150</f>
        <v>0</v>
      </c>
      <c r="AS36" s="936" t="s">
        <v>412</v>
      </c>
      <c r="AT36" s="937"/>
      <c r="AU36" s="641">
        <f>SUM(AU34:AU35)</f>
        <v>0</v>
      </c>
    </row>
    <row r="37" spans="1:47" ht="15.75" thickBot="1" x14ac:dyDescent="0.3">
      <c r="A37" s="648" t="s">
        <v>65</v>
      </c>
      <c r="B37" s="649" t="s">
        <v>967</v>
      </c>
      <c r="C37" s="622">
        <f>400-400</f>
        <v>0</v>
      </c>
      <c r="E37" s="648" t="s">
        <v>82</v>
      </c>
      <c r="F37" s="649" t="s">
        <v>929</v>
      </c>
      <c r="G37" s="622">
        <f>140-140</f>
        <v>0</v>
      </c>
      <c r="I37" s="648" t="s">
        <v>87</v>
      </c>
      <c r="J37" s="649" t="s">
        <v>868</v>
      </c>
      <c r="K37" s="622">
        <f>-1000+500</f>
        <v>-500</v>
      </c>
      <c r="M37" s="648" t="s">
        <v>87</v>
      </c>
      <c r="N37" s="649" t="s">
        <v>835</v>
      </c>
      <c r="O37" s="622">
        <v>780</v>
      </c>
      <c r="Q37" s="648" t="s">
        <v>135</v>
      </c>
      <c r="R37" s="649" t="s">
        <v>631</v>
      </c>
      <c r="S37" s="622">
        <v>-2000</v>
      </c>
      <c r="U37" s="648" t="s">
        <v>107</v>
      </c>
      <c r="V37" s="649" t="s">
        <v>740</v>
      </c>
      <c r="W37" s="622">
        <f>-30+30</f>
        <v>0</v>
      </c>
      <c r="Y37" s="648" t="s">
        <v>93</v>
      </c>
      <c r="Z37" s="649" t="s">
        <v>703</v>
      </c>
      <c r="AA37" s="622">
        <f>217-217</f>
        <v>0</v>
      </c>
      <c r="AC37" s="648" t="s">
        <v>93</v>
      </c>
      <c r="AD37" s="649" t="s">
        <v>653</v>
      </c>
      <c r="AE37" s="622">
        <f>-200+200</f>
        <v>0</v>
      </c>
      <c r="AG37" s="648" t="s">
        <v>82</v>
      </c>
      <c r="AH37" s="649" t="s">
        <v>598</v>
      </c>
      <c r="AI37" s="622">
        <f>4000-4600+600+15</f>
        <v>15</v>
      </c>
      <c r="AK37" s="648" t="s">
        <v>113</v>
      </c>
      <c r="AL37" s="649" t="s">
        <v>564</v>
      </c>
      <c r="AM37" s="622">
        <f>-163+63</f>
        <v>-100</v>
      </c>
      <c r="AO37" s="648" t="s">
        <v>89</v>
      </c>
      <c r="AP37" s="649" t="s">
        <v>524</v>
      </c>
      <c r="AQ37" s="622">
        <f>-100+100</f>
        <v>0</v>
      </c>
      <c r="AS37" s="907" t="s">
        <v>413</v>
      </c>
      <c r="AT37" s="908"/>
      <c r="AU37" s="642">
        <f>AU33+AU36</f>
        <v>-2701</v>
      </c>
    </row>
    <row r="38" spans="1:47" x14ac:dyDescent="0.25">
      <c r="A38" s="648" t="s">
        <v>75</v>
      </c>
      <c r="B38" s="649" t="s">
        <v>972</v>
      </c>
      <c r="C38" s="622">
        <v>100</v>
      </c>
      <c r="E38" s="648" t="s">
        <v>84</v>
      </c>
      <c r="F38" s="649" t="s">
        <v>932</v>
      </c>
      <c r="G38" s="622">
        <f>-2000+2000</f>
        <v>0</v>
      </c>
      <c r="I38" s="648" t="s">
        <v>87</v>
      </c>
      <c r="J38" s="649" t="s">
        <v>870</v>
      </c>
      <c r="K38" s="622">
        <f>1450-950</f>
        <v>500</v>
      </c>
      <c r="M38" s="648" t="s">
        <v>96</v>
      </c>
      <c r="N38" s="649" t="s">
        <v>830</v>
      </c>
      <c r="O38" s="622">
        <f>525-525</f>
        <v>0</v>
      </c>
      <c r="Q38" s="648" t="s">
        <v>135</v>
      </c>
      <c r="R38" s="649" t="s">
        <v>770</v>
      </c>
      <c r="S38" s="622">
        <f>2100+80-180</f>
        <v>2000</v>
      </c>
      <c r="U38" s="648" t="s">
        <v>117</v>
      </c>
      <c r="V38" s="649" t="s">
        <v>738</v>
      </c>
      <c r="W38" s="622">
        <f>-83+83</f>
        <v>0</v>
      </c>
      <c r="Y38" s="648" t="s">
        <v>96</v>
      </c>
      <c r="Z38" s="649" t="s">
        <v>700</v>
      </c>
      <c r="AA38" s="622">
        <f>20-20</f>
        <v>0</v>
      </c>
      <c r="AC38" s="648" t="s">
        <v>113</v>
      </c>
      <c r="AD38" s="649" t="s">
        <v>621</v>
      </c>
      <c r="AE38" s="622">
        <f>3000+1000</f>
        <v>4000</v>
      </c>
      <c r="AG38" s="648" t="s">
        <v>93</v>
      </c>
      <c r="AH38" s="649" t="s">
        <v>599</v>
      </c>
      <c r="AI38" s="622">
        <f>1000-1000</f>
        <v>0</v>
      </c>
      <c r="AK38" s="648" t="s">
        <v>122</v>
      </c>
      <c r="AL38" s="649" t="s">
        <v>562</v>
      </c>
      <c r="AM38" s="622">
        <f>284-284</f>
        <v>0</v>
      </c>
      <c r="AO38" s="648" t="s">
        <v>96</v>
      </c>
      <c r="AP38" s="649" t="s">
        <v>522</v>
      </c>
      <c r="AQ38" s="622">
        <f>-30+30</f>
        <v>0</v>
      </c>
      <c r="AT38" s="643"/>
      <c r="AU38" s="426"/>
    </row>
    <row r="39" spans="1:47" ht="15.75" thickBot="1" x14ac:dyDescent="0.3">
      <c r="A39" s="648" t="s">
        <v>77</v>
      </c>
      <c r="B39" s="649" t="s">
        <v>973</v>
      </c>
      <c r="C39" s="622">
        <f>210-210</f>
        <v>0</v>
      </c>
      <c r="E39" s="648" t="s">
        <v>87</v>
      </c>
      <c r="F39" s="649" t="s">
        <v>933</v>
      </c>
      <c r="G39" s="622">
        <f>1300-1300</f>
        <v>0</v>
      </c>
      <c r="I39" s="648" t="s">
        <v>89</v>
      </c>
      <c r="J39" s="649" t="s">
        <v>869</v>
      </c>
      <c r="K39" s="622">
        <f>-200+200</f>
        <v>0</v>
      </c>
      <c r="M39" s="648" t="s">
        <v>107</v>
      </c>
      <c r="N39" s="649" t="s">
        <v>838</v>
      </c>
      <c r="O39" s="622">
        <f>30-30</f>
        <v>0</v>
      </c>
      <c r="Q39" s="648" t="s">
        <v>136</v>
      </c>
      <c r="R39" s="649" t="s">
        <v>771</v>
      </c>
      <c r="S39" s="622">
        <v>600</v>
      </c>
      <c r="U39" s="648" t="s">
        <v>122</v>
      </c>
      <c r="V39" s="649" t="s">
        <v>743</v>
      </c>
      <c r="W39" s="622">
        <f>1739-1739+3063</f>
        <v>3063</v>
      </c>
      <c r="Y39" s="648" t="s">
        <v>113</v>
      </c>
      <c r="Z39" s="649" t="s">
        <v>688</v>
      </c>
      <c r="AA39" s="622">
        <v>3000</v>
      </c>
      <c r="AC39" s="648" t="s">
        <v>113</v>
      </c>
      <c r="AD39" s="649" t="s">
        <v>648</v>
      </c>
      <c r="AE39" s="622">
        <v>-1000</v>
      </c>
      <c r="AF39" s="426">
        <f>SUM(AE38:AE39)</f>
        <v>3000</v>
      </c>
      <c r="AG39" s="648" t="s">
        <v>96</v>
      </c>
      <c r="AH39" s="649" t="s">
        <v>601</v>
      </c>
      <c r="AI39" s="622">
        <f>200-200+200-200</f>
        <v>0</v>
      </c>
      <c r="AK39" s="648" t="s">
        <v>135</v>
      </c>
      <c r="AL39" s="649" t="s">
        <v>565</v>
      </c>
      <c r="AM39" s="622">
        <f>-3500+3500</f>
        <v>0</v>
      </c>
      <c r="AO39" s="648" t="s">
        <v>122</v>
      </c>
      <c r="AP39" s="649" t="s">
        <v>526</v>
      </c>
      <c r="AQ39" s="622">
        <f>5000-5000+3863+200-200</f>
        <v>3863</v>
      </c>
      <c r="AS39" s="909" t="s">
        <v>414</v>
      </c>
      <c r="AT39" s="909"/>
      <c r="AU39" s="909"/>
    </row>
    <row r="40" spans="1:47" ht="15.75" thickBot="1" x14ac:dyDescent="0.3">
      <c r="A40" s="648" t="s">
        <v>80</v>
      </c>
      <c r="B40" s="649" t="s">
        <v>968</v>
      </c>
      <c r="C40" s="622">
        <f>-410+410</f>
        <v>0</v>
      </c>
      <c r="E40" s="648" t="s">
        <v>87</v>
      </c>
      <c r="F40" s="649" t="s">
        <v>935</v>
      </c>
      <c r="G40" s="622">
        <f>250-250</f>
        <v>0</v>
      </c>
      <c r="I40" s="648" t="s">
        <v>93</v>
      </c>
      <c r="J40" s="649" t="s">
        <v>874</v>
      </c>
      <c r="K40" s="622">
        <f>-50+50</f>
        <v>0</v>
      </c>
      <c r="M40" s="648" t="s">
        <v>113</v>
      </c>
      <c r="N40" s="649" t="s">
        <v>837</v>
      </c>
      <c r="O40" s="622">
        <f>30-30</f>
        <v>0</v>
      </c>
      <c r="Q40" s="650"/>
      <c r="R40" s="651"/>
      <c r="S40" s="652"/>
      <c r="U40" s="648"/>
      <c r="V40" s="649"/>
      <c r="W40" s="622"/>
      <c r="Y40" s="648" t="s">
        <v>113</v>
      </c>
      <c r="Z40" s="649" t="s">
        <v>702</v>
      </c>
      <c r="AA40" s="622">
        <f>-400+400</f>
        <v>0</v>
      </c>
      <c r="AC40" s="648" t="s">
        <v>113</v>
      </c>
      <c r="AD40" s="649" t="s">
        <v>652</v>
      </c>
      <c r="AE40" s="622">
        <f>80-80</f>
        <v>0</v>
      </c>
      <c r="AG40" s="648" t="s">
        <v>98</v>
      </c>
      <c r="AH40" s="649" t="s">
        <v>600</v>
      </c>
      <c r="AI40" s="622">
        <f>300-300</f>
        <v>0</v>
      </c>
      <c r="AK40" s="648" t="s">
        <v>135</v>
      </c>
      <c r="AL40" s="649" t="s">
        <v>567</v>
      </c>
      <c r="AM40" s="622">
        <f>572-572</f>
        <v>0</v>
      </c>
      <c r="AO40" s="648" t="s">
        <v>135</v>
      </c>
      <c r="AP40" s="649" t="s">
        <v>527</v>
      </c>
      <c r="AQ40" s="622">
        <f>-78000+78000</f>
        <v>0</v>
      </c>
      <c r="AS40" s="644" t="s">
        <v>221</v>
      </c>
      <c r="AT40" s="645" t="s">
        <v>415</v>
      </c>
      <c r="AU40" s="646" t="s">
        <v>416</v>
      </c>
    </row>
    <row r="41" spans="1:47" ht="15.75" thickBot="1" x14ac:dyDescent="0.3">
      <c r="A41" s="648" t="s">
        <v>82</v>
      </c>
      <c r="B41" s="649" t="s">
        <v>971</v>
      </c>
      <c r="C41" s="622">
        <f>800-800</f>
        <v>0</v>
      </c>
      <c r="E41" s="648" t="s">
        <v>89</v>
      </c>
      <c r="F41" s="649" t="s">
        <v>934</v>
      </c>
      <c r="G41" s="622">
        <f>1215-1215</f>
        <v>0</v>
      </c>
      <c r="I41" s="648" t="s">
        <v>113</v>
      </c>
      <c r="J41" s="649" t="s">
        <v>872</v>
      </c>
      <c r="K41" s="622">
        <f>300-300</f>
        <v>0</v>
      </c>
      <c r="M41" s="648" t="s">
        <v>117</v>
      </c>
      <c r="N41" s="649" t="s">
        <v>829</v>
      </c>
      <c r="O41" s="622">
        <f>60-60</f>
        <v>0</v>
      </c>
      <c r="Q41" s="912" t="s">
        <v>156</v>
      </c>
      <c r="R41" s="913"/>
      <c r="S41" s="653">
        <f>SUM(S42:S44)</f>
        <v>0</v>
      </c>
      <c r="U41" s="648"/>
      <c r="V41" s="649"/>
      <c r="W41" s="622"/>
      <c r="Y41" s="648" t="s">
        <v>115</v>
      </c>
      <c r="Z41" s="649" t="s">
        <v>717</v>
      </c>
      <c r="AA41" s="622">
        <f>110-110</f>
        <v>0</v>
      </c>
      <c r="AC41" s="648" t="s">
        <v>117</v>
      </c>
      <c r="AD41" s="649" t="s">
        <v>650</v>
      </c>
      <c r="AE41" s="622">
        <f>660-660</f>
        <v>0</v>
      </c>
      <c r="AG41" s="648" t="s">
        <v>113</v>
      </c>
      <c r="AH41" s="649" t="s">
        <v>608</v>
      </c>
      <c r="AI41" s="622">
        <v>2000</v>
      </c>
      <c r="AK41" s="648" t="s">
        <v>135</v>
      </c>
      <c r="AL41" s="649" t="s">
        <v>568</v>
      </c>
      <c r="AM41" s="622">
        <f>20-20</f>
        <v>0</v>
      </c>
      <c r="AO41" s="648"/>
      <c r="AP41" s="649"/>
      <c r="AQ41" s="622"/>
      <c r="AS41" s="910" t="s">
        <v>409</v>
      </c>
      <c r="AT41" s="911"/>
      <c r="AU41" s="647">
        <f>SUM(AU42:AU59)</f>
        <v>2771</v>
      </c>
    </row>
    <row r="42" spans="1:47" ht="15.75" thickBot="1" x14ac:dyDescent="0.3">
      <c r="A42" s="648" t="s">
        <v>87</v>
      </c>
      <c r="B42" s="649" t="s">
        <v>974</v>
      </c>
      <c r="C42" s="622">
        <f>-130+130</f>
        <v>0</v>
      </c>
      <c r="E42" s="648" t="s">
        <v>96</v>
      </c>
      <c r="F42" s="649" t="s">
        <v>928</v>
      </c>
      <c r="G42" s="622">
        <f>-4655+4655</f>
        <v>0</v>
      </c>
      <c r="I42" s="648" t="s">
        <v>113</v>
      </c>
      <c r="J42" s="649" t="s">
        <v>873</v>
      </c>
      <c r="K42" s="622">
        <f>-60+60</f>
        <v>0</v>
      </c>
      <c r="M42" s="648" t="s">
        <v>122</v>
      </c>
      <c r="N42" s="649" t="s">
        <v>836</v>
      </c>
      <c r="O42" s="622">
        <f>3274+250-250</f>
        <v>3274</v>
      </c>
      <c r="Q42" s="682" t="s">
        <v>122</v>
      </c>
      <c r="R42" s="683" t="s">
        <v>764</v>
      </c>
      <c r="S42" s="684">
        <f>750-750</f>
        <v>0</v>
      </c>
      <c r="U42" s="650"/>
      <c r="V42" s="651"/>
      <c r="W42" s="652"/>
      <c r="Y42" s="648" t="s">
        <v>122</v>
      </c>
      <c r="Z42" s="649" t="s">
        <v>718</v>
      </c>
      <c r="AA42" s="622">
        <f>250-250</f>
        <v>0</v>
      </c>
      <c r="AC42" s="648" t="s">
        <v>119</v>
      </c>
      <c r="AD42" s="649" t="s">
        <v>691</v>
      </c>
      <c r="AE42" s="622">
        <f>1800-1800</f>
        <v>0</v>
      </c>
      <c r="AG42" s="648" t="s">
        <v>113</v>
      </c>
      <c r="AH42" s="649" t="s">
        <v>605</v>
      </c>
      <c r="AI42" s="622">
        <f>2000+1000+1000</f>
        <v>4000</v>
      </c>
      <c r="AK42" s="648" t="s">
        <v>136</v>
      </c>
      <c r="AL42" s="649" t="s">
        <v>569</v>
      </c>
      <c r="AM42" s="622">
        <f>272-272</f>
        <v>0</v>
      </c>
      <c r="AO42" s="650"/>
      <c r="AP42" s="651"/>
      <c r="AQ42" s="652"/>
      <c r="AS42" s="648" t="s">
        <v>69</v>
      </c>
      <c r="AT42" s="649" t="s">
        <v>447</v>
      </c>
      <c r="AU42" s="622">
        <f>50-50</f>
        <v>0</v>
      </c>
    </row>
    <row r="43" spans="1:47" ht="15.75" thickBot="1" x14ac:dyDescent="0.3">
      <c r="A43" s="648" t="s">
        <v>87</v>
      </c>
      <c r="B43" s="649" t="s">
        <v>976</v>
      </c>
      <c r="C43" s="622">
        <f>-570+570</f>
        <v>0</v>
      </c>
      <c r="E43" s="648" t="s">
        <v>100</v>
      </c>
      <c r="F43" s="649" t="s">
        <v>927</v>
      </c>
      <c r="G43" s="622">
        <f>500-500</f>
        <v>0</v>
      </c>
      <c r="I43" s="648" t="s">
        <v>117</v>
      </c>
      <c r="J43" s="649" t="s">
        <v>880</v>
      </c>
      <c r="K43" s="622">
        <f>-200+200</f>
        <v>0</v>
      </c>
      <c r="M43" s="648" t="s">
        <v>136</v>
      </c>
      <c r="N43" s="649" t="s">
        <v>839</v>
      </c>
      <c r="O43" s="622">
        <f>-120+120</f>
        <v>0</v>
      </c>
      <c r="Q43" s="809"/>
      <c r="R43" s="625"/>
      <c r="S43" s="626"/>
      <c r="U43" s="912" t="s">
        <v>156</v>
      </c>
      <c r="V43" s="913"/>
      <c r="W43" s="653">
        <f>SUM(W44:W46)</f>
        <v>95000</v>
      </c>
      <c r="Y43" s="648" t="s">
        <v>131</v>
      </c>
      <c r="Z43" s="649" t="s">
        <v>701</v>
      </c>
      <c r="AA43" s="622">
        <f>2030-2030+399-399</f>
        <v>0</v>
      </c>
      <c r="AC43" s="648" t="s">
        <v>122</v>
      </c>
      <c r="AD43" s="649" t="s">
        <v>655</v>
      </c>
      <c r="AE43" s="622">
        <v>7627</v>
      </c>
      <c r="AG43" s="648" t="s">
        <v>115</v>
      </c>
      <c r="AH43" s="649" t="s">
        <v>602</v>
      </c>
      <c r="AI43" s="622">
        <f>600-600</f>
        <v>0</v>
      </c>
      <c r="AK43" s="648" t="s">
        <v>138</v>
      </c>
      <c r="AL43" s="649" t="s">
        <v>566</v>
      </c>
      <c r="AM43" s="622">
        <f>170-170</f>
        <v>0</v>
      </c>
      <c r="AO43" s="912" t="s">
        <v>156</v>
      </c>
      <c r="AP43" s="913"/>
      <c r="AQ43" s="653">
        <f>SUM(AQ44:AQ44)</f>
        <v>0</v>
      </c>
      <c r="AS43" s="648" t="s">
        <v>69</v>
      </c>
      <c r="AT43" s="649" t="s">
        <v>453</v>
      </c>
      <c r="AU43" s="622">
        <v>-10</v>
      </c>
    </row>
    <row r="44" spans="1:47" ht="15.75" thickBot="1" x14ac:dyDescent="0.3">
      <c r="A44" s="648" t="s">
        <v>89</v>
      </c>
      <c r="B44" s="649" t="s">
        <v>975</v>
      </c>
      <c r="C44" s="622">
        <f>-10+10</f>
        <v>0</v>
      </c>
      <c r="E44" s="648" t="s">
        <v>113</v>
      </c>
      <c r="F44" s="649" t="s">
        <v>938</v>
      </c>
      <c r="G44" s="622">
        <f>-600+600</f>
        <v>0</v>
      </c>
      <c r="I44" s="648" t="s">
        <v>122</v>
      </c>
      <c r="J44" s="649" t="s">
        <v>876</v>
      </c>
      <c r="K44" s="622">
        <f>7467+672-672</f>
        <v>7467</v>
      </c>
      <c r="M44" s="648"/>
      <c r="N44" s="649"/>
      <c r="O44" s="622"/>
      <c r="Q44" s="654"/>
      <c r="R44" s="655"/>
      <c r="S44" s="656"/>
      <c r="U44" s="682" t="s">
        <v>93</v>
      </c>
      <c r="V44" s="683" t="s">
        <v>747</v>
      </c>
      <c r="W44" s="684">
        <f>6277-6277</f>
        <v>0</v>
      </c>
      <c r="Y44" s="648" t="s">
        <v>135</v>
      </c>
      <c r="Z44" s="649" t="s">
        <v>673</v>
      </c>
      <c r="AA44" s="622">
        <f>6600+1170</f>
        <v>7770</v>
      </c>
      <c r="AC44" s="650"/>
      <c r="AD44" s="651"/>
      <c r="AE44" s="652"/>
      <c r="AG44" s="648" t="s">
        <v>122</v>
      </c>
      <c r="AH44" s="649" t="s">
        <v>573</v>
      </c>
      <c r="AI44" s="622">
        <v>1722</v>
      </c>
      <c r="AK44" s="648"/>
      <c r="AL44" s="649"/>
      <c r="AM44" s="622"/>
      <c r="AO44" s="654"/>
      <c r="AP44" s="655"/>
      <c r="AQ44" s="656"/>
      <c r="AS44" s="648" t="s">
        <v>69</v>
      </c>
      <c r="AT44" s="649" t="s">
        <v>454</v>
      </c>
      <c r="AU44" s="622">
        <v>-10</v>
      </c>
    </row>
    <row r="45" spans="1:47" ht="15.75" thickBot="1" x14ac:dyDescent="0.3">
      <c r="A45" s="648" t="s">
        <v>96</v>
      </c>
      <c r="B45" s="649" t="s">
        <v>970</v>
      </c>
      <c r="C45" s="622">
        <f>-8250+8250</f>
        <v>0</v>
      </c>
      <c r="E45" s="648" t="s">
        <v>113</v>
      </c>
      <c r="F45" s="649" t="s">
        <v>909</v>
      </c>
      <c r="G45" s="622">
        <f>-50+50-2170-200+200</f>
        <v>-2170</v>
      </c>
      <c r="I45" s="648" t="s">
        <v>131</v>
      </c>
      <c r="J45" s="649" t="s">
        <v>871</v>
      </c>
      <c r="K45" s="622">
        <f>1561+90-90</f>
        <v>1561</v>
      </c>
      <c r="M45" s="650"/>
      <c r="N45" s="651"/>
      <c r="O45" s="652"/>
      <c r="Q45" s="914" t="s">
        <v>168</v>
      </c>
      <c r="R45" s="915"/>
      <c r="S45" s="627">
        <f>S46</f>
        <v>0</v>
      </c>
      <c r="U45" s="809" t="s">
        <v>124</v>
      </c>
      <c r="V45" s="625" t="s">
        <v>748</v>
      </c>
      <c r="W45" s="626">
        <v>95000</v>
      </c>
      <c r="Y45" s="648" t="s">
        <v>135</v>
      </c>
      <c r="Z45" s="649" t="s">
        <v>719</v>
      </c>
      <c r="AA45" s="622">
        <f>2500-2500</f>
        <v>0</v>
      </c>
      <c r="AC45" s="912" t="s">
        <v>156</v>
      </c>
      <c r="AD45" s="913"/>
      <c r="AE45" s="653">
        <f>SUM(AE46:AE46)</f>
        <v>0</v>
      </c>
      <c r="AG45" s="648" t="s">
        <v>122</v>
      </c>
      <c r="AH45" s="649" t="s">
        <v>603</v>
      </c>
      <c r="AI45" s="622">
        <f>300-300</f>
        <v>0</v>
      </c>
      <c r="AK45" s="650"/>
      <c r="AL45" s="651"/>
      <c r="AM45" s="652"/>
      <c r="AO45" s="914" t="s">
        <v>168</v>
      </c>
      <c r="AP45" s="915"/>
      <c r="AQ45" s="627">
        <f>AQ46</f>
        <v>0</v>
      </c>
      <c r="AS45" s="648" t="s">
        <v>69</v>
      </c>
      <c r="AT45" s="649" t="s">
        <v>455</v>
      </c>
      <c r="AU45" s="622">
        <f>-100+100</f>
        <v>0</v>
      </c>
    </row>
    <row r="46" spans="1:47" ht="15.75" thickBot="1" x14ac:dyDescent="0.3">
      <c r="A46" s="648" t="s">
        <v>98</v>
      </c>
      <c r="B46" s="649" t="s">
        <v>983</v>
      </c>
      <c r="C46" s="622">
        <f>10-10</f>
        <v>0</v>
      </c>
      <c r="E46" s="648" t="s">
        <v>113</v>
      </c>
      <c r="F46" s="649" t="s">
        <v>939</v>
      </c>
      <c r="G46" s="622">
        <f>22980+1900+2170+100-100</f>
        <v>27050</v>
      </c>
      <c r="I46" s="648" t="s">
        <v>135</v>
      </c>
      <c r="J46" s="649" t="s">
        <v>875</v>
      </c>
      <c r="K46" s="622">
        <f>900-900</f>
        <v>0</v>
      </c>
      <c r="M46" s="912" t="s">
        <v>156</v>
      </c>
      <c r="N46" s="913"/>
      <c r="O46" s="653">
        <f>SUM(O47:O49)</f>
        <v>0</v>
      </c>
      <c r="Q46" s="657"/>
      <c r="R46" s="658"/>
      <c r="S46" s="659"/>
      <c r="U46" s="654"/>
      <c r="V46" s="655"/>
      <c r="W46" s="656"/>
      <c r="Y46" s="648" t="s">
        <v>138</v>
      </c>
      <c r="Z46" s="649" t="s">
        <v>704</v>
      </c>
      <c r="AA46" s="622">
        <v>570</v>
      </c>
      <c r="AC46" s="654"/>
      <c r="AD46" s="655"/>
      <c r="AE46" s="656"/>
      <c r="AG46" s="648" t="s">
        <v>131</v>
      </c>
      <c r="AH46" s="649" t="s">
        <v>604</v>
      </c>
      <c r="AI46" s="622">
        <f>50-50</f>
        <v>0</v>
      </c>
      <c r="AK46" s="912" t="s">
        <v>156</v>
      </c>
      <c r="AL46" s="913"/>
      <c r="AM46" s="653">
        <f>SUM(AM47:AM47)</f>
        <v>0</v>
      </c>
      <c r="AO46" s="657"/>
      <c r="AP46" s="658"/>
      <c r="AQ46" s="659"/>
      <c r="AS46" s="648" t="s">
        <v>73</v>
      </c>
      <c r="AT46" s="649" t="s">
        <v>457</v>
      </c>
      <c r="AU46" s="622">
        <v>15</v>
      </c>
    </row>
    <row r="47" spans="1:47" ht="15.75" thickBot="1" x14ac:dyDescent="0.3">
      <c r="A47" s="648" t="s">
        <v>113</v>
      </c>
      <c r="B47" s="649" t="s">
        <v>981</v>
      </c>
      <c r="C47" s="622">
        <f>-110+10+100</f>
        <v>0</v>
      </c>
      <c r="E47" s="648" t="s">
        <v>117</v>
      </c>
      <c r="F47" s="649" t="s">
        <v>926</v>
      </c>
      <c r="G47" s="622">
        <f>-10+10</f>
        <v>0</v>
      </c>
      <c r="I47" s="648"/>
      <c r="J47" s="649"/>
      <c r="K47" s="622"/>
      <c r="M47" s="682"/>
      <c r="N47" s="683"/>
      <c r="O47" s="684">
        <f>750-750</f>
        <v>0</v>
      </c>
      <c r="Q47" s="905" t="s">
        <v>464</v>
      </c>
      <c r="R47" s="906"/>
      <c r="S47" s="634">
        <f>S26+S41+S45</f>
        <v>1600</v>
      </c>
      <c r="U47" s="914" t="s">
        <v>168</v>
      </c>
      <c r="V47" s="915"/>
      <c r="W47" s="627">
        <f>W48</f>
        <v>0</v>
      </c>
      <c r="Y47" s="648" t="s">
        <v>82</v>
      </c>
      <c r="Z47" s="649" t="s">
        <v>710</v>
      </c>
      <c r="AA47" s="622"/>
      <c r="AC47" s="914" t="s">
        <v>168</v>
      </c>
      <c r="AD47" s="915"/>
      <c r="AE47" s="627">
        <f>AE48</f>
        <v>0</v>
      </c>
      <c r="AG47" s="648" t="s">
        <v>135</v>
      </c>
      <c r="AH47" s="649" t="s">
        <v>609</v>
      </c>
      <c r="AI47" s="622">
        <f>2200-2200</f>
        <v>0</v>
      </c>
      <c r="AK47" s="654"/>
      <c r="AL47" s="655"/>
      <c r="AM47" s="656"/>
      <c r="AO47" s="905" t="s">
        <v>464</v>
      </c>
      <c r="AP47" s="906"/>
      <c r="AQ47" s="634">
        <f>AQ32+AQ43+AQ45</f>
        <v>3863</v>
      </c>
      <c r="AS47" s="648" t="s">
        <v>77</v>
      </c>
      <c r="AT47" s="649" t="s">
        <v>435</v>
      </c>
      <c r="AU47" s="622">
        <f>325+58</f>
        <v>383</v>
      </c>
    </row>
    <row r="48" spans="1:47" ht="15.75" thickBot="1" x14ac:dyDescent="0.3">
      <c r="A48" s="648" t="s">
        <v>113</v>
      </c>
      <c r="B48" s="649" t="s">
        <v>982</v>
      </c>
      <c r="C48" s="622">
        <f>40-40</f>
        <v>0</v>
      </c>
      <c r="E48" s="648" t="s">
        <v>122</v>
      </c>
      <c r="F48" s="649" t="s">
        <v>936</v>
      </c>
      <c r="G48" s="622">
        <v>350</v>
      </c>
      <c r="I48" s="648"/>
      <c r="J48" s="649"/>
      <c r="K48" s="622"/>
      <c r="M48" s="809"/>
      <c r="N48" s="625"/>
      <c r="O48" s="626"/>
      <c r="Q48" s="660" t="s">
        <v>53</v>
      </c>
      <c r="R48" s="661" t="s">
        <v>417</v>
      </c>
      <c r="S48" s="662"/>
      <c r="U48" s="657"/>
      <c r="V48" s="658"/>
      <c r="W48" s="659"/>
      <c r="Y48" s="650"/>
      <c r="Z48" s="651"/>
      <c r="AA48" s="652"/>
      <c r="AC48" s="657"/>
      <c r="AD48" s="658"/>
      <c r="AE48" s="659"/>
      <c r="AG48" s="648" t="s">
        <v>136</v>
      </c>
      <c r="AH48" s="649" t="s">
        <v>606</v>
      </c>
      <c r="AI48" s="622">
        <v>580</v>
      </c>
      <c r="AK48" s="914" t="s">
        <v>168</v>
      </c>
      <c r="AL48" s="915"/>
      <c r="AM48" s="627">
        <f>AM49</f>
        <v>0</v>
      </c>
      <c r="AO48" s="660" t="s">
        <v>53</v>
      </c>
      <c r="AP48" s="661" t="s">
        <v>417</v>
      </c>
      <c r="AQ48" s="662"/>
      <c r="AS48" s="648" t="s">
        <v>82</v>
      </c>
      <c r="AT48" s="649" t="s">
        <v>440</v>
      </c>
      <c r="AU48" s="622">
        <v>70</v>
      </c>
    </row>
    <row r="49" spans="1:47" ht="15.75" thickBot="1" x14ac:dyDescent="0.3">
      <c r="A49" s="648" t="s">
        <v>117</v>
      </c>
      <c r="B49" s="649" t="s">
        <v>969</v>
      </c>
      <c r="C49" s="622">
        <f>-50+50</f>
        <v>0</v>
      </c>
      <c r="E49" s="648" t="s">
        <v>765</v>
      </c>
      <c r="F49" s="649" t="s">
        <v>937</v>
      </c>
      <c r="G49" s="622">
        <f>-1000+1000</f>
        <v>0</v>
      </c>
      <c r="I49" s="650"/>
      <c r="J49" s="651"/>
      <c r="K49" s="652"/>
      <c r="M49" s="654"/>
      <c r="N49" s="655"/>
      <c r="O49" s="656"/>
      <c r="Q49" s="663" t="s">
        <v>53</v>
      </c>
      <c r="R49" s="664" t="s">
        <v>418</v>
      </c>
      <c r="S49" s="665"/>
      <c r="U49" s="905" t="s">
        <v>464</v>
      </c>
      <c r="V49" s="906"/>
      <c r="W49" s="634">
        <f>W29+W43+W47</f>
        <v>98063</v>
      </c>
      <c r="Y49" s="912" t="s">
        <v>156</v>
      </c>
      <c r="Z49" s="913"/>
      <c r="AA49" s="653">
        <f>SUM(AA50:AA50)</f>
        <v>0</v>
      </c>
      <c r="AC49" s="905" t="s">
        <v>464</v>
      </c>
      <c r="AD49" s="906"/>
      <c r="AE49" s="634">
        <f>AE29+AE45+AE47</f>
        <v>61832</v>
      </c>
      <c r="AG49" s="650"/>
      <c r="AH49" s="651"/>
      <c r="AI49" s="652"/>
      <c r="AK49" s="657"/>
      <c r="AL49" s="658"/>
      <c r="AM49" s="659"/>
      <c r="AO49" s="663" t="s">
        <v>53</v>
      </c>
      <c r="AP49" s="664" t="s">
        <v>418</v>
      </c>
      <c r="AQ49" s="665">
        <v>-10639</v>
      </c>
      <c r="AS49" s="648" t="s">
        <v>96</v>
      </c>
      <c r="AT49" s="649" t="s">
        <v>456</v>
      </c>
      <c r="AU49" s="622">
        <f>120-120</f>
        <v>0</v>
      </c>
    </row>
    <row r="50" spans="1:47" ht="15.75" thickBot="1" x14ac:dyDescent="0.3">
      <c r="A50" s="648" t="s">
        <v>122</v>
      </c>
      <c r="B50" s="649" t="s">
        <v>978</v>
      </c>
      <c r="C50" s="622">
        <f>1082+14+114+65+19+2+1+2593+889+282+423+1365+755+837+200-8641+35+2169</f>
        <v>2204</v>
      </c>
      <c r="E50" s="648" t="s">
        <v>135</v>
      </c>
      <c r="F50" s="649" t="s">
        <v>812</v>
      </c>
      <c r="G50" s="622">
        <v>4805</v>
      </c>
      <c r="I50" s="912" t="s">
        <v>156</v>
      </c>
      <c r="J50" s="913"/>
      <c r="K50" s="653">
        <f>SUM(K51:K53)</f>
        <v>0</v>
      </c>
      <c r="M50" s="914" t="s">
        <v>168</v>
      </c>
      <c r="N50" s="915"/>
      <c r="O50" s="627">
        <f>O51</f>
        <v>0</v>
      </c>
      <c r="Q50" s="907" t="s">
        <v>413</v>
      </c>
      <c r="R50" s="916"/>
      <c r="S50" s="642">
        <f>SUM(S47:S49)</f>
        <v>1600</v>
      </c>
      <c r="U50" s="660" t="s">
        <v>53</v>
      </c>
      <c r="V50" s="661" t="s">
        <v>417</v>
      </c>
      <c r="W50" s="662"/>
      <c r="Y50" s="654"/>
      <c r="Z50" s="655"/>
      <c r="AA50" s="656"/>
      <c r="AC50" s="660" t="s">
        <v>53</v>
      </c>
      <c r="AD50" s="661" t="s">
        <v>708</v>
      </c>
      <c r="AE50" s="662">
        <v>11670</v>
      </c>
      <c r="AG50" s="912" t="s">
        <v>156</v>
      </c>
      <c r="AH50" s="913"/>
      <c r="AI50" s="653">
        <f>SUM(AI51:AI51)</f>
        <v>0</v>
      </c>
      <c r="AK50" s="905" t="s">
        <v>464</v>
      </c>
      <c r="AL50" s="906"/>
      <c r="AM50" s="634">
        <f>AM24+AM46+AM48</f>
        <v>0</v>
      </c>
      <c r="AO50" s="907" t="s">
        <v>413</v>
      </c>
      <c r="AP50" s="916"/>
      <c r="AQ50" s="642">
        <f>SUM(AQ47:AQ49)</f>
        <v>-6776</v>
      </c>
      <c r="AS50" s="648" t="s">
        <v>122</v>
      </c>
      <c r="AT50" s="649" t="s">
        <v>458</v>
      </c>
      <c r="AU50" s="622">
        <f>-5000+5000+3</f>
        <v>3</v>
      </c>
    </row>
    <row r="51" spans="1:47" ht="15.75" thickBot="1" x14ac:dyDescent="0.3">
      <c r="A51" s="648" t="s">
        <v>124</v>
      </c>
      <c r="B51" s="649" t="s">
        <v>977</v>
      </c>
      <c r="C51" s="622">
        <v>1720</v>
      </c>
      <c r="E51" s="648" t="s">
        <v>135</v>
      </c>
      <c r="F51" s="649" t="s">
        <v>941</v>
      </c>
      <c r="G51" s="622">
        <f>2510-2510</f>
        <v>0</v>
      </c>
      <c r="I51" s="682"/>
      <c r="J51" s="683"/>
      <c r="K51" s="684">
        <f>750-750</f>
        <v>0</v>
      </c>
      <c r="M51" s="657"/>
      <c r="N51" s="658"/>
      <c r="O51" s="659"/>
      <c r="R51" s="666" t="s">
        <v>419</v>
      </c>
      <c r="S51" s="426">
        <f>S50-S22</f>
        <v>0</v>
      </c>
      <c r="U51" s="663" t="s">
        <v>53</v>
      </c>
      <c r="V51" s="664" t="s">
        <v>418</v>
      </c>
      <c r="W51" s="665">
        <v>-866</v>
      </c>
      <c r="Y51" s="914" t="s">
        <v>168</v>
      </c>
      <c r="Z51" s="915"/>
      <c r="AA51" s="627">
        <f>AA52</f>
        <v>0</v>
      </c>
      <c r="AC51" s="663" t="s">
        <v>53</v>
      </c>
      <c r="AD51" s="664" t="s">
        <v>709</v>
      </c>
      <c r="AE51" s="665">
        <f>22337+465+1525</f>
        <v>24327</v>
      </c>
      <c r="AG51" s="654"/>
      <c r="AH51" s="655"/>
      <c r="AI51" s="656"/>
      <c r="AK51" s="660" t="s">
        <v>53</v>
      </c>
      <c r="AL51" s="661" t="s">
        <v>417</v>
      </c>
      <c r="AM51" s="662"/>
      <c r="AP51" s="666" t="s">
        <v>419</v>
      </c>
      <c r="AQ51" s="426">
        <f>AQ50-AQ28</f>
        <v>0</v>
      </c>
      <c r="AS51" s="648" t="s">
        <v>131</v>
      </c>
      <c r="AT51" s="649" t="s">
        <v>459</v>
      </c>
      <c r="AU51" s="622">
        <f>220-220-160</f>
        <v>-160</v>
      </c>
    </row>
    <row r="52" spans="1:47" ht="15.75" thickBot="1" x14ac:dyDescent="0.3">
      <c r="A52" s="648" t="s">
        <v>765</v>
      </c>
      <c r="B52" s="649" t="s">
        <v>979</v>
      </c>
      <c r="C52" s="622">
        <f>25+165+135+35+300+35+55+560+10+110-1430</f>
        <v>0</v>
      </c>
      <c r="E52" s="648" t="s">
        <v>135</v>
      </c>
      <c r="F52" s="649" t="s">
        <v>942</v>
      </c>
      <c r="G52" s="622">
        <f>680+80-760</f>
        <v>0</v>
      </c>
      <c r="I52" s="809"/>
      <c r="J52" s="625"/>
      <c r="K52" s="626"/>
      <c r="M52" s="905" t="s">
        <v>464</v>
      </c>
      <c r="N52" s="906"/>
      <c r="O52" s="634">
        <f>O27+O46+O50</f>
        <v>30702</v>
      </c>
      <c r="U52" s="907" t="s">
        <v>413</v>
      </c>
      <c r="V52" s="916"/>
      <c r="W52" s="642">
        <f>SUM(W49:W51)</f>
        <v>97197</v>
      </c>
      <c r="Y52" s="657"/>
      <c r="Z52" s="658"/>
      <c r="AA52" s="659"/>
      <c r="AC52" s="907" t="s">
        <v>413</v>
      </c>
      <c r="AD52" s="916"/>
      <c r="AE52" s="642">
        <f>SUM(AE49:AE51)</f>
        <v>97829</v>
      </c>
      <c r="AG52" s="914" t="s">
        <v>168</v>
      </c>
      <c r="AH52" s="915"/>
      <c r="AI52" s="627">
        <f>AI53</f>
        <v>0</v>
      </c>
      <c r="AK52" s="663" t="s">
        <v>53</v>
      </c>
      <c r="AL52" s="664" t="s">
        <v>418</v>
      </c>
      <c r="AM52" s="665"/>
      <c r="AS52" s="648" t="s">
        <v>133</v>
      </c>
      <c r="AT52" s="649" t="s">
        <v>448</v>
      </c>
      <c r="AU52" s="622">
        <v>-20</v>
      </c>
    </row>
    <row r="53" spans="1:47" ht="15.75" thickBot="1" x14ac:dyDescent="0.3">
      <c r="A53" s="648" t="s">
        <v>133</v>
      </c>
      <c r="B53" s="649" t="s">
        <v>980</v>
      </c>
      <c r="C53" s="622">
        <f>-300</f>
        <v>-300</v>
      </c>
      <c r="E53" s="648" t="s">
        <v>138</v>
      </c>
      <c r="F53" s="649" t="s">
        <v>940</v>
      </c>
      <c r="G53" s="622">
        <f>-300+300</f>
        <v>0</v>
      </c>
      <c r="I53" s="654"/>
      <c r="J53" s="655"/>
      <c r="K53" s="656"/>
      <c r="M53" s="660" t="s">
        <v>53</v>
      </c>
      <c r="N53" s="661" t="s">
        <v>777</v>
      </c>
      <c r="O53" s="662"/>
      <c r="V53" s="666" t="s">
        <v>419</v>
      </c>
      <c r="W53" s="426">
        <f>W52-W25</f>
        <v>0</v>
      </c>
      <c r="Y53" s="905" t="s">
        <v>464</v>
      </c>
      <c r="Z53" s="906"/>
      <c r="AA53" s="634">
        <f>AA30+AA49+AA51</f>
        <v>4454</v>
      </c>
      <c r="AD53" s="666" t="s">
        <v>419</v>
      </c>
      <c r="AE53" s="426">
        <f>AE52-AE25</f>
        <v>0</v>
      </c>
      <c r="AG53" s="657"/>
      <c r="AH53" s="658"/>
      <c r="AI53" s="659"/>
      <c r="AK53" s="907" t="s">
        <v>413</v>
      </c>
      <c r="AL53" s="916"/>
      <c r="AM53" s="642">
        <f>SUM(AM50:AM52)</f>
        <v>0</v>
      </c>
      <c r="AS53" s="648" t="s">
        <v>135</v>
      </c>
      <c r="AT53" s="649" t="s">
        <v>436</v>
      </c>
      <c r="AU53" s="622">
        <v>502</v>
      </c>
    </row>
    <row r="54" spans="1:47" ht="15.75" thickBot="1" x14ac:dyDescent="0.3">
      <c r="A54" s="648" t="s">
        <v>135</v>
      </c>
      <c r="B54" s="649" t="s">
        <v>984</v>
      </c>
      <c r="C54" s="622">
        <f>330+120+40-490</f>
        <v>0</v>
      </c>
      <c r="E54" s="650"/>
      <c r="F54" s="651"/>
      <c r="G54" s="652"/>
      <c r="I54" s="914" t="s">
        <v>168</v>
      </c>
      <c r="J54" s="915"/>
      <c r="K54" s="627">
        <f>K55</f>
        <v>0</v>
      </c>
      <c r="M54" s="663" t="s">
        <v>53</v>
      </c>
      <c r="N54" s="664" t="s">
        <v>418</v>
      </c>
      <c r="O54" s="665">
        <v>10579</v>
      </c>
      <c r="Q54" s="613" t="s">
        <v>772</v>
      </c>
      <c r="Y54" s="660" t="s">
        <v>53</v>
      </c>
      <c r="Z54" s="661" t="s">
        <v>707</v>
      </c>
      <c r="AA54" s="662">
        <v>-55</v>
      </c>
      <c r="AG54" s="905" t="s">
        <v>464</v>
      </c>
      <c r="AH54" s="906"/>
      <c r="AI54" s="634">
        <f>AI31+AI50+AI52</f>
        <v>8317</v>
      </c>
      <c r="AL54" s="666" t="s">
        <v>419</v>
      </c>
      <c r="AM54" s="426">
        <f>AM53-AM20</f>
        <v>0</v>
      </c>
      <c r="AO54" s="613" t="s">
        <v>425</v>
      </c>
      <c r="AS54" s="648" t="s">
        <v>135</v>
      </c>
      <c r="AT54" s="649" t="s">
        <v>452</v>
      </c>
      <c r="AU54" s="622">
        <f>-2100-400-600</f>
        <v>-3100</v>
      </c>
    </row>
    <row r="55" spans="1:47" ht="15.75" thickBot="1" x14ac:dyDescent="0.3">
      <c r="A55" s="648" t="s">
        <v>135</v>
      </c>
      <c r="B55" s="649" t="s">
        <v>987</v>
      </c>
      <c r="C55" s="622">
        <f>500+70+25-595</f>
        <v>0</v>
      </c>
      <c r="E55" s="912" t="s">
        <v>156</v>
      </c>
      <c r="F55" s="913"/>
      <c r="G55" s="653">
        <f>SUM(G56:G58)</f>
        <v>0</v>
      </c>
      <c r="I55" s="657"/>
      <c r="J55" s="658"/>
      <c r="K55" s="659"/>
      <c r="M55" s="907" t="s">
        <v>413</v>
      </c>
      <c r="N55" s="916"/>
      <c r="O55" s="642">
        <f>SUM(O52:O54)</f>
        <v>41281</v>
      </c>
      <c r="Q55" t="s">
        <v>420</v>
      </c>
      <c r="Y55" s="663" t="s">
        <v>53</v>
      </c>
      <c r="Z55" s="664" t="s">
        <v>418</v>
      </c>
      <c r="AA55" s="665"/>
      <c r="AG55" s="660" t="s">
        <v>53</v>
      </c>
      <c r="AH55" s="661" t="s">
        <v>417</v>
      </c>
      <c r="AI55" s="662"/>
      <c r="AO55" t="s">
        <v>420</v>
      </c>
      <c r="AS55" s="648" t="s">
        <v>135</v>
      </c>
      <c r="AT55" s="649" t="s">
        <v>451</v>
      </c>
      <c r="AU55" s="622">
        <f>600+50-50</f>
        <v>600</v>
      </c>
    </row>
    <row r="56" spans="1:47" ht="15" customHeight="1" thickBot="1" x14ac:dyDescent="0.3">
      <c r="A56" s="648" t="s">
        <v>135</v>
      </c>
      <c r="B56" s="649" t="s">
        <v>988</v>
      </c>
      <c r="C56" s="622">
        <f>20-20</f>
        <v>0</v>
      </c>
      <c r="E56" s="682"/>
      <c r="F56" s="683"/>
      <c r="G56" s="684">
        <f>750-750</f>
        <v>0</v>
      </c>
      <c r="I56" s="905" t="s">
        <v>464</v>
      </c>
      <c r="J56" s="906"/>
      <c r="K56" s="634">
        <f>K30+K50+K54</f>
        <v>9178</v>
      </c>
      <c r="N56" s="666" t="s">
        <v>419</v>
      </c>
      <c r="O56" s="426">
        <f>O55-O23</f>
        <v>0</v>
      </c>
      <c r="Q56" t="s">
        <v>421</v>
      </c>
      <c r="U56" s="613" t="s">
        <v>736</v>
      </c>
      <c r="Y56" s="907" t="s">
        <v>413</v>
      </c>
      <c r="Z56" s="916"/>
      <c r="AA56" s="642">
        <f>SUM(AA53:AA55)</f>
        <v>4399</v>
      </c>
      <c r="AC56" s="613" t="s">
        <v>626</v>
      </c>
      <c r="AF56" s="426">
        <f>SUM(AE50:AE51)</f>
        <v>35997</v>
      </c>
      <c r="AG56" s="663" t="s">
        <v>53</v>
      </c>
      <c r="AH56" s="664" t="s">
        <v>418</v>
      </c>
      <c r="AI56" s="665">
        <v>3639</v>
      </c>
      <c r="AO56" t="s">
        <v>421</v>
      </c>
      <c r="AS56" s="648" t="s">
        <v>136</v>
      </c>
      <c r="AT56" s="649" t="s">
        <v>462</v>
      </c>
      <c r="AU56" s="622">
        <f>3781-1450+1450</f>
        <v>3781</v>
      </c>
    </row>
    <row r="57" spans="1:47" ht="15.75" thickBot="1" x14ac:dyDescent="0.3">
      <c r="A57" s="648" t="s">
        <v>135</v>
      </c>
      <c r="B57" s="649" t="s">
        <v>989</v>
      </c>
      <c r="C57" s="622">
        <f>-25+25+11440</f>
        <v>11440</v>
      </c>
      <c r="E57" s="809"/>
      <c r="F57" s="625"/>
      <c r="G57" s="626"/>
      <c r="I57" s="660" t="s">
        <v>53</v>
      </c>
      <c r="J57" s="661" t="s">
        <v>777</v>
      </c>
      <c r="K57" s="662">
        <v>5872</v>
      </c>
      <c r="U57" t="s">
        <v>420</v>
      </c>
      <c r="Z57" s="666" t="s">
        <v>419</v>
      </c>
      <c r="AA57" s="426">
        <f>AA56-AA26</f>
        <v>0</v>
      </c>
      <c r="AC57" t="s">
        <v>420</v>
      </c>
      <c r="AG57" s="907" t="s">
        <v>413</v>
      </c>
      <c r="AH57" s="916"/>
      <c r="AI57" s="642">
        <f>SUM(AI54:AI56)</f>
        <v>11956</v>
      </c>
      <c r="AK57" s="613" t="s">
        <v>529</v>
      </c>
      <c r="AS57" s="648" t="s">
        <v>138</v>
      </c>
      <c r="AT57" s="649" t="s">
        <v>450</v>
      </c>
      <c r="AU57" s="622">
        <v>717</v>
      </c>
    </row>
    <row r="58" spans="1:47" ht="15.75" thickBot="1" x14ac:dyDescent="0.3">
      <c r="A58" s="648" t="s">
        <v>136</v>
      </c>
      <c r="B58" s="649" t="s">
        <v>985</v>
      </c>
      <c r="C58" s="622">
        <f>250+250-500</f>
        <v>0</v>
      </c>
      <c r="E58" s="654"/>
      <c r="F58" s="655"/>
      <c r="G58" s="656"/>
      <c r="I58" s="663" t="s">
        <v>53</v>
      </c>
      <c r="J58" s="664" t="s">
        <v>418</v>
      </c>
      <c r="K58" s="665">
        <v>9798</v>
      </c>
      <c r="U58" t="s">
        <v>421</v>
      </c>
      <c r="AC58" t="s">
        <v>421</v>
      </c>
      <c r="AH58" s="666" t="s">
        <v>419</v>
      </c>
      <c r="AI58" s="426">
        <f>AI57-AI27</f>
        <v>0</v>
      </c>
      <c r="AK58" t="s">
        <v>420</v>
      </c>
      <c r="AS58" s="648"/>
      <c r="AT58" s="649"/>
      <c r="AU58" s="622"/>
    </row>
    <row r="59" spans="1:47" ht="15.75" thickBot="1" x14ac:dyDescent="0.3">
      <c r="A59" s="648" t="s">
        <v>136</v>
      </c>
      <c r="B59" s="649" t="s">
        <v>986</v>
      </c>
      <c r="C59" s="622">
        <f>-300</f>
        <v>-300</v>
      </c>
      <c r="E59" s="914" t="s">
        <v>168</v>
      </c>
      <c r="F59" s="915"/>
      <c r="G59" s="627">
        <f>G60</f>
        <v>0</v>
      </c>
      <c r="I59" s="907" t="s">
        <v>413</v>
      </c>
      <c r="J59" s="916"/>
      <c r="K59" s="642">
        <f>SUM(K56:K58)</f>
        <v>24848</v>
      </c>
      <c r="M59" s="613" t="s">
        <v>795</v>
      </c>
      <c r="AK59" t="s">
        <v>421</v>
      </c>
      <c r="AS59" s="650"/>
      <c r="AT59" s="651"/>
      <c r="AU59" s="652"/>
    </row>
    <row r="60" spans="1:47" ht="15.75" thickBot="1" x14ac:dyDescent="0.3">
      <c r="A60" s="650"/>
      <c r="B60" s="651"/>
      <c r="C60" s="652"/>
      <c r="E60" s="657"/>
      <c r="F60" s="658"/>
      <c r="G60" s="659"/>
      <c r="J60" s="666" t="s">
        <v>419</v>
      </c>
      <c r="K60" s="426">
        <f>K59-K26</f>
        <v>0</v>
      </c>
      <c r="M60" t="s">
        <v>420</v>
      </c>
      <c r="Y60" s="613" t="s">
        <v>659</v>
      </c>
      <c r="AS60" s="912" t="s">
        <v>156</v>
      </c>
      <c r="AT60" s="913"/>
      <c r="AU60" s="653">
        <f>SUM(AU61:AU63)</f>
        <v>-7590</v>
      </c>
    </row>
    <row r="61" spans="1:47" ht="15.75" thickBot="1" x14ac:dyDescent="0.3">
      <c r="A61" s="912" t="s">
        <v>156</v>
      </c>
      <c r="B61" s="913"/>
      <c r="C61" s="653">
        <f>SUM(C62:C64)</f>
        <v>0</v>
      </c>
      <c r="E61" s="905" t="s">
        <v>464</v>
      </c>
      <c r="F61" s="906"/>
      <c r="G61" s="634">
        <f>G29+G55+G59</f>
        <v>30135</v>
      </c>
      <c r="M61" t="s">
        <v>421</v>
      </c>
      <c r="Y61" t="s">
        <v>420</v>
      </c>
      <c r="AG61" s="613" t="s">
        <v>576</v>
      </c>
      <c r="AS61" s="682" t="s">
        <v>111</v>
      </c>
      <c r="AT61" s="683" t="s">
        <v>434</v>
      </c>
      <c r="AU61" s="684">
        <v>-7590</v>
      </c>
    </row>
    <row r="62" spans="1:47" x14ac:dyDescent="0.25">
      <c r="A62" s="682"/>
      <c r="B62" s="683"/>
      <c r="C62" s="684">
        <f>750-750</f>
        <v>0</v>
      </c>
      <c r="E62" s="660" t="s">
        <v>53</v>
      </c>
      <c r="F62" s="661" t="s">
        <v>777</v>
      </c>
      <c r="G62" s="662">
        <v>0</v>
      </c>
      <c r="Y62" t="s">
        <v>421</v>
      </c>
      <c r="AG62" t="s">
        <v>420</v>
      </c>
      <c r="AS62" s="685"/>
      <c r="AT62" s="667"/>
      <c r="AU62" s="668"/>
    </row>
    <row r="63" spans="1:47" ht="15.75" thickBot="1" x14ac:dyDescent="0.3">
      <c r="A63" s="809"/>
      <c r="B63" s="625"/>
      <c r="C63" s="626"/>
      <c r="E63" s="663" t="s">
        <v>53</v>
      </c>
      <c r="F63" s="664" t="s">
        <v>418</v>
      </c>
      <c r="G63" s="665">
        <f>H13</f>
        <v>38</v>
      </c>
      <c r="I63" s="613" t="s">
        <v>859</v>
      </c>
      <c r="AG63" t="s">
        <v>421</v>
      </c>
      <c r="AS63" s="654"/>
      <c r="AT63" s="655"/>
      <c r="AU63" s="656"/>
    </row>
    <row r="64" spans="1:47" ht="15.75" thickBot="1" x14ac:dyDescent="0.3">
      <c r="A64" s="654"/>
      <c r="B64" s="655"/>
      <c r="C64" s="656"/>
      <c r="E64" s="907" t="s">
        <v>413</v>
      </c>
      <c r="F64" s="916"/>
      <c r="G64" s="642">
        <f>SUM(G61:G63)</f>
        <v>30173</v>
      </c>
      <c r="I64" t="s">
        <v>420</v>
      </c>
      <c r="AS64" s="914" t="s">
        <v>168</v>
      </c>
      <c r="AT64" s="915"/>
      <c r="AU64" s="627">
        <f>SUM(AU65:AU66)</f>
        <v>20</v>
      </c>
    </row>
    <row r="65" spans="1:47" ht="15.75" thickBot="1" x14ac:dyDescent="0.3">
      <c r="A65" s="914" t="s">
        <v>168</v>
      </c>
      <c r="B65" s="915"/>
      <c r="C65" s="627">
        <f>C66</f>
        <v>0</v>
      </c>
      <c r="F65" s="666" t="s">
        <v>419</v>
      </c>
      <c r="G65" s="426">
        <f>G64-G25</f>
        <v>0</v>
      </c>
      <c r="I65" t="s">
        <v>421</v>
      </c>
      <c r="AS65" s="657" t="s">
        <v>133</v>
      </c>
      <c r="AT65" s="658" t="s">
        <v>449</v>
      </c>
      <c r="AU65" s="659">
        <v>20</v>
      </c>
    </row>
    <row r="66" spans="1:47" ht="15.75" thickBot="1" x14ac:dyDescent="0.3">
      <c r="A66" s="657"/>
      <c r="B66" s="658"/>
      <c r="C66" s="659"/>
      <c r="AS66" s="657"/>
      <c r="AT66" s="658"/>
      <c r="AU66" s="659"/>
    </row>
    <row r="67" spans="1:47" ht="15.75" thickBot="1" x14ac:dyDescent="0.3">
      <c r="A67" s="905" t="s">
        <v>464</v>
      </c>
      <c r="B67" s="906"/>
      <c r="C67" s="634">
        <f>C35+C61+C65</f>
        <v>14864</v>
      </c>
      <c r="AS67" s="905" t="s">
        <v>464</v>
      </c>
      <c r="AT67" s="906"/>
      <c r="AU67" s="634">
        <f>AU41+AU60+AU64</f>
        <v>-4799</v>
      </c>
    </row>
    <row r="68" spans="1:47" x14ac:dyDescent="0.25">
      <c r="A68" s="660" t="s">
        <v>53</v>
      </c>
      <c r="B68" s="661" t="s">
        <v>777</v>
      </c>
      <c r="C68" s="662">
        <v>0</v>
      </c>
      <c r="E68" s="613" t="s">
        <v>906</v>
      </c>
      <c r="AS68" s="660" t="s">
        <v>53</v>
      </c>
      <c r="AT68" s="661" t="s">
        <v>417</v>
      </c>
      <c r="AU68" s="662"/>
    </row>
    <row r="69" spans="1:47" ht="15.75" thickBot="1" x14ac:dyDescent="0.3">
      <c r="A69" s="663" t="s">
        <v>53</v>
      </c>
      <c r="B69" s="664" t="s">
        <v>418</v>
      </c>
      <c r="C69" s="665">
        <v>12452</v>
      </c>
      <c r="E69" t="s">
        <v>420</v>
      </c>
      <c r="AS69" s="663" t="s">
        <v>53</v>
      </c>
      <c r="AT69" s="664" t="s">
        <v>418</v>
      </c>
      <c r="AU69" s="665">
        <f>3211-1113</f>
        <v>2098</v>
      </c>
    </row>
    <row r="70" spans="1:47" ht="15.75" thickBot="1" x14ac:dyDescent="0.3">
      <c r="A70" s="907" t="s">
        <v>413</v>
      </c>
      <c r="B70" s="916"/>
      <c r="C70" s="642">
        <f>SUM(C67:C69)</f>
        <v>27316</v>
      </c>
      <c r="E70" t="s">
        <v>421</v>
      </c>
      <c r="AS70" s="907" t="s">
        <v>413</v>
      </c>
      <c r="AT70" s="916"/>
      <c r="AU70" s="642">
        <f>SUM(AU67:AU69)</f>
        <v>-2701</v>
      </c>
    </row>
    <row r="71" spans="1:47" x14ac:dyDescent="0.25">
      <c r="B71" s="666" t="s">
        <v>419</v>
      </c>
      <c r="C71" s="426">
        <f>C70-C31</f>
        <v>0</v>
      </c>
      <c r="AT71" s="666" t="s">
        <v>419</v>
      </c>
      <c r="AU71" s="426">
        <f>AU70-AU37</f>
        <v>0</v>
      </c>
    </row>
    <row r="74" spans="1:47" x14ac:dyDescent="0.25">
      <c r="A74" s="613" t="s">
        <v>944</v>
      </c>
      <c r="AS74" s="613" t="s">
        <v>401</v>
      </c>
    </row>
    <row r="75" spans="1:47" x14ac:dyDescent="0.25">
      <c r="A75" t="s">
        <v>420</v>
      </c>
      <c r="AS75" t="s">
        <v>420</v>
      </c>
    </row>
    <row r="76" spans="1:47" x14ac:dyDescent="0.25">
      <c r="A76" t="s">
        <v>421</v>
      </c>
      <c r="AS76" t="s">
        <v>421</v>
      </c>
    </row>
  </sheetData>
  <sortState ref="A36:C59">
    <sortCondition ref="A36"/>
  </sortState>
  <mergeCells count="204">
    <mergeCell ref="A30:B30"/>
    <mergeCell ref="A31:B31"/>
    <mergeCell ref="A33:C33"/>
    <mergeCell ref="A35:B35"/>
    <mergeCell ref="A61:B61"/>
    <mergeCell ref="A65:B65"/>
    <mergeCell ref="A67:B67"/>
    <mergeCell ref="A70:B70"/>
    <mergeCell ref="A1:C1"/>
    <mergeCell ref="A2:C2"/>
    <mergeCell ref="A3:C3"/>
    <mergeCell ref="A5:C5"/>
    <mergeCell ref="A7:B7"/>
    <mergeCell ref="A21:C21"/>
    <mergeCell ref="A22:B22"/>
    <mergeCell ref="A24:B24"/>
    <mergeCell ref="A27:B27"/>
    <mergeCell ref="E24:F24"/>
    <mergeCell ref="E25:F25"/>
    <mergeCell ref="E27:G27"/>
    <mergeCell ref="E29:F29"/>
    <mergeCell ref="E55:F55"/>
    <mergeCell ref="E59:F59"/>
    <mergeCell ref="E61:F61"/>
    <mergeCell ref="E64:F64"/>
    <mergeCell ref="E1:G1"/>
    <mergeCell ref="E2:G2"/>
    <mergeCell ref="E3:G3"/>
    <mergeCell ref="E5:G5"/>
    <mergeCell ref="E7:F7"/>
    <mergeCell ref="E15:G15"/>
    <mergeCell ref="E16:F16"/>
    <mergeCell ref="E18:F18"/>
    <mergeCell ref="E21:F21"/>
    <mergeCell ref="Q21:R21"/>
    <mergeCell ref="Q22:R22"/>
    <mergeCell ref="Q24:S24"/>
    <mergeCell ref="Q26:R26"/>
    <mergeCell ref="Q41:R41"/>
    <mergeCell ref="Q45:R45"/>
    <mergeCell ref="Q47:R47"/>
    <mergeCell ref="Q50:R50"/>
    <mergeCell ref="Q1:S1"/>
    <mergeCell ref="Q2:S2"/>
    <mergeCell ref="Q3:S3"/>
    <mergeCell ref="Q5:S5"/>
    <mergeCell ref="Q7:R7"/>
    <mergeCell ref="Q12:S12"/>
    <mergeCell ref="Q13:R13"/>
    <mergeCell ref="Q15:R15"/>
    <mergeCell ref="Q18:R18"/>
    <mergeCell ref="AK53:AL53"/>
    <mergeCell ref="AK20:AL20"/>
    <mergeCell ref="AK22:AM22"/>
    <mergeCell ref="AK24:AL24"/>
    <mergeCell ref="AK46:AL46"/>
    <mergeCell ref="AK48:AL48"/>
    <mergeCell ref="AO43:AP43"/>
    <mergeCell ref="AO45:AP45"/>
    <mergeCell ref="AK19:AL19"/>
    <mergeCell ref="AK50:AL50"/>
    <mergeCell ref="AO27:AP27"/>
    <mergeCell ref="AO47:AP47"/>
    <mergeCell ref="AO50:AP50"/>
    <mergeCell ref="AO28:AP28"/>
    <mergeCell ref="AO30:AQ30"/>
    <mergeCell ref="AO32:AP32"/>
    <mergeCell ref="AS70:AT70"/>
    <mergeCell ref="AS39:AU39"/>
    <mergeCell ref="AS1:AU1"/>
    <mergeCell ref="AS2:AU2"/>
    <mergeCell ref="AS3:AU3"/>
    <mergeCell ref="AS5:AU5"/>
    <mergeCell ref="AS7:AT7"/>
    <mergeCell ref="AS20:AU20"/>
    <mergeCell ref="AS21:AT21"/>
    <mergeCell ref="AS24:AT24"/>
    <mergeCell ref="AS33:AT33"/>
    <mergeCell ref="AS36:AT36"/>
    <mergeCell ref="AS37:AT37"/>
    <mergeCell ref="AS41:AT41"/>
    <mergeCell ref="AS60:AT60"/>
    <mergeCell ref="AS64:AT64"/>
    <mergeCell ref="AS67:AT67"/>
    <mergeCell ref="AK1:AM1"/>
    <mergeCell ref="AK2:AM2"/>
    <mergeCell ref="AK3:AM3"/>
    <mergeCell ref="AK5:AM5"/>
    <mergeCell ref="AK7:AL7"/>
    <mergeCell ref="AK10:AM10"/>
    <mergeCell ref="AK11:AL11"/>
    <mergeCell ref="AK13:AL13"/>
    <mergeCell ref="AK16:AL16"/>
    <mergeCell ref="AO1:AQ1"/>
    <mergeCell ref="AO2:AQ2"/>
    <mergeCell ref="AO3:AQ3"/>
    <mergeCell ref="AO5:AQ5"/>
    <mergeCell ref="AO7:AP7"/>
    <mergeCell ref="AO18:AQ18"/>
    <mergeCell ref="AO19:AP19"/>
    <mergeCell ref="AO21:AP21"/>
    <mergeCell ref="AO24:AP24"/>
    <mergeCell ref="AG17:AI17"/>
    <mergeCell ref="AG18:AH18"/>
    <mergeCell ref="AG20:AH20"/>
    <mergeCell ref="AG23:AH23"/>
    <mergeCell ref="AG26:AH26"/>
    <mergeCell ref="AG1:AI1"/>
    <mergeCell ref="AG2:AI2"/>
    <mergeCell ref="AG3:AI3"/>
    <mergeCell ref="AG5:AI5"/>
    <mergeCell ref="AG7:AH7"/>
    <mergeCell ref="AG54:AH54"/>
    <mergeCell ref="AG57:AH57"/>
    <mergeCell ref="AG27:AH27"/>
    <mergeCell ref="AG29:AI29"/>
    <mergeCell ref="AG31:AH31"/>
    <mergeCell ref="AG50:AH50"/>
    <mergeCell ref="AG52:AH52"/>
    <mergeCell ref="Y30:Z30"/>
    <mergeCell ref="Y49:Z49"/>
    <mergeCell ref="Y51:Z51"/>
    <mergeCell ref="AC49:AD49"/>
    <mergeCell ref="AC52:AD52"/>
    <mergeCell ref="Y53:Z53"/>
    <mergeCell ref="Y56:Z56"/>
    <mergeCell ref="AC25:AD25"/>
    <mergeCell ref="AC27:AE27"/>
    <mergeCell ref="AC29:AD29"/>
    <mergeCell ref="AC45:AD45"/>
    <mergeCell ref="AC47:AD47"/>
    <mergeCell ref="AC15:AE15"/>
    <mergeCell ref="AC16:AD16"/>
    <mergeCell ref="AC18:AD18"/>
    <mergeCell ref="AC21:AD21"/>
    <mergeCell ref="AC24:AD24"/>
    <mergeCell ref="U15:W15"/>
    <mergeCell ref="U16:V16"/>
    <mergeCell ref="U18:V18"/>
    <mergeCell ref="U21:V21"/>
    <mergeCell ref="U24:V24"/>
    <mergeCell ref="AC1:AE1"/>
    <mergeCell ref="AC2:AE2"/>
    <mergeCell ref="AC3:AE3"/>
    <mergeCell ref="AC5:AE5"/>
    <mergeCell ref="AC7:AD7"/>
    <mergeCell ref="Y16:AA16"/>
    <mergeCell ref="Y17:Z17"/>
    <mergeCell ref="Y19:Z19"/>
    <mergeCell ref="Y1:AA1"/>
    <mergeCell ref="Y2:AA2"/>
    <mergeCell ref="Y3:AA3"/>
    <mergeCell ref="Y5:AA5"/>
    <mergeCell ref="Y7:Z7"/>
    <mergeCell ref="U1:W1"/>
    <mergeCell ref="U2:W2"/>
    <mergeCell ref="U3:W3"/>
    <mergeCell ref="U5:W5"/>
    <mergeCell ref="U7:V7"/>
    <mergeCell ref="U25:V25"/>
    <mergeCell ref="U27:W27"/>
    <mergeCell ref="U29:V29"/>
    <mergeCell ref="U43:V43"/>
    <mergeCell ref="U47:V47"/>
    <mergeCell ref="U49:V49"/>
    <mergeCell ref="U52:V52"/>
    <mergeCell ref="Y22:Z22"/>
    <mergeCell ref="Y25:Z25"/>
    <mergeCell ref="Y26:Z26"/>
    <mergeCell ref="Y28:AA28"/>
    <mergeCell ref="M22:N22"/>
    <mergeCell ref="M23:N23"/>
    <mergeCell ref="M25:O25"/>
    <mergeCell ref="M27:N27"/>
    <mergeCell ref="M46:N46"/>
    <mergeCell ref="M50:N50"/>
    <mergeCell ref="M52:N52"/>
    <mergeCell ref="M55:N55"/>
    <mergeCell ref="M1:O1"/>
    <mergeCell ref="M2:O2"/>
    <mergeCell ref="M3:O3"/>
    <mergeCell ref="M5:O5"/>
    <mergeCell ref="M7:N7"/>
    <mergeCell ref="M13:O13"/>
    <mergeCell ref="M14:N14"/>
    <mergeCell ref="M16:N16"/>
    <mergeCell ref="M19:N19"/>
    <mergeCell ref="I25:J25"/>
    <mergeCell ref="I26:J26"/>
    <mergeCell ref="I28:K28"/>
    <mergeCell ref="I30:J30"/>
    <mergeCell ref="I50:J50"/>
    <mergeCell ref="I54:J54"/>
    <mergeCell ref="I56:J56"/>
    <mergeCell ref="I59:J59"/>
    <mergeCell ref="I1:K1"/>
    <mergeCell ref="I2:K2"/>
    <mergeCell ref="I3:K3"/>
    <mergeCell ref="I5:K5"/>
    <mergeCell ref="I7:J7"/>
    <mergeCell ref="I16:K16"/>
    <mergeCell ref="I17:J17"/>
    <mergeCell ref="I19:J19"/>
    <mergeCell ref="I22:J22"/>
  </mergeCells>
  <pageMargins left="0.7" right="0.7" top="0.75" bottom="0.75" header="0.3" footer="0.3"/>
  <pageSetup paperSize="9" scale="1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0389C-4B39-4032-99CE-641B8F441802}">
  <dimension ref="A1:G38"/>
  <sheetViews>
    <sheetView workbookViewId="0">
      <selection sqref="A1:G1"/>
    </sheetView>
  </sheetViews>
  <sheetFormatPr defaultRowHeight="15" x14ac:dyDescent="0.25"/>
  <cols>
    <col min="1" max="1" width="6.28515625" customWidth="1"/>
    <col min="2" max="2" width="10.42578125" customWidth="1"/>
    <col min="3" max="3" width="11.42578125" customWidth="1"/>
    <col min="4" max="4" width="10.7109375" customWidth="1"/>
    <col min="5" max="5" width="26" customWidth="1"/>
    <col min="6" max="6" width="10.5703125" customWidth="1"/>
    <col min="7" max="7" width="10.7109375" customWidth="1"/>
  </cols>
  <sheetData>
    <row r="1" spans="1:7" ht="18" x14ac:dyDescent="0.25">
      <c r="A1" s="917" t="s">
        <v>363</v>
      </c>
      <c r="B1" s="917"/>
      <c r="C1" s="917"/>
      <c r="D1" s="917"/>
      <c r="E1" s="917"/>
      <c r="F1" s="917"/>
      <c r="G1" s="917"/>
    </row>
    <row r="4" spans="1:7" ht="15.75" x14ac:dyDescent="0.25">
      <c r="A4" s="940" t="s">
        <v>364</v>
      </c>
      <c r="B4" s="940"/>
      <c r="C4" s="940"/>
      <c r="D4" s="940"/>
      <c r="E4" s="940"/>
      <c r="F4" s="940"/>
      <c r="G4" s="940"/>
    </row>
    <row r="5" spans="1:7" ht="15.75" x14ac:dyDescent="0.25">
      <c r="A5" s="940" t="s">
        <v>402</v>
      </c>
      <c r="B5" s="940"/>
      <c r="C5" s="940"/>
      <c r="D5" s="940"/>
      <c r="E5" s="940"/>
      <c r="F5" s="940"/>
      <c r="G5" s="940"/>
    </row>
    <row r="6" spans="1:7" ht="15.75" thickBot="1" x14ac:dyDescent="0.3"/>
    <row r="7" spans="1:7" ht="39" thickBot="1" x14ac:dyDescent="0.3">
      <c r="A7" s="587" t="s">
        <v>365</v>
      </c>
      <c r="B7" s="588" t="s">
        <v>366</v>
      </c>
      <c r="C7" s="588" t="s">
        <v>367</v>
      </c>
      <c r="D7" s="588" t="s">
        <v>368</v>
      </c>
      <c r="E7" s="589" t="s">
        <v>369</v>
      </c>
      <c r="F7" s="590" t="s">
        <v>370</v>
      </c>
      <c r="G7" s="591" t="s">
        <v>371</v>
      </c>
    </row>
    <row r="8" spans="1:7" x14ac:dyDescent="0.25">
      <c r="A8" s="592" t="s">
        <v>372</v>
      </c>
      <c r="B8" s="593"/>
      <c r="C8" s="594" t="s">
        <v>373</v>
      </c>
      <c r="D8" s="593">
        <v>45687</v>
      </c>
      <c r="E8" s="594" t="s">
        <v>374</v>
      </c>
      <c r="F8" s="595">
        <v>-2701</v>
      </c>
      <c r="G8" s="596">
        <v>-2701</v>
      </c>
    </row>
    <row r="9" spans="1:7" x14ac:dyDescent="0.25">
      <c r="A9" s="597" t="s">
        <v>375</v>
      </c>
      <c r="B9" s="598" t="s">
        <v>540</v>
      </c>
      <c r="C9" s="599" t="s">
        <v>497</v>
      </c>
      <c r="D9" s="600">
        <v>45715</v>
      </c>
      <c r="E9" s="601" t="s">
        <v>498</v>
      </c>
      <c r="F9" s="602">
        <v>4930</v>
      </c>
      <c r="G9" s="603">
        <v>4930</v>
      </c>
    </row>
    <row r="10" spans="1:7" x14ac:dyDescent="0.25">
      <c r="A10" s="604" t="s">
        <v>376</v>
      </c>
      <c r="B10" s="605"/>
      <c r="C10" s="605" t="s">
        <v>499</v>
      </c>
      <c r="D10" s="606">
        <v>45695</v>
      </c>
      <c r="E10" s="605" t="s">
        <v>498</v>
      </c>
      <c r="F10" s="607">
        <v>-6776</v>
      </c>
      <c r="G10" s="608">
        <v>-6776</v>
      </c>
    </row>
    <row r="11" spans="1:7" x14ac:dyDescent="0.25">
      <c r="A11" s="609" t="s">
        <v>377</v>
      </c>
      <c r="B11" s="601"/>
      <c r="C11" s="605" t="s">
        <v>541</v>
      </c>
      <c r="D11" s="606">
        <v>45736</v>
      </c>
      <c r="E11" s="605" t="s">
        <v>498</v>
      </c>
      <c r="F11" s="602">
        <v>0</v>
      </c>
      <c r="G11" s="603">
        <v>0</v>
      </c>
    </row>
    <row r="12" spans="1:7" x14ac:dyDescent="0.25">
      <c r="A12" s="609" t="s">
        <v>378</v>
      </c>
      <c r="B12" s="601" t="s">
        <v>581</v>
      </c>
      <c r="C12" s="599" t="s">
        <v>542</v>
      </c>
      <c r="D12" s="600">
        <v>45743</v>
      </c>
      <c r="E12" s="601" t="s">
        <v>543</v>
      </c>
      <c r="F12" s="602">
        <v>83825</v>
      </c>
      <c r="G12" s="603">
        <v>83825</v>
      </c>
    </row>
    <row r="13" spans="1:7" x14ac:dyDescent="0.25">
      <c r="A13" s="609" t="s">
        <v>379</v>
      </c>
      <c r="B13" s="601"/>
      <c r="C13" s="605" t="s">
        <v>616</v>
      </c>
      <c r="D13" s="606">
        <v>45772</v>
      </c>
      <c r="E13" s="605" t="s">
        <v>498</v>
      </c>
      <c r="F13" s="602">
        <v>11956</v>
      </c>
      <c r="G13" s="603">
        <v>11956</v>
      </c>
    </row>
    <row r="14" spans="1:7" x14ac:dyDescent="0.25">
      <c r="A14" s="609" t="s">
        <v>380</v>
      </c>
      <c r="B14" s="599" t="s">
        <v>627</v>
      </c>
      <c r="C14" s="599" t="s">
        <v>628</v>
      </c>
      <c r="D14" s="600">
        <v>45782</v>
      </c>
      <c r="E14" s="601" t="s">
        <v>498</v>
      </c>
      <c r="F14" s="602">
        <v>924</v>
      </c>
      <c r="G14" s="603">
        <v>924</v>
      </c>
    </row>
    <row r="15" spans="1:7" x14ac:dyDescent="0.25">
      <c r="A15" s="609" t="s">
        <v>381</v>
      </c>
      <c r="B15" s="601"/>
      <c r="C15" s="605" t="s">
        <v>629</v>
      </c>
      <c r="D15" s="606">
        <v>45798</v>
      </c>
      <c r="E15" s="605" t="s">
        <v>498</v>
      </c>
      <c r="F15" s="602">
        <v>97829</v>
      </c>
      <c r="G15" s="603">
        <v>97829</v>
      </c>
    </row>
    <row r="16" spans="1:7" x14ac:dyDescent="0.25">
      <c r="A16" s="609" t="s">
        <v>382</v>
      </c>
      <c r="B16" s="801" t="s">
        <v>665</v>
      </c>
      <c r="C16" s="599" t="s">
        <v>630</v>
      </c>
      <c r="D16" s="600">
        <v>45806</v>
      </c>
      <c r="E16" s="601" t="s">
        <v>498</v>
      </c>
      <c r="F16" s="602">
        <v>74945</v>
      </c>
      <c r="G16" s="603">
        <v>74945</v>
      </c>
    </row>
    <row r="17" spans="1:7" x14ac:dyDescent="0.25">
      <c r="A17" s="609" t="s">
        <v>383</v>
      </c>
      <c r="B17" s="599"/>
      <c r="C17" s="605" t="s">
        <v>685</v>
      </c>
      <c r="D17" s="606">
        <v>45824</v>
      </c>
      <c r="E17" s="605" t="s">
        <v>498</v>
      </c>
      <c r="F17" s="602">
        <v>4399</v>
      </c>
      <c r="G17" s="603">
        <v>4399</v>
      </c>
    </row>
    <row r="18" spans="1:7" x14ac:dyDescent="0.25">
      <c r="A18" s="609" t="s">
        <v>384</v>
      </c>
      <c r="B18" s="599" t="s">
        <v>705</v>
      </c>
      <c r="C18" s="599" t="s">
        <v>686</v>
      </c>
      <c r="D18" s="600">
        <v>45827</v>
      </c>
      <c r="E18" s="601" t="s">
        <v>543</v>
      </c>
      <c r="F18" s="602">
        <v>405200</v>
      </c>
      <c r="G18" s="603">
        <v>405200</v>
      </c>
    </row>
    <row r="19" spans="1:7" x14ac:dyDescent="0.25">
      <c r="A19" s="609" t="s">
        <v>385</v>
      </c>
      <c r="B19" s="599"/>
      <c r="C19" s="605" t="s">
        <v>752</v>
      </c>
      <c r="D19" s="606">
        <v>45867</v>
      </c>
      <c r="E19" s="605" t="s">
        <v>498</v>
      </c>
      <c r="F19" s="602">
        <v>97197</v>
      </c>
      <c r="G19" s="603">
        <v>97197</v>
      </c>
    </row>
    <row r="20" spans="1:7" x14ac:dyDescent="0.25">
      <c r="A20" s="609" t="s">
        <v>386</v>
      </c>
      <c r="B20" s="599"/>
      <c r="C20" s="605" t="s">
        <v>773</v>
      </c>
      <c r="D20" s="606">
        <v>45888</v>
      </c>
      <c r="E20" s="605" t="s">
        <v>498</v>
      </c>
      <c r="F20" s="602">
        <v>1600</v>
      </c>
      <c r="G20" s="603">
        <v>1600</v>
      </c>
    </row>
    <row r="21" spans="1:7" x14ac:dyDescent="0.25">
      <c r="A21" s="609" t="s">
        <v>387</v>
      </c>
      <c r="B21" s="599"/>
      <c r="C21" s="605" t="s">
        <v>793</v>
      </c>
      <c r="D21" s="606">
        <v>45918</v>
      </c>
      <c r="E21" s="605" t="s">
        <v>498</v>
      </c>
      <c r="F21" s="602">
        <v>41281</v>
      </c>
      <c r="G21" s="603">
        <v>41281</v>
      </c>
    </row>
    <row r="22" spans="1:7" x14ac:dyDescent="0.25">
      <c r="A22" s="609" t="s">
        <v>388</v>
      </c>
      <c r="B22" s="599" t="s">
        <v>852</v>
      </c>
      <c r="C22" s="599" t="s">
        <v>794</v>
      </c>
      <c r="D22" s="600">
        <v>45925</v>
      </c>
      <c r="E22" s="601" t="s">
        <v>543</v>
      </c>
      <c r="F22" s="602">
        <v>1085275</v>
      </c>
      <c r="G22" s="603">
        <v>1085275</v>
      </c>
    </row>
    <row r="23" spans="1:7" x14ac:dyDescent="0.25">
      <c r="A23" s="609" t="s">
        <v>389</v>
      </c>
      <c r="B23" s="599"/>
      <c r="C23" s="605" t="s">
        <v>858</v>
      </c>
      <c r="D23" s="600">
        <v>45953</v>
      </c>
      <c r="E23" s="605" t="s">
        <v>498</v>
      </c>
      <c r="F23" s="602">
        <v>24848</v>
      </c>
      <c r="G23" s="603">
        <v>24848</v>
      </c>
    </row>
    <row r="24" spans="1:7" x14ac:dyDescent="0.25">
      <c r="A24" s="609" t="s">
        <v>390</v>
      </c>
      <c r="B24" s="599" t="s">
        <v>915</v>
      </c>
      <c r="C24" s="599" t="s">
        <v>897</v>
      </c>
      <c r="D24" s="600">
        <v>45981</v>
      </c>
      <c r="E24" s="605" t="s">
        <v>498</v>
      </c>
      <c r="F24" s="602">
        <v>0</v>
      </c>
      <c r="G24" s="603">
        <v>0</v>
      </c>
    </row>
    <row r="25" spans="1:7" x14ac:dyDescent="0.25">
      <c r="A25" s="609" t="s">
        <v>391</v>
      </c>
      <c r="B25" s="599"/>
      <c r="C25" s="605" t="s">
        <v>911</v>
      </c>
      <c r="D25" s="600">
        <v>45986</v>
      </c>
      <c r="E25" s="605" t="s">
        <v>498</v>
      </c>
      <c r="F25" s="602">
        <v>30173</v>
      </c>
      <c r="G25" s="603">
        <v>30173</v>
      </c>
    </row>
    <row r="26" spans="1:7" x14ac:dyDescent="0.25">
      <c r="A26" s="609" t="s">
        <v>392</v>
      </c>
      <c r="B26" s="801" t="s">
        <v>998</v>
      </c>
      <c r="C26" s="599" t="s">
        <v>912</v>
      </c>
      <c r="D26" s="600">
        <v>46003</v>
      </c>
      <c r="E26" s="605" t="s">
        <v>498</v>
      </c>
      <c r="F26" s="602">
        <v>-786</v>
      </c>
      <c r="G26" s="603">
        <v>-786</v>
      </c>
    </row>
    <row r="27" spans="1:7" ht="15.75" thickBot="1" x14ac:dyDescent="0.3">
      <c r="A27" s="813" t="s">
        <v>393</v>
      </c>
      <c r="B27" s="863"/>
      <c r="C27" s="614" t="s">
        <v>945</v>
      </c>
      <c r="D27" s="864">
        <v>46003</v>
      </c>
      <c r="E27" s="610" t="s">
        <v>498</v>
      </c>
      <c r="F27" s="865">
        <v>27316</v>
      </c>
      <c r="G27" s="866">
        <v>27316</v>
      </c>
    </row>
    <row r="29" spans="1:7" x14ac:dyDescent="0.25">
      <c r="A29" s="611" t="s">
        <v>394</v>
      </c>
      <c r="B29" s="612"/>
      <c r="C29" s="612"/>
      <c r="D29" s="611" t="s">
        <v>395</v>
      </c>
      <c r="E29" s="612"/>
      <c r="F29" s="612"/>
      <c r="G29" s="612"/>
    </row>
    <row r="30" spans="1:7" x14ac:dyDescent="0.25">
      <c r="A30" s="939" t="s">
        <v>396</v>
      </c>
      <c r="B30" s="939"/>
      <c r="C30" s="939"/>
      <c r="D30" s="939"/>
      <c r="E30" s="939"/>
      <c r="F30" s="939"/>
      <c r="G30" s="939"/>
    </row>
    <row r="31" spans="1:7" x14ac:dyDescent="0.25">
      <c r="A31" s="939" t="s">
        <v>397</v>
      </c>
      <c r="B31" s="939"/>
      <c r="C31" s="939"/>
      <c r="D31" s="939"/>
      <c r="E31" s="939"/>
      <c r="F31" s="939"/>
      <c r="G31" s="939"/>
    </row>
    <row r="32" spans="1:7" x14ac:dyDescent="0.25">
      <c r="A32" s="939" t="s">
        <v>398</v>
      </c>
      <c r="B32" s="939"/>
      <c r="C32" s="939"/>
      <c r="D32" s="939"/>
      <c r="E32" s="939"/>
      <c r="F32" s="939"/>
      <c r="G32" s="939"/>
    </row>
    <row r="33" spans="1:7" x14ac:dyDescent="0.25">
      <c r="A33" s="939" t="s">
        <v>399</v>
      </c>
      <c r="B33" s="939"/>
      <c r="C33" s="939"/>
      <c r="D33" s="939"/>
      <c r="E33" s="939"/>
      <c r="F33" s="939"/>
      <c r="G33" s="939"/>
    </row>
    <row r="35" spans="1:7" x14ac:dyDescent="0.25">
      <c r="A35" s="613" t="s">
        <v>944</v>
      </c>
    </row>
    <row r="36" spans="1:7" x14ac:dyDescent="0.25">
      <c r="A36" t="s">
        <v>185</v>
      </c>
    </row>
    <row r="38" spans="1:7" x14ac:dyDescent="0.25">
      <c r="A38" t="s">
        <v>400</v>
      </c>
    </row>
  </sheetData>
  <mergeCells count="7">
    <mergeCell ref="A33:G33"/>
    <mergeCell ref="A1:G1"/>
    <mergeCell ref="A4:G4"/>
    <mergeCell ref="A5:G5"/>
    <mergeCell ref="A30:G30"/>
    <mergeCell ref="A31:G31"/>
    <mergeCell ref="A32:G3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85F5B-D967-4237-8FC4-1653285E4C5C}">
  <sheetPr>
    <pageSetUpPr fitToPage="1"/>
  </sheetPr>
  <dimension ref="A1:AO262"/>
  <sheetViews>
    <sheetView zoomScale="99" zoomScaleNormal="99" workbookViewId="0">
      <selection sqref="A1:V1"/>
    </sheetView>
  </sheetViews>
  <sheetFormatPr defaultRowHeight="15" x14ac:dyDescent="0.25"/>
  <cols>
    <col min="1" max="1" width="6.42578125" customWidth="1"/>
    <col min="2" max="2" width="56.28515625" customWidth="1"/>
    <col min="3" max="22" width="12.7109375" customWidth="1"/>
    <col min="23" max="23" width="7.42578125" customWidth="1"/>
    <col min="24" max="24" width="10.85546875" customWidth="1"/>
    <col min="25" max="25" width="10" customWidth="1"/>
    <col min="31" max="31" width="10.85546875" customWidth="1"/>
    <col min="34" max="34" width="11.28515625" customWidth="1"/>
  </cols>
  <sheetData>
    <row r="1" spans="1:32" ht="18.75" thickBot="1" x14ac:dyDescent="0.3">
      <c r="A1" s="888" t="s">
        <v>0</v>
      </c>
      <c r="B1" s="889"/>
      <c r="C1" s="889"/>
      <c r="D1" s="889"/>
      <c r="E1" s="889"/>
      <c r="F1" s="889"/>
      <c r="G1" s="889"/>
      <c r="H1" s="889"/>
      <c r="I1" s="889"/>
      <c r="J1" s="889"/>
      <c r="K1" s="889"/>
      <c r="L1" s="889"/>
      <c r="M1" s="889"/>
      <c r="N1" s="889"/>
      <c r="O1" s="889"/>
      <c r="P1" s="889"/>
      <c r="Q1" s="889"/>
      <c r="R1" s="889"/>
      <c r="S1" s="889"/>
      <c r="T1" s="889"/>
      <c r="U1" s="889"/>
      <c r="V1" s="889"/>
      <c r="W1" s="725"/>
      <c r="X1" s="1"/>
    </row>
    <row r="2" spans="1:32" ht="46.5" customHeight="1" thickBot="1" x14ac:dyDescent="0.3">
      <c r="A2" s="890" t="s">
        <v>1</v>
      </c>
      <c r="B2" s="891"/>
      <c r="C2" s="387" t="s">
        <v>467</v>
      </c>
      <c r="D2" s="387" t="s">
        <v>465</v>
      </c>
      <c r="E2" s="387" t="s">
        <v>483</v>
      </c>
      <c r="F2" s="387" t="s">
        <v>500</v>
      </c>
      <c r="G2" s="387" t="s">
        <v>533</v>
      </c>
      <c r="H2" s="387" t="s">
        <v>578</v>
      </c>
      <c r="I2" s="387" t="s">
        <v>610</v>
      </c>
      <c r="J2" s="387" t="s">
        <v>579</v>
      </c>
      <c r="K2" s="387" t="s">
        <v>646</v>
      </c>
      <c r="L2" s="387" t="s">
        <v>637</v>
      </c>
      <c r="M2" s="387" t="s">
        <v>670</v>
      </c>
      <c r="N2" s="387" t="s">
        <v>680</v>
      </c>
      <c r="O2" s="387" t="s">
        <v>749</v>
      </c>
      <c r="P2" s="387" t="s">
        <v>774</v>
      </c>
      <c r="Q2" s="387" t="s">
        <v>783</v>
      </c>
      <c r="R2" s="387" t="s">
        <v>784</v>
      </c>
      <c r="S2" s="387" t="s">
        <v>885</v>
      </c>
      <c r="T2" s="387" t="s">
        <v>894</v>
      </c>
      <c r="U2" s="387" t="s">
        <v>913</v>
      </c>
      <c r="V2" s="387" t="s">
        <v>893</v>
      </c>
      <c r="W2" s="727" t="s">
        <v>479</v>
      </c>
      <c r="X2" s="1"/>
    </row>
    <row r="3" spans="1:32" ht="15.75" thickBot="1" x14ac:dyDescent="0.3">
      <c r="A3" s="892" t="s">
        <v>4</v>
      </c>
      <c r="B3" s="893"/>
      <c r="C3" s="2">
        <f t="shared" ref="C3:V3" si="0">SUM(C4:C10)</f>
        <v>1338200</v>
      </c>
      <c r="D3" s="2">
        <f t="shared" si="0"/>
        <v>1338200</v>
      </c>
      <c r="E3" s="2">
        <f t="shared" si="0"/>
        <v>1338200</v>
      </c>
      <c r="F3" s="2">
        <f t="shared" si="0"/>
        <v>1338200</v>
      </c>
      <c r="G3" s="2">
        <f t="shared" si="0"/>
        <v>1338200</v>
      </c>
      <c r="H3" s="2">
        <f t="shared" si="0"/>
        <v>1338200</v>
      </c>
      <c r="I3" s="2">
        <f t="shared" si="0"/>
        <v>1338200</v>
      </c>
      <c r="J3" s="2">
        <f t="shared" si="0"/>
        <v>1338200</v>
      </c>
      <c r="K3" s="2">
        <f t="shared" si="0"/>
        <v>1338200</v>
      </c>
      <c r="L3" s="2">
        <f t="shared" si="0"/>
        <v>1338200</v>
      </c>
      <c r="M3" s="2">
        <f t="shared" si="0"/>
        <v>1338200</v>
      </c>
      <c r="N3" s="2">
        <f t="shared" si="0"/>
        <v>1338200</v>
      </c>
      <c r="O3" s="2">
        <f t="shared" si="0"/>
        <v>1338200</v>
      </c>
      <c r="P3" s="2">
        <f t="shared" si="0"/>
        <v>1336300</v>
      </c>
      <c r="Q3" s="2">
        <f t="shared" si="0"/>
        <v>1336300</v>
      </c>
      <c r="R3" s="2">
        <f t="shared" si="0"/>
        <v>1336300</v>
      </c>
      <c r="S3" s="2">
        <f t="shared" si="0"/>
        <v>1336300</v>
      </c>
      <c r="T3" s="2">
        <f t="shared" ref="T3:U3" si="1">SUM(T4:T10)</f>
        <v>1336300</v>
      </c>
      <c r="U3" s="2">
        <f t="shared" si="1"/>
        <v>1336300</v>
      </c>
      <c r="V3" s="2">
        <f t="shared" si="0"/>
        <v>1035475</v>
      </c>
      <c r="W3" s="728">
        <f>V3/T3</f>
        <v>0.77488213724463073</v>
      </c>
      <c r="X3" s="1"/>
    </row>
    <row r="4" spans="1:32" ht="15.75" thickBot="1" x14ac:dyDescent="0.3">
      <c r="A4" s="3">
        <v>111</v>
      </c>
      <c r="B4" s="120" t="s">
        <v>5</v>
      </c>
      <c r="C4" s="6">
        <v>1227300</v>
      </c>
      <c r="D4" s="6">
        <v>1227300</v>
      </c>
      <c r="E4" s="6">
        <v>1227300</v>
      </c>
      <c r="F4" s="6">
        <v>1227300</v>
      </c>
      <c r="G4" s="6">
        <v>1227300</v>
      </c>
      <c r="H4" s="6">
        <v>1227300</v>
      </c>
      <c r="I4" s="6">
        <v>1227300</v>
      </c>
      <c r="J4" s="6">
        <v>1227300</v>
      </c>
      <c r="K4" s="6">
        <v>1227300</v>
      </c>
      <c r="L4" s="6">
        <v>1227300</v>
      </c>
      <c r="M4" s="6">
        <v>1227300</v>
      </c>
      <c r="N4" s="6">
        <v>1227300</v>
      </c>
      <c r="O4" s="6">
        <v>1227300</v>
      </c>
      <c r="P4" s="828">
        <f>1227300-1900</f>
        <v>1225400</v>
      </c>
      <c r="Q4" s="6">
        <f t="shared" ref="Q4:U4" si="2">1227300-1900</f>
        <v>1225400</v>
      </c>
      <c r="R4" s="6">
        <f t="shared" si="2"/>
        <v>1225400</v>
      </c>
      <c r="S4" s="6">
        <f t="shared" si="2"/>
        <v>1225400</v>
      </c>
      <c r="T4" s="6">
        <f t="shared" si="2"/>
        <v>1225400</v>
      </c>
      <c r="U4" s="6">
        <f t="shared" si="2"/>
        <v>1225400</v>
      </c>
      <c r="V4" s="6">
        <v>940677</v>
      </c>
      <c r="W4" s="728">
        <f t="shared" ref="W4:W68" si="3">V4/T4</f>
        <v>0.7676489309613187</v>
      </c>
      <c r="X4" s="1"/>
    </row>
    <row r="5" spans="1:32" ht="15.75" thickBot="1" x14ac:dyDescent="0.3">
      <c r="A5" s="7">
        <v>121</v>
      </c>
      <c r="B5" s="332" t="s">
        <v>6</v>
      </c>
      <c r="C5" s="11">
        <v>61200</v>
      </c>
      <c r="D5" s="11">
        <v>61200</v>
      </c>
      <c r="E5" s="11">
        <v>61200</v>
      </c>
      <c r="F5" s="11">
        <v>61200</v>
      </c>
      <c r="G5" s="11">
        <v>61200</v>
      </c>
      <c r="H5" s="11">
        <v>61200</v>
      </c>
      <c r="I5" s="11">
        <v>61200</v>
      </c>
      <c r="J5" s="11">
        <v>61200</v>
      </c>
      <c r="K5" s="11">
        <v>61200</v>
      </c>
      <c r="L5" s="11">
        <v>61200</v>
      </c>
      <c r="M5" s="11">
        <v>61200</v>
      </c>
      <c r="N5" s="11">
        <v>61200</v>
      </c>
      <c r="O5" s="11">
        <v>61200</v>
      </c>
      <c r="P5" s="11">
        <v>61200</v>
      </c>
      <c r="Q5" s="11">
        <v>61200</v>
      </c>
      <c r="R5" s="11">
        <v>61200</v>
      </c>
      <c r="S5" s="11">
        <v>61200</v>
      </c>
      <c r="T5" s="11">
        <v>61200</v>
      </c>
      <c r="U5" s="11">
        <v>61200</v>
      </c>
      <c r="V5" s="11">
        <v>50422</v>
      </c>
      <c r="W5" s="728">
        <f t="shared" si="3"/>
        <v>0.82388888888888889</v>
      </c>
      <c r="X5" s="1"/>
    </row>
    <row r="6" spans="1:32" x14ac:dyDescent="0.25">
      <c r="A6" s="12">
        <v>133</v>
      </c>
      <c r="B6" s="333" t="s">
        <v>7</v>
      </c>
      <c r="C6" s="16">
        <v>2000</v>
      </c>
      <c r="D6" s="16">
        <v>2000</v>
      </c>
      <c r="E6" s="16">
        <v>2000</v>
      </c>
      <c r="F6" s="16">
        <v>2000</v>
      </c>
      <c r="G6" s="16">
        <v>2000</v>
      </c>
      <c r="H6" s="16">
        <v>2000</v>
      </c>
      <c r="I6" s="16">
        <v>2000</v>
      </c>
      <c r="J6" s="16">
        <v>2000</v>
      </c>
      <c r="K6" s="16">
        <v>2000</v>
      </c>
      <c r="L6" s="16">
        <v>2000</v>
      </c>
      <c r="M6" s="16">
        <v>2000</v>
      </c>
      <c r="N6" s="16">
        <v>2000</v>
      </c>
      <c r="O6" s="16">
        <v>2000</v>
      </c>
      <c r="P6" s="16">
        <v>2000</v>
      </c>
      <c r="Q6" s="16">
        <v>2000</v>
      </c>
      <c r="R6" s="16">
        <v>2000</v>
      </c>
      <c r="S6" s="16">
        <v>2000</v>
      </c>
      <c r="T6" s="16">
        <v>2000</v>
      </c>
      <c r="U6" s="16">
        <v>2000</v>
      </c>
      <c r="V6" s="16">
        <v>1800</v>
      </c>
      <c r="W6" s="728">
        <f t="shared" si="3"/>
        <v>0.9</v>
      </c>
      <c r="X6" s="1"/>
    </row>
    <row r="7" spans="1:32" x14ac:dyDescent="0.25">
      <c r="A7" s="17">
        <v>133</v>
      </c>
      <c r="B7" s="334" t="s">
        <v>8</v>
      </c>
      <c r="C7" s="21">
        <v>200</v>
      </c>
      <c r="D7" s="21">
        <v>200</v>
      </c>
      <c r="E7" s="21">
        <v>200</v>
      </c>
      <c r="F7" s="21">
        <v>200</v>
      </c>
      <c r="G7" s="21">
        <v>200</v>
      </c>
      <c r="H7" s="21">
        <v>200</v>
      </c>
      <c r="I7" s="21">
        <v>200</v>
      </c>
      <c r="J7" s="21">
        <v>200</v>
      </c>
      <c r="K7" s="21">
        <v>200</v>
      </c>
      <c r="L7" s="21">
        <v>200</v>
      </c>
      <c r="M7" s="21">
        <v>200</v>
      </c>
      <c r="N7" s="21">
        <v>200</v>
      </c>
      <c r="O7" s="21">
        <v>200</v>
      </c>
      <c r="P7" s="21">
        <v>200</v>
      </c>
      <c r="Q7" s="21">
        <v>200</v>
      </c>
      <c r="R7" s="21">
        <v>200</v>
      </c>
      <c r="S7" s="21">
        <v>200</v>
      </c>
      <c r="T7" s="21">
        <v>200</v>
      </c>
      <c r="U7" s="21">
        <v>200</v>
      </c>
      <c r="V7" s="21">
        <v>160</v>
      </c>
      <c r="W7" s="728">
        <f t="shared" si="3"/>
        <v>0.8</v>
      </c>
      <c r="X7" s="1"/>
    </row>
    <row r="8" spans="1:32" x14ac:dyDescent="0.25">
      <c r="A8" s="17">
        <v>133</v>
      </c>
      <c r="B8" s="334" t="s">
        <v>9</v>
      </c>
      <c r="C8" s="21">
        <v>6000</v>
      </c>
      <c r="D8" s="21">
        <v>6000</v>
      </c>
      <c r="E8" s="21">
        <v>6000</v>
      </c>
      <c r="F8" s="21">
        <v>6000</v>
      </c>
      <c r="G8" s="21">
        <v>6000</v>
      </c>
      <c r="H8" s="21">
        <v>6000</v>
      </c>
      <c r="I8" s="21">
        <v>6000</v>
      </c>
      <c r="J8" s="21">
        <v>6000</v>
      </c>
      <c r="K8" s="21">
        <v>6000</v>
      </c>
      <c r="L8" s="21">
        <v>6000</v>
      </c>
      <c r="M8" s="21">
        <v>6000</v>
      </c>
      <c r="N8" s="21">
        <v>6000</v>
      </c>
      <c r="O8" s="21">
        <v>6000</v>
      </c>
      <c r="P8" s="21">
        <v>6000</v>
      </c>
      <c r="Q8" s="21">
        <v>6000</v>
      </c>
      <c r="R8" s="21">
        <v>6000</v>
      </c>
      <c r="S8" s="21">
        <v>6000</v>
      </c>
      <c r="T8" s="21">
        <v>6000</v>
      </c>
      <c r="U8" s="21">
        <v>6000</v>
      </c>
      <c r="V8" s="21">
        <v>5163</v>
      </c>
      <c r="W8" s="728">
        <f t="shared" si="3"/>
        <v>0.86050000000000004</v>
      </c>
      <c r="X8" s="1"/>
    </row>
    <row r="9" spans="1:32" x14ac:dyDescent="0.25">
      <c r="A9" s="17">
        <v>133</v>
      </c>
      <c r="B9" s="334" t="s">
        <v>10</v>
      </c>
      <c r="C9" s="21">
        <v>6500</v>
      </c>
      <c r="D9" s="21">
        <v>6500</v>
      </c>
      <c r="E9" s="21">
        <v>6500</v>
      </c>
      <c r="F9" s="21">
        <v>6500</v>
      </c>
      <c r="G9" s="21">
        <v>6500</v>
      </c>
      <c r="H9" s="21">
        <v>6500</v>
      </c>
      <c r="I9" s="21">
        <v>6500</v>
      </c>
      <c r="J9" s="21">
        <v>6500</v>
      </c>
      <c r="K9" s="21">
        <v>6500</v>
      </c>
      <c r="L9" s="21">
        <v>6500</v>
      </c>
      <c r="M9" s="21">
        <v>6500</v>
      </c>
      <c r="N9" s="21">
        <v>6500</v>
      </c>
      <c r="O9" s="21">
        <v>6500</v>
      </c>
      <c r="P9" s="21">
        <v>6500</v>
      </c>
      <c r="Q9" s="21">
        <v>6500</v>
      </c>
      <c r="R9" s="21">
        <v>6500</v>
      </c>
      <c r="S9" s="21">
        <v>6500</v>
      </c>
      <c r="T9" s="21">
        <v>6500</v>
      </c>
      <c r="U9" s="21">
        <v>6500</v>
      </c>
      <c r="V9" s="21">
        <v>5755</v>
      </c>
      <c r="W9" s="728">
        <f t="shared" si="3"/>
        <v>0.88538461538461544</v>
      </c>
      <c r="X9" s="1"/>
    </row>
    <row r="10" spans="1:32" ht="15.75" thickBot="1" x14ac:dyDescent="0.3">
      <c r="A10" s="22">
        <v>133</v>
      </c>
      <c r="B10" s="335" t="s">
        <v>11</v>
      </c>
      <c r="C10" s="26">
        <v>35000</v>
      </c>
      <c r="D10" s="26">
        <v>35000</v>
      </c>
      <c r="E10" s="26">
        <v>35000</v>
      </c>
      <c r="F10" s="26">
        <v>35000</v>
      </c>
      <c r="G10" s="26">
        <v>35000</v>
      </c>
      <c r="H10" s="26">
        <v>35000</v>
      </c>
      <c r="I10" s="26">
        <v>35000</v>
      </c>
      <c r="J10" s="26">
        <v>35000</v>
      </c>
      <c r="K10" s="26">
        <v>35000</v>
      </c>
      <c r="L10" s="26">
        <v>35000</v>
      </c>
      <c r="M10" s="26">
        <v>35000</v>
      </c>
      <c r="N10" s="26">
        <v>35000</v>
      </c>
      <c r="O10" s="26">
        <v>35000</v>
      </c>
      <c r="P10" s="26">
        <v>35000</v>
      </c>
      <c r="Q10" s="26">
        <v>35000</v>
      </c>
      <c r="R10" s="26">
        <v>35000</v>
      </c>
      <c r="S10" s="26">
        <v>35000</v>
      </c>
      <c r="T10" s="26">
        <v>35000</v>
      </c>
      <c r="U10" s="26">
        <v>35000</v>
      </c>
      <c r="V10" s="26">
        <v>31498</v>
      </c>
      <c r="W10" s="728">
        <f t="shared" si="3"/>
        <v>0.89994285714285716</v>
      </c>
      <c r="X10" s="27">
        <f>SUM(S6:S10)</f>
        <v>49700</v>
      </c>
      <c r="Y10" s="27">
        <f>SUM(V6:V10)</f>
        <v>44376</v>
      </c>
      <c r="Z10" s="27"/>
      <c r="AA10" s="27"/>
      <c r="AB10" s="27"/>
      <c r="AC10" s="27"/>
      <c r="AD10" s="27"/>
    </row>
    <row r="11" spans="1:32" ht="15.75" thickBot="1" x14ac:dyDescent="0.3">
      <c r="A11" s="892" t="s">
        <v>12</v>
      </c>
      <c r="B11" s="893"/>
      <c r="C11" s="336">
        <f t="shared" ref="C11:V11" si="4">SUM(C12:C30)</f>
        <v>247720</v>
      </c>
      <c r="D11" s="336">
        <f t="shared" si="4"/>
        <v>247720</v>
      </c>
      <c r="E11" s="336">
        <f t="shared" si="4"/>
        <v>247720</v>
      </c>
      <c r="F11" s="336">
        <f t="shared" si="4"/>
        <v>247720</v>
      </c>
      <c r="G11" s="336">
        <f t="shared" si="4"/>
        <v>247720</v>
      </c>
      <c r="H11" s="336">
        <f t="shared" si="4"/>
        <v>247720</v>
      </c>
      <c r="I11" s="336">
        <f t="shared" si="4"/>
        <v>247720</v>
      </c>
      <c r="J11" s="336">
        <f t="shared" si="4"/>
        <v>247720</v>
      </c>
      <c r="K11" s="336">
        <f t="shared" si="4"/>
        <v>247720</v>
      </c>
      <c r="L11" s="336">
        <f t="shared" si="4"/>
        <v>248725</v>
      </c>
      <c r="M11" s="336">
        <f t="shared" si="4"/>
        <v>248725</v>
      </c>
      <c r="N11" s="336">
        <f t="shared" si="4"/>
        <v>248725</v>
      </c>
      <c r="O11" s="336">
        <f t="shared" si="4"/>
        <v>248725</v>
      </c>
      <c r="P11" s="336">
        <f t="shared" si="4"/>
        <v>250625</v>
      </c>
      <c r="Q11" s="336">
        <f t="shared" si="4"/>
        <v>250625</v>
      </c>
      <c r="R11" s="336">
        <f t="shared" si="4"/>
        <v>250625</v>
      </c>
      <c r="S11" s="336">
        <f t="shared" si="4"/>
        <v>250625</v>
      </c>
      <c r="T11" s="336">
        <f t="shared" ref="T11:U11" si="5">SUM(T12:T30)</f>
        <v>250625</v>
      </c>
      <c r="U11" s="336">
        <f t="shared" si="5"/>
        <v>250625</v>
      </c>
      <c r="V11" s="336">
        <f t="shared" si="4"/>
        <v>158940</v>
      </c>
      <c r="W11" s="728">
        <f t="shared" si="3"/>
        <v>0.63417456359102242</v>
      </c>
      <c r="X11" s="1"/>
    </row>
    <row r="12" spans="1:32" x14ac:dyDescent="0.25">
      <c r="A12" s="28">
        <v>212</v>
      </c>
      <c r="B12" s="29" t="s">
        <v>13</v>
      </c>
      <c r="C12" s="32">
        <v>3032</v>
      </c>
      <c r="D12" s="692">
        <f>3032-20+127</f>
        <v>3139</v>
      </c>
      <c r="E12" s="32">
        <f t="shared" ref="E12:I12" si="6">3032-20+127</f>
        <v>3139</v>
      </c>
      <c r="F12" s="32">
        <f t="shared" si="6"/>
        <v>3139</v>
      </c>
      <c r="G12" s="32">
        <f t="shared" si="6"/>
        <v>3139</v>
      </c>
      <c r="H12" s="32">
        <f t="shared" si="6"/>
        <v>3139</v>
      </c>
      <c r="I12" s="32">
        <f t="shared" si="6"/>
        <v>3139</v>
      </c>
      <c r="J12" s="692">
        <f>3032-20+127+149</f>
        <v>3288</v>
      </c>
      <c r="K12" s="32">
        <f>3032-20+127+149</f>
        <v>3288</v>
      </c>
      <c r="L12" s="32">
        <f t="shared" ref="L12:U12" si="7">3032-20+127+149</f>
        <v>3288</v>
      </c>
      <c r="M12" s="32">
        <f t="shared" si="7"/>
        <v>3288</v>
      </c>
      <c r="N12" s="32">
        <f t="shared" si="7"/>
        <v>3288</v>
      </c>
      <c r="O12" s="32">
        <f t="shared" si="7"/>
        <v>3288</v>
      </c>
      <c r="P12" s="32">
        <f t="shared" si="7"/>
        <v>3288</v>
      </c>
      <c r="Q12" s="32">
        <f t="shared" si="7"/>
        <v>3288</v>
      </c>
      <c r="R12" s="32">
        <f t="shared" si="7"/>
        <v>3288</v>
      </c>
      <c r="S12" s="32">
        <f t="shared" si="7"/>
        <v>3288</v>
      </c>
      <c r="T12" s="32">
        <f t="shared" si="7"/>
        <v>3288</v>
      </c>
      <c r="U12" s="32">
        <f t="shared" si="7"/>
        <v>3288</v>
      </c>
      <c r="V12" s="32">
        <v>2201</v>
      </c>
      <c r="W12" s="728">
        <f t="shared" si="3"/>
        <v>0.6694038929440389</v>
      </c>
      <c r="X12" s="1"/>
    </row>
    <row r="13" spans="1:32" x14ac:dyDescent="0.25">
      <c r="A13" s="17">
        <v>212</v>
      </c>
      <c r="B13" s="18" t="s">
        <v>14</v>
      </c>
      <c r="C13" s="21">
        <v>1000</v>
      </c>
      <c r="D13" s="21">
        <v>1000</v>
      </c>
      <c r="E13" s="21">
        <v>1000</v>
      </c>
      <c r="F13" s="21">
        <v>1000</v>
      </c>
      <c r="G13" s="21">
        <v>1000</v>
      </c>
      <c r="H13" s="21">
        <v>1000</v>
      </c>
      <c r="I13" s="21">
        <v>1000</v>
      </c>
      <c r="J13" s="21">
        <v>1000</v>
      </c>
      <c r="K13" s="21">
        <v>1000</v>
      </c>
      <c r="L13" s="21">
        <v>1000</v>
      </c>
      <c r="M13" s="21">
        <v>1000</v>
      </c>
      <c r="N13" s="21">
        <v>1000</v>
      </c>
      <c r="O13" s="21">
        <v>1000</v>
      </c>
      <c r="P13" s="21">
        <v>1000</v>
      </c>
      <c r="Q13" s="21">
        <v>1000</v>
      </c>
      <c r="R13" s="21">
        <v>1000</v>
      </c>
      <c r="S13" s="21">
        <v>1000</v>
      </c>
      <c r="T13" s="21">
        <v>1000</v>
      </c>
      <c r="U13" s="21">
        <v>1000</v>
      </c>
      <c r="V13" s="21">
        <v>250</v>
      </c>
      <c r="W13" s="728">
        <f t="shared" si="3"/>
        <v>0.25</v>
      </c>
      <c r="X13" s="27"/>
    </row>
    <row r="14" spans="1:32" x14ac:dyDescent="0.25">
      <c r="A14" s="12">
        <v>212</v>
      </c>
      <c r="B14" s="13" t="s">
        <v>15</v>
      </c>
      <c r="C14" s="82">
        <v>3425</v>
      </c>
      <c r="D14" s="82">
        <v>3425</v>
      </c>
      <c r="E14" s="82">
        <v>3425</v>
      </c>
      <c r="F14" s="82">
        <v>3425</v>
      </c>
      <c r="G14" s="82">
        <v>3425</v>
      </c>
      <c r="H14" s="82">
        <v>3425</v>
      </c>
      <c r="I14" s="82">
        <v>3425</v>
      </c>
      <c r="J14" s="82">
        <v>3425</v>
      </c>
      <c r="K14" s="82">
        <v>3425</v>
      </c>
      <c r="L14" s="82">
        <v>3425</v>
      </c>
      <c r="M14" s="82">
        <v>3425</v>
      </c>
      <c r="N14" s="82">
        <v>3425</v>
      </c>
      <c r="O14" s="82">
        <v>3425</v>
      </c>
      <c r="P14" s="82">
        <v>3425</v>
      </c>
      <c r="Q14" s="82">
        <v>3425</v>
      </c>
      <c r="R14" s="82">
        <v>3425</v>
      </c>
      <c r="S14" s="82">
        <v>3425</v>
      </c>
      <c r="T14" s="82">
        <v>3425</v>
      </c>
      <c r="U14" s="82">
        <v>3425</v>
      </c>
      <c r="V14" s="82">
        <v>2858</v>
      </c>
      <c r="W14" s="728">
        <f t="shared" si="3"/>
        <v>0.83445255474452551</v>
      </c>
      <c r="X14" s="1"/>
    </row>
    <row r="15" spans="1:32" x14ac:dyDescent="0.25">
      <c r="A15" s="17">
        <v>212</v>
      </c>
      <c r="B15" s="18" t="s">
        <v>16</v>
      </c>
      <c r="C15" s="21">
        <v>19463</v>
      </c>
      <c r="D15" s="693">
        <f t="shared" ref="D15:I15" si="8">19463+129-236</f>
        <v>19356</v>
      </c>
      <c r="E15" s="21">
        <f t="shared" si="8"/>
        <v>19356</v>
      </c>
      <c r="F15" s="21">
        <f t="shared" si="8"/>
        <v>19356</v>
      </c>
      <c r="G15" s="21">
        <f t="shared" si="8"/>
        <v>19356</v>
      </c>
      <c r="H15" s="21">
        <f t="shared" si="8"/>
        <v>19356</v>
      </c>
      <c r="I15" s="21">
        <f t="shared" si="8"/>
        <v>19356</v>
      </c>
      <c r="J15" s="21">
        <f>19463+129-236-149</f>
        <v>19207</v>
      </c>
      <c r="K15" s="21">
        <f>19463+129-236-149</f>
        <v>19207</v>
      </c>
      <c r="L15" s="693">
        <f>19463+129-236-149+1005</f>
        <v>20212</v>
      </c>
      <c r="M15" s="21">
        <f>19463+129-236-149+1005</f>
        <v>20212</v>
      </c>
      <c r="N15" s="21">
        <f>19463+129-236-149+1005</f>
        <v>20212</v>
      </c>
      <c r="O15" s="21">
        <f>19463+129-236-149+1005</f>
        <v>20212</v>
      </c>
      <c r="P15" s="21">
        <f>19463+129-236-149+1005</f>
        <v>20212</v>
      </c>
      <c r="Q15" s="21">
        <f t="shared" ref="Q15:U15" si="9">19463+129-236-149+1005</f>
        <v>20212</v>
      </c>
      <c r="R15" s="21">
        <f t="shared" si="9"/>
        <v>20212</v>
      </c>
      <c r="S15" s="21">
        <f t="shared" si="9"/>
        <v>20212</v>
      </c>
      <c r="T15" s="21">
        <f t="shared" si="9"/>
        <v>20212</v>
      </c>
      <c r="U15" s="21">
        <f t="shared" si="9"/>
        <v>20212</v>
      </c>
      <c r="V15" s="21">
        <v>15254</v>
      </c>
      <c r="W15" s="728">
        <f t="shared" si="3"/>
        <v>0.75470017811201262</v>
      </c>
      <c r="X15" s="27"/>
    </row>
    <row r="16" spans="1:32" ht="15.75" thickBot="1" x14ac:dyDescent="0.3">
      <c r="A16" s="35">
        <v>212</v>
      </c>
      <c r="B16" s="36" t="s">
        <v>17</v>
      </c>
      <c r="C16" s="39">
        <v>100</v>
      </c>
      <c r="D16" s="39">
        <v>100</v>
      </c>
      <c r="E16" s="39">
        <v>100</v>
      </c>
      <c r="F16" s="39">
        <v>100</v>
      </c>
      <c r="G16" s="39">
        <v>100</v>
      </c>
      <c r="H16" s="39">
        <v>100</v>
      </c>
      <c r="I16" s="39">
        <v>100</v>
      </c>
      <c r="J16" s="39">
        <v>100</v>
      </c>
      <c r="K16" s="39">
        <v>100</v>
      </c>
      <c r="L16" s="39">
        <v>100</v>
      </c>
      <c r="M16" s="39">
        <v>100</v>
      </c>
      <c r="N16" s="39">
        <v>100</v>
      </c>
      <c r="O16" s="39">
        <v>100</v>
      </c>
      <c r="P16" s="39">
        <v>100</v>
      </c>
      <c r="Q16" s="39">
        <v>100</v>
      </c>
      <c r="R16" s="39">
        <v>100</v>
      </c>
      <c r="S16" s="39">
        <v>100</v>
      </c>
      <c r="T16" s="39">
        <v>100</v>
      </c>
      <c r="U16" s="39">
        <v>100</v>
      </c>
      <c r="V16" s="39">
        <v>0</v>
      </c>
      <c r="W16" s="728">
        <f t="shared" si="3"/>
        <v>0</v>
      </c>
      <c r="X16" s="426">
        <f>SUM(S12:S16)</f>
        <v>28025</v>
      </c>
      <c r="Y16" s="426">
        <f>SUM(V12:V16)</f>
        <v>20563</v>
      </c>
      <c r="Z16" s="426"/>
      <c r="AA16" s="426"/>
      <c r="AB16" s="426"/>
      <c r="AC16" s="426"/>
      <c r="AD16" s="426"/>
      <c r="AE16" s="27"/>
      <c r="AF16" s="426"/>
    </row>
    <row r="17" spans="1:32" ht="15.75" thickBot="1" x14ac:dyDescent="0.3">
      <c r="A17" s="7">
        <v>221</v>
      </c>
      <c r="B17" s="8" t="s">
        <v>18</v>
      </c>
      <c r="C17" s="41">
        <v>7200</v>
      </c>
      <c r="D17" s="41">
        <v>7200</v>
      </c>
      <c r="E17" s="41">
        <v>7200</v>
      </c>
      <c r="F17" s="41">
        <v>7200</v>
      </c>
      <c r="G17" s="41">
        <v>7200</v>
      </c>
      <c r="H17" s="41">
        <v>7200</v>
      </c>
      <c r="I17" s="41">
        <v>7200</v>
      </c>
      <c r="J17" s="41">
        <v>7200</v>
      </c>
      <c r="K17" s="41">
        <v>7200</v>
      </c>
      <c r="L17" s="41">
        <v>7200</v>
      </c>
      <c r="M17" s="41">
        <v>7200</v>
      </c>
      <c r="N17" s="41">
        <v>7200</v>
      </c>
      <c r="O17" s="41">
        <v>7200</v>
      </c>
      <c r="P17" s="829">
        <f>7200+1900</f>
        <v>9100</v>
      </c>
      <c r="Q17" s="41">
        <f t="shared" ref="Q17:U17" si="10">7200+1900</f>
        <v>9100</v>
      </c>
      <c r="R17" s="41">
        <f t="shared" si="10"/>
        <v>9100</v>
      </c>
      <c r="S17" s="41">
        <f t="shared" si="10"/>
        <v>9100</v>
      </c>
      <c r="T17" s="41">
        <f t="shared" si="10"/>
        <v>9100</v>
      </c>
      <c r="U17" s="41">
        <f t="shared" si="10"/>
        <v>9100</v>
      </c>
      <c r="V17" s="41">
        <v>7272</v>
      </c>
      <c r="W17" s="728">
        <f t="shared" si="3"/>
        <v>0.79912087912087915</v>
      </c>
      <c r="X17" s="1"/>
    </row>
    <row r="18" spans="1:32" ht="15.75" thickBot="1" x14ac:dyDescent="0.3">
      <c r="A18" s="35">
        <v>222</v>
      </c>
      <c r="B18" s="36" t="s">
        <v>19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728">
        <v>0</v>
      </c>
      <c r="X18" s="1"/>
    </row>
    <row r="19" spans="1:32" x14ac:dyDescent="0.25">
      <c r="A19" s="12">
        <v>223</v>
      </c>
      <c r="B19" s="13" t="s">
        <v>20</v>
      </c>
      <c r="C19" s="16">
        <v>900</v>
      </c>
      <c r="D19" s="16">
        <v>900</v>
      </c>
      <c r="E19" s="16">
        <v>900</v>
      </c>
      <c r="F19" s="16">
        <v>900</v>
      </c>
      <c r="G19" s="16">
        <v>900</v>
      </c>
      <c r="H19" s="16">
        <v>900</v>
      </c>
      <c r="I19" s="16">
        <v>900</v>
      </c>
      <c r="J19" s="16">
        <v>900</v>
      </c>
      <c r="K19" s="16">
        <v>900</v>
      </c>
      <c r="L19" s="16">
        <v>900</v>
      </c>
      <c r="M19" s="16">
        <v>900</v>
      </c>
      <c r="N19" s="16">
        <v>900</v>
      </c>
      <c r="O19" s="16">
        <v>900</v>
      </c>
      <c r="P19" s="16">
        <v>900</v>
      </c>
      <c r="Q19" s="16">
        <v>900</v>
      </c>
      <c r="R19" s="16">
        <v>900</v>
      </c>
      <c r="S19" s="16">
        <v>900</v>
      </c>
      <c r="T19" s="16">
        <v>900</v>
      </c>
      <c r="U19" s="16">
        <v>900</v>
      </c>
      <c r="V19" s="16">
        <v>161</v>
      </c>
      <c r="W19" s="728">
        <f t="shared" si="3"/>
        <v>0.17888888888888888</v>
      </c>
      <c r="X19" s="1"/>
    </row>
    <row r="20" spans="1:32" x14ac:dyDescent="0.25">
      <c r="A20" s="17">
        <v>223</v>
      </c>
      <c r="B20" s="18" t="s">
        <v>21</v>
      </c>
      <c r="C20" s="21">
        <v>25000</v>
      </c>
      <c r="D20" s="21">
        <v>25000</v>
      </c>
      <c r="E20" s="21">
        <v>25000</v>
      </c>
      <c r="F20" s="21">
        <v>25000</v>
      </c>
      <c r="G20" s="21">
        <v>25000</v>
      </c>
      <c r="H20" s="21">
        <v>25000</v>
      </c>
      <c r="I20" s="21">
        <v>25000</v>
      </c>
      <c r="J20" s="21">
        <v>25000</v>
      </c>
      <c r="K20" s="21">
        <v>25000</v>
      </c>
      <c r="L20" s="21">
        <v>25000</v>
      </c>
      <c r="M20" s="21">
        <v>25000</v>
      </c>
      <c r="N20" s="21">
        <v>25000</v>
      </c>
      <c r="O20" s="21">
        <v>25000</v>
      </c>
      <c r="P20" s="21">
        <v>25000</v>
      </c>
      <c r="Q20" s="21">
        <v>25000</v>
      </c>
      <c r="R20" s="21">
        <v>25000</v>
      </c>
      <c r="S20" s="21">
        <v>25000</v>
      </c>
      <c r="T20" s="21">
        <v>25000</v>
      </c>
      <c r="U20" s="21">
        <v>25000</v>
      </c>
      <c r="V20" s="21">
        <v>21423</v>
      </c>
      <c r="W20" s="728">
        <f t="shared" si="3"/>
        <v>0.85692000000000002</v>
      </c>
      <c r="X20" s="1"/>
    </row>
    <row r="21" spans="1:32" x14ac:dyDescent="0.25">
      <c r="A21" s="17">
        <v>223</v>
      </c>
      <c r="B21" s="18" t="s">
        <v>22</v>
      </c>
      <c r="C21" s="21">
        <v>100</v>
      </c>
      <c r="D21" s="21">
        <v>100</v>
      </c>
      <c r="E21" s="21">
        <v>100</v>
      </c>
      <c r="F21" s="21">
        <v>100</v>
      </c>
      <c r="G21" s="21">
        <v>100</v>
      </c>
      <c r="H21" s="21">
        <v>100</v>
      </c>
      <c r="I21" s="21">
        <v>100</v>
      </c>
      <c r="J21" s="21">
        <v>100</v>
      </c>
      <c r="K21" s="21">
        <v>100</v>
      </c>
      <c r="L21" s="21">
        <v>100</v>
      </c>
      <c r="M21" s="21">
        <v>100</v>
      </c>
      <c r="N21" s="21">
        <v>100</v>
      </c>
      <c r="O21" s="21">
        <v>100</v>
      </c>
      <c r="P21" s="21">
        <v>100</v>
      </c>
      <c r="Q21" s="21">
        <v>100</v>
      </c>
      <c r="R21" s="21">
        <v>100</v>
      </c>
      <c r="S21" s="21">
        <v>100</v>
      </c>
      <c r="T21" s="21">
        <v>100</v>
      </c>
      <c r="U21" s="21">
        <v>100</v>
      </c>
      <c r="V21" s="21">
        <v>0</v>
      </c>
      <c r="W21" s="728">
        <f t="shared" si="3"/>
        <v>0</v>
      </c>
      <c r="X21" s="1"/>
    </row>
    <row r="22" spans="1:32" x14ac:dyDescent="0.25">
      <c r="A22" s="17">
        <v>223</v>
      </c>
      <c r="B22" s="18" t="s">
        <v>290</v>
      </c>
      <c r="C22" s="21">
        <v>3000</v>
      </c>
      <c r="D22" s="21">
        <v>3000</v>
      </c>
      <c r="E22" s="21">
        <v>3000</v>
      </c>
      <c r="F22" s="21">
        <v>3000</v>
      </c>
      <c r="G22" s="21">
        <v>3000</v>
      </c>
      <c r="H22" s="21">
        <v>3000</v>
      </c>
      <c r="I22" s="21">
        <v>3000</v>
      </c>
      <c r="J22" s="21">
        <v>3000</v>
      </c>
      <c r="K22" s="21">
        <v>3000</v>
      </c>
      <c r="L22" s="21">
        <v>3000</v>
      </c>
      <c r="M22" s="21">
        <v>3000</v>
      </c>
      <c r="N22" s="21">
        <v>3000</v>
      </c>
      <c r="O22" s="21">
        <v>3000</v>
      </c>
      <c r="P22" s="21">
        <v>3000</v>
      </c>
      <c r="Q22" s="21">
        <v>3000</v>
      </c>
      <c r="R22" s="21">
        <v>3000</v>
      </c>
      <c r="S22" s="21">
        <v>3000</v>
      </c>
      <c r="T22" s="21">
        <v>3000</v>
      </c>
      <c r="U22" s="21">
        <v>3000</v>
      </c>
      <c r="V22" s="21">
        <v>1659</v>
      </c>
      <c r="W22" s="728">
        <f t="shared" si="3"/>
        <v>0.55300000000000005</v>
      </c>
      <c r="X22" s="1"/>
    </row>
    <row r="23" spans="1:32" x14ac:dyDescent="0.25">
      <c r="A23" s="17">
        <v>223</v>
      </c>
      <c r="B23" s="18" t="s">
        <v>23</v>
      </c>
      <c r="C23" s="21">
        <v>2000</v>
      </c>
      <c r="D23" s="21">
        <v>2000</v>
      </c>
      <c r="E23" s="21">
        <v>2000</v>
      </c>
      <c r="F23" s="21">
        <v>2000</v>
      </c>
      <c r="G23" s="21">
        <v>2000</v>
      </c>
      <c r="H23" s="21">
        <v>2000</v>
      </c>
      <c r="I23" s="21">
        <v>2000</v>
      </c>
      <c r="J23" s="21">
        <v>2000</v>
      </c>
      <c r="K23" s="21">
        <v>2000</v>
      </c>
      <c r="L23" s="21">
        <v>2000</v>
      </c>
      <c r="M23" s="21">
        <v>2000</v>
      </c>
      <c r="N23" s="21">
        <v>2000</v>
      </c>
      <c r="O23" s="21">
        <v>2000</v>
      </c>
      <c r="P23" s="21">
        <v>2000</v>
      </c>
      <c r="Q23" s="21">
        <v>2000</v>
      </c>
      <c r="R23" s="21">
        <v>2000</v>
      </c>
      <c r="S23" s="21">
        <v>2000</v>
      </c>
      <c r="T23" s="21">
        <v>2000</v>
      </c>
      <c r="U23" s="21">
        <v>2000</v>
      </c>
      <c r="V23" s="21">
        <v>0</v>
      </c>
      <c r="W23" s="728">
        <f t="shared" si="3"/>
        <v>0</v>
      </c>
      <c r="X23" s="1"/>
    </row>
    <row r="24" spans="1:32" x14ac:dyDescent="0.25">
      <c r="A24" s="17">
        <v>223</v>
      </c>
      <c r="B24" s="18" t="s">
        <v>24</v>
      </c>
      <c r="C24" s="21">
        <v>1000</v>
      </c>
      <c r="D24" s="21">
        <v>1000</v>
      </c>
      <c r="E24" s="21">
        <v>1000</v>
      </c>
      <c r="F24" s="21">
        <v>1000</v>
      </c>
      <c r="G24" s="21">
        <v>1000</v>
      </c>
      <c r="H24" s="21">
        <v>1000</v>
      </c>
      <c r="I24" s="21">
        <v>1000</v>
      </c>
      <c r="J24" s="21">
        <v>1000</v>
      </c>
      <c r="K24" s="21">
        <v>1000</v>
      </c>
      <c r="L24" s="21">
        <v>1000</v>
      </c>
      <c r="M24" s="21">
        <v>1000</v>
      </c>
      <c r="N24" s="21">
        <v>1000</v>
      </c>
      <c r="O24" s="21">
        <v>1000</v>
      </c>
      <c r="P24" s="21">
        <v>1000</v>
      </c>
      <c r="Q24" s="21">
        <v>1000</v>
      </c>
      <c r="R24" s="21">
        <v>1000</v>
      </c>
      <c r="S24" s="21">
        <v>1000</v>
      </c>
      <c r="T24" s="21">
        <v>1000</v>
      </c>
      <c r="U24" s="21">
        <v>1000</v>
      </c>
      <c r="V24" s="21">
        <v>460</v>
      </c>
      <c r="W24" s="728">
        <f t="shared" si="3"/>
        <v>0.46</v>
      </c>
      <c r="X24" s="1"/>
    </row>
    <row r="25" spans="1:32" x14ac:dyDescent="0.25">
      <c r="A25" s="17">
        <v>223</v>
      </c>
      <c r="B25" s="18" t="s">
        <v>25</v>
      </c>
      <c r="C25" s="21">
        <v>46000</v>
      </c>
      <c r="D25" s="21">
        <v>46000</v>
      </c>
      <c r="E25" s="21">
        <v>46000</v>
      </c>
      <c r="F25" s="21">
        <v>46000</v>
      </c>
      <c r="G25" s="21">
        <v>46000</v>
      </c>
      <c r="H25" s="21">
        <v>46000</v>
      </c>
      <c r="I25" s="21">
        <v>46000</v>
      </c>
      <c r="J25" s="21">
        <v>46000</v>
      </c>
      <c r="K25" s="21">
        <v>46000</v>
      </c>
      <c r="L25" s="21">
        <v>46000</v>
      </c>
      <c r="M25" s="21">
        <v>46000</v>
      </c>
      <c r="N25" s="21">
        <v>46000</v>
      </c>
      <c r="O25" s="21">
        <v>46000</v>
      </c>
      <c r="P25" s="21">
        <v>46000</v>
      </c>
      <c r="Q25" s="21">
        <v>46000</v>
      </c>
      <c r="R25" s="21">
        <v>46000</v>
      </c>
      <c r="S25" s="21">
        <v>46000</v>
      </c>
      <c r="T25" s="21">
        <v>46000</v>
      </c>
      <c r="U25" s="21">
        <v>46000</v>
      </c>
      <c r="V25" s="21">
        <v>30951</v>
      </c>
      <c r="W25" s="728">
        <f t="shared" si="3"/>
        <v>0.67284782608695648</v>
      </c>
      <c r="X25" s="1"/>
    </row>
    <row r="26" spans="1:32" x14ac:dyDescent="0.25">
      <c r="A26" s="17">
        <v>223</v>
      </c>
      <c r="B26" s="18" t="s">
        <v>26</v>
      </c>
      <c r="C26" s="21">
        <v>61000</v>
      </c>
      <c r="D26" s="21">
        <v>61000</v>
      </c>
      <c r="E26" s="21">
        <v>61000</v>
      </c>
      <c r="F26" s="21">
        <v>61000</v>
      </c>
      <c r="G26" s="21">
        <v>61000</v>
      </c>
      <c r="H26" s="21">
        <v>61000</v>
      </c>
      <c r="I26" s="21">
        <v>61000</v>
      </c>
      <c r="J26" s="21">
        <v>61000</v>
      </c>
      <c r="K26" s="21">
        <v>61000</v>
      </c>
      <c r="L26" s="21">
        <v>61000</v>
      </c>
      <c r="M26" s="21">
        <v>61000</v>
      </c>
      <c r="N26" s="21">
        <v>61000</v>
      </c>
      <c r="O26" s="21">
        <v>61000</v>
      </c>
      <c r="P26" s="21">
        <v>61000</v>
      </c>
      <c r="Q26" s="21">
        <v>61000</v>
      </c>
      <c r="R26" s="21">
        <v>61000</v>
      </c>
      <c r="S26" s="21">
        <v>61000</v>
      </c>
      <c r="T26" s="21">
        <v>61000</v>
      </c>
      <c r="U26" s="21">
        <v>61000</v>
      </c>
      <c r="V26" s="21">
        <v>43139</v>
      </c>
      <c r="W26" s="728">
        <f t="shared" si="3"/>
        <v>0.70719672131147537</v>
      </c>
      <c r="X26" s="1"/>
    </row>
    <row r="27" spans="1:32" x14ac:dyDescent="0.25">
      <c r="A27" s="17">
        <v>223</v>
      </c>
      <c r="B27" s="18" t="s">
        <v>28</v>
      </c>
      <c r="C27" s="21">
        <v>2100</v>
      </c>
      <c r="D27" s="21">
        <v>2100</v>
      </c>
      <c r="E27" s="21">
        <v>2100</v>
      </c>
      <c r="F27" s="21">
        <v>2100</v>
      </c>
      <c r="G27" s="21">
        <v>2100</v>
      </c>
      <c r="H27" s="21">
        <v>2100</v>
      </c>
      <c r="I27" s="21">
        <v>2100</v>
      </c>
      <c r="J27" s="21">
        <v>2100</v>
      </c>
      <c r="K27" s="21">
        <v>2100</v>
      </c>
      <c r="L27" s="21">
        <v>2100</v>
      </c>
      <c r="M27" s="21">
        <v>2100</v>
      </c>
      <c r="N27" s="21">
        <v>2100</v>
      </c>
      <c r="O27" s="21">
        <v>2100</v>
      </c>
      <c r="P27" s="21">
        <v>2100</v>
      </c>
      <c r="Q27" s="21">
        <v>2100</v>
      </c>
      <c r="R27" s="21">
        <v>2100</v>
      </c>
      <c r="S27" s="21">
        <v>2100</v>
      </c>
      <c r="T27" s="21">
        <v>2100</v>
      </c>
      <c r="U27" s="21">
        <v>2100</v>
      </c>
      <c r="V27" s="21">
        <v>1785</v>
      </c>
      <c r="W27" s="728">
        <f t="shared" si="3"/>
        <v>0.85</v>
      </c>
      <c r="X27" s="1"/>
    </row>
    <row r="28" spans="1:32" x14ac:dyDescent="0.25">
      <c r="A28" s="17">
        <v>223</v>
      </c>
      <c r="B28" s="18" t="s">
        <v>214</v>
      </c>
      <c r="C28" s="21">
        <v>1300</v>
      </c>
      <c r="D28" s="21">
        <v>1300</v>
      </c>
      <c r="E28" s="21">
        <v>1300</v>
      </c>
      <c r="F28" s="21">
        <v>1300</v>
      </c>
      <c r="G28" s="21">
        <v>1300</v>
      </c>
      <c r="H28" s="21">
        <v>1300</v>
      </c>
      <c r="I28" s="21">
        <v>1300</v>
      </c>
      <c r="J28" s="21">
        <v>1300</v>
      </c>
      <c r="K28" s="21">
        <v>1300</v>
      </c>
      <c r="L28" s="21">
        <v>1300</v>
      </c>
      <c r="M28" s="21">
        <v>1300</v>
      </c>
      <c r="N28" s="21">
        <v>1300</v>
      </c>
      <c r="O28" s="21">
        <v>1300</v>
      </c>
      <c r="P28" s="21">
        <v>1300</v>
      </c>
      <c r="Q28" s="21">
        <v>1300</v>
      </c>
      <c r="R28" s="21">
        <v>1300</v>
      </c>
      <c r="S28" s="21">
        <v>1300</v>
      </c>
      <c r="T28" s="21">
        <v>1300</v>
      </c>
      <c r="U28" s="21">
        <v>1300</v>
      </c>
      <c r="V28" s="21">
        <v>600</v>
      </c>
      <c r="W28" s="728">
        <f t="shared" si="3"/>
        <v>0.46153846153846156</v>
      </c>
      <c r="X28" s="1"/>
    </row>
    <row r="29" spans="1:32" x14ac:dyDescent="0.25">
      <c r="A29" s="43">
        <v>223</v>
      </c>
      <c r="B29" s="44" t="s">
        <v>29</v>
      </c>
      <c r="C29" s="46">
        <v>71000</v>
      </c>
      <c r="D29" s="46">
        <v>71000</v>
      </c>
      <c r="E29" s="46">
        <v>71000</v>
      </c>
      <c r="F29" s="46">
        <v>71000</v>
      </c>
      <c r="G29" s="46">
        <v>71000</v>
      </c>
      <c r="H29" s="46">
        <v>71000</v>
      </c>
      <c r="I29" s="46">
        <v>71000</v>
      </c>
      <c r="J29" s="46">
        <v>71000</v>
      </c>
      <c r="K29" s="46">
        <v>71000</v>
      </c>
      <c r="L29" s="46">
        <v>71000</v>
      </c>
      <c r="M29" s="46">
        <v>71000</v>
      </c>
      <c r="N29" s="46">
        <v>71000</v>
      </c>
      <c r="O29" s="46">
        <v>71000</v>
      </c>
      <c r="P29" s="46">
        <v>71000</v>
      </c>
      <c r="Q29" s="46">
        <v>71000</v>
      </c>
      <c r="R29" s="46">
        <v>71000</v>
      </c>
      <c r="S29" s="46">
        <v>71000</v>
      </c>
      <c r="T29" s="46">
        <v>71000</v>
      </c>
      <c r="U29" s="46">
        <v>71000</v>
      </c>
      <c r="V29" s="46">
        <v>30927</v>
      </c>
      <c r="W29" s="728">
        <f t="shared" si="3"/>
        <v>0.43559154929577465</v>
      </c>
      <c r="X29" s="27"/>
    </row>
    <row r="30" spans="1:32" ht="15.75" thickBot="1" x14ac:dyDescent="0.3">
      <c r="A30" s="22">
        <v>223</v>
      </c>
      <c r="B30" s="23" t="s">
        <v>30</v>
      </c>
      <c r="C30" s="79">
        <v>100</v>
      </c>
      <c r="D30" s="79">
        <v>100</v>
      </c>
      <c r="E30" s="79">
        <v>100</v>
      </c>
      <c r="F30" s="79">
        <v>100</v>
      </c>
      <c r="G30" s="79">
        <v>100</v>
      </c>
      <c r="H30" s="79">
        <v>100</v>
      </c>
      <c r="I30" s="79">
        <v>100</v>
      </c>
      <c r="J30" s="79">
        <v>100</v>
      </c>
      <c r="K30" s="79">
        <v>100</v>
      </c>
      <c r="L30" s="79">
        <v>100</v>
      </c>
      <c r="M30" s="79">
        <v>100</v>
      </c>
      <c r="N30" s="79">
        <v>100</v>
      </c>
      <c r="O30" s="79">
        <v>100</v>
      </c>
      <c r="P30" s="79">
        <v>100</v>
      </c>
      <c r="Q30" s="79">
        <v>100</v>
      </c>
      <c r="R30" s="79">
        <v>100</v>
      </c>
      <c r="S30" s="79">
        <v>100</v>
      </c>
      <c r="T30" s="79">
        <v>100</v>
      </c>
      <c r="U30" s="79">
        <v>100</v>
      </c>
      <c r="V30" s="48">
        <v>0</v>
      </c>
      <c r="W30" s="728">
        <f t="shared" si="3"/>
        <v>0</v>
      </c>
      <c r="X30" s="27">
        <f>SUM(S19:S30)</f>
        <v>213500</v>
      </c>
      <c r="Y30" s="27">
        <f>SUM(V19:V30)</f>
        <v>131105</v>
      </c>
      <c r="Z30" s="27"/>
      <c r="AA30" s="27"/>
      <c r="AB30" s="27"/>
      <c r="AC30" s="27"/>
      <c r="AD30" s="27"/>
      <c r="AE30" s="426"/>
      <c r="AF30" s="426"/>
    </row>
    <row r="31" spans="1:32" ht="15.75" thickBot="1" x14ac:dyDescent="0.3">
      <c r="A31" s="850" t="s">
        <v>31</v>
      </c>
      <c r="B31" s="851"/>
      <c r="C31" s="2">
        <f t="shared" ref="C31:U31" si="11">SUM(C32)</f>
        <v>50</v>
      </c>
      <c r="D31" s="2">
        <f t="shared" si="11"/>
        <v>50</v>
      </c>
      <c r="E31" s="2">
        <f t="shared" si="11"/>
        <v>50</v>
      </c>
      <c r="F31" s="2">
        <f t="shared" si="11"/>
        <v>50</v>
      </c>
      <c r="G31" s="2">
        <f t="shared" si="11"/>
        <v>50</v>
      </c>
      <c r="H31" s="2">
        <f t="shared" si="11"/>
        <v>50</v>
      </c>
      <c r="I31" s="2">
        <f t="shared" si="11"/>
        <v>50</v>
      </c>
      <c r="J31" s="2">
        <f t="shared" si="11"/>
        <v>50</v>
      </c>
      <c r="K31" s="2">
        <f t="shared" si="11"/>
        <v>50</v>
      </c>
      <c r="L31" s="2">
        <f t="shared" si="11"/>
        <v>50</v>
      </c>
      <c r="M31" s="2">
        <f t="shared" si="11"/>
        <v>50</v>
      </c>
      <c r="N31" s="2">
        <f t="shared" si="11"/>
        <v>50</v>
      </c>
      <c r="O31" s="2">
        <f t="shared" si="11"/>
        <v>50</v>
      </c>
      <c r="P31" s="2">
        <f t="shared" si="11"/>
        <v>50</v>
      </c>
      <c r="Q31" s="2">
        <f t="shared" si="11"/>
        <v>50</v>
      </c>
      <c r="R31" s="2">
        <f t="shared" si="11"/>
        <v>50</v>
      </c>
      <c r="S31" s="2">
        <f t="shared" si="11"/>
        <v>50</v>
      </c>
      <c r="T31" s="2">
        <f t="shared" si="11"/>
        <v>50</v>
      </c>
      <c r="U31" s="2">
        <f t="shared" si="11"/>
        <v>50</v>
      </c>
      <c r="V31" s="2">
        <v>20</v>
      </c>
      <c r="W31" s="728">
        <f t="shared" si="3"/>
        <v>0.4</v>
      </c>
      <c r="X31" s="27">
        <f>SUM(O17:O30)</f>
        <v>220700</v>
      </c>
      <c r="Y31" s="27">
        <f>SUM(V17:V30)</f>
        <v>138377</v>
      </c>
    </row>
    <row r="32" spans="1:32" ht="15.75" thickBot="1" x14ac:dyDescent="0.3">
      <c r="A32" s="51">
        <v>240</v>
      </c>
      <c r="B32" s="47" t="s">
        <v>32</v>
      </c>
      <c r="C32" s="38">
        <v>50</v>
      </c>
      <c r="D32" s="38">
        <v>50</v>
      </c>
      <c r="E32" s="38">
        <v>50</v>
      </c>
      <c r="F32" s="38">
        <v>50</v>
      </c>
      <c r="G32" s="38">
        <v>50</v>
      </c>
      <c r="H32" s="38">
        <v>50</v>
      </c>
      <c r="I32" s="38">
        <v>50</v>
      </c>
      <c r="J32" s="38">
        <v>50</v>
      </c>
      <c r="K32" s="38">
        <v>50</v>
      </c>
      <c r="L32" s="38">
        <v>50</v>
      </c>
      <c r="M32" s="38">
        <v>50</v>
      </c>
      <c r="N32" s="38">
        <v>50</v>
      </c>
      <c r="O32" s="38">
        <v>50</v>
      </c>
      <c r="P32" s="38">
        <v>50</v>
      </c>
      <c r="Q32" s="38">
        <v>50</v>
      </c>
      <c r="R32" s="38">
        <v>50</v>
      </c>
      <c r="S32" s="38">
        <v>50</v>
      </c>
      <c r="T32" s="38">
        <v>50</v>
      </c>
      <c r="U32" s="38">
        <v>50</v>
      </c>
      <c r="V32" s="38">
        <v>21</v>
      </c>
      <c r="W32" s="728">
        <f t="shared" si="3"/>
        <v>0.42</v>
      </c>
      <c r="X32" s="1"/>
    </row>
    <row r="33" spans="1:30" ht="15.75" thickBot="1" x14ac:dyDescent="0.3">
      <c r="A33" s="850" t="s">
        <v>33</v>
      </c>
      <c r="B33" s="851"/>
      <c r="C33" s="336">
        <f t="shared" ref="C33:V33" si="12">SUM(C34:C38)</f>
        <v>60240</v>
      </c>
      <c r="D33" s="336">
        <f t="shared" si="12"/>
        <v>60255</v>
      </c>
      <c r="E33" s="336">
        <f t="shared" si="12"/>
        <v>64505</v>
      </c>
      <c r="F33" s="336">
        <f t="shared" si="12"/>
        <v>64505</v>
      </c>
      <c r="G33" s="336">
        <f t="shared" si="12"/>
        <v>64505</v>
      </c>
      <c r="H33" s="336">
        <f t="shared" si="12"/>
        <v>64505</v>
      </c>
      <c r="I33" s="336">
        <f t="shared" si="12"/>
        <v>64505</v>
      </c>
      <c r="J33" s="336">
        <f t="shared" si="12"/>
        <v>65429</v>
      </c>
      <c r="K33" s="336">
        <f t="shared" si="12"/>
        <v>65429</v>
      </c>
      <c r="L33" s="336">
        <f t="shared" si="12"/>
        <v>65969</v>
      </c>
      <c r="M33" s="336">
        <f t="shared" si="12"/>
        <v>65969</v>
      </c>
      <c r="N33" s="336">
        <f t="shared" si="12"/>
        <v>65969</v>
      </c>
      <c r="O33" s="336">
        <f t="shared" si="12"/>
        <v>65969</v>
      </c>
      <c r="P33" s="336">
        <f t="shared" si="12"/>
        <v>65969</v>
      </c>
      <c r="Q33" s="336">
        <f t="shared" si="12"/>
        <v>65969</v>
      </c>
      <c r="R33" s="336">
        <f t="shared" si="12"/>
        <v>65969</v>
      </c>
      <c r="S33" s="336">
        <f t="shared" si="12"/>
        <v>65969</v>
      </c>
      <c r="T33" s="336">
        <f t="shared" ref="T33:U33" si="13">SUM(T34:T38)</f>
        <v>65969</v>
      </c>
      <c r="U33" s="336">
        <f t="shared" si="13"/>
        <v>65969</v>
      </c>
      <c r="V33" s="336">
        <f t="shared" si="12"/>
        <v>41524</v>
      </c>
      <c r="W33" s="728">
        <f t="shared" si="3"/>
        <v>0.62944716457730143</v>
      </c>
      <c r="X33" s="1"/>
    </row>
    <row r="34" spans="1:30" x14ac:dyDescent="0.25">
      <c r="A34" s="57">
        <v>292</v>
      </c>
      <c r="B34" s="58" t="s">
        <v>36</v>
      </c>
      <c r="C34" s="61">
        <v>10000</v>
      </c>
      <c r="D34" s="695">
        <f t="shared" ref="D34:U34" si="14">10000+4250</f>
        <v>14250</v>
      </c>
      <c r="E34" s="61">
        <f>10000+4250</f>
        <v>14250</v>
      </c>
      <c r="F34" s="61">
        <f t="shared" si="14"/>
        <v>14250</v>
      </c>
      <c r="G34" s="61">
        <f t="shared" si="14"/>
        <v>14250</v>
      </c>
      <c r="H34" s="61">
        <f t="shared" si="14"/>
        <v>14250</v>
      </c>
      <c r="I34" s="61">
        <f t="shared" si="14"/>
        <v>14250</v>
      </c>
      <c r="J34" s="61">
        <f t="shared" si="14"/>
        <v>14250</v>
      </c>
      <c r="K34" s="61">
        <f t="shared" si="14"/>
        <v>14250</v>
      </c>
      <c r="L34" s="61">
        <f t="shared" si="14"/>
        <v>14250</v>
      </c>
      <c r="M34" s="61">
        <f t="shared" si="14"/>
        <v>14250</v>
      </c>
      <c r="N34" s="61">
        <f t="shared" si="14"/>
        <v>14250</v>
      </c>
      <c r="O34" s="61">
        <f t="shared" si="14"/>
        <v>14250</v>
      </c>
      <c r="P34" s="61">
        <f t="shared" si="14"/>
        <v>14250</v>
      </c>
      <c r="Q34" s="61">
        <f t="shared" si="14"/>
        <v>14250</v>
      </c>
      <c r="R34" s="61">
        <f t="shared" si="14"/>
        <v>14250</v>
      </c>
      <c r="S34" s="61">
        <f t="shared" si="14"/>
        <v>14250</v>
      </c>
      <c r="T34" s="61">
        <f t="shared" si="14"/>
        <v>14250</v>
      </c>
      <c r="U34" s="61">
        <f t="shared" si="14"/>
        <v>14250</v>
      </c>
      <c r="V34" s="61">
        <v>14231</v>
      </c>
      <c r="W34" s="728">
        <f t="shared" si="3"/>
        <v>0.9986666666666667</v>
      </c>
      <c r="X34" s="1"/>
    </row>
    <row r="35" spans="1:30" x14ac:dyDescent="0.25">
      <c r="A35" s="57">
        <v>292</v>
      </c>
      <c r="B35" s="58" t="s">
        <v>37</v>
      </c>
      <c r="C35" s="60">
        <v>500</v>
      </c>
      <c r="D35" s="60">
        <v>500</v>
      </c>
      <c r="E35" s="60">
        <v>500</v>
      </c>
      <c r="F35" s="60">
        <v>500</v>
      </c>
      <c r="G35" s="60">
        <v>500</v>
      </c>
      <c r="H35" s="60">
        <v>500</v>
      </c>
      <c r="I35" s="60">
        <v>500</v>
      </c>
      <c r="J35" s="60">
        <v>500</v>
      </c>
      <c r="K35" s="60">
        <v>500</v>
      </c>
      <c r="L35" s="60">
        <v>500</v>
      </c>
      <c r="M35" s="60">
        <v>500</v>
      </c>
      <c r="N35" s="60">
        <v>500</v>
      </c>
      <c r="O35" s="60">
        <v>500</v>
      </c>
      <c r="P35" s="60">
        <v>500</v>
      </c>
      <c r="Q35" s="60">
        <v>500</v>
      </c>
      <c r="R35" s="60">
        <v>500</v>
      </c>
      <c r="S35" s="60">
        <v>500</v>
      </c>
      <c r="T35" s="60">
        <v>500</v>
      </c>
      <c r="U35" s="60">
        <v>500</v>
      </c>
      <c r="V35" s="60">
        <v>197</v>
      </c>
      <c r="W35" s="728">
        <f t="shared" si="3"/>
        <v>0.39400000000000002</v>
      </c>
      <c r="X35" s="1"/>
    </row>
    <row r="36" spans="1:30" x14ac:dyDescent="0.25">
      <c r="A36" s="57">
        <v>292</v>
      </c>
      <c r="B36" s="18" t="s">
        <v>38</v>
      </c>
      <c r="C36" s="64">
        <v>380</v>
      </c>
      <c r="D36" s="689">
        <f t="shared" ref="D36:U36" si="15">380+15</f>
        <v>395</v>
      </c>
      <c r="E36" s="64">
        <f t="shared" si="15"/>
        <v>395</v>
      </c>
      <c r="F36" s="64">
        <f t="shared" si="15"/>
        <v>395</v>
      </c>
      <c r="G36" s="64">
        <f t="shared" si="15"/>
        <v>395</v>
      </c>
      <c r="H36" s="64">
        <f t="shared" si="15"/>
        <v>395</v>
      </c>
      <c r="I36" s="64">
        <f t="shared" si="15"/>
        <v>395</v>
      </c>
      <c r="J36" s="64">
        <f t="shared" si="15"/>
        <v>395</v>
      </c>
      <c r="K36" s="64">
        <f t="shared" si="15"/>
        <v>395</v>
      </c>
      <c r="L36" s="64">
        <f t="shared" si="15"/>
        <v>395</v>
      </c>
      <c r="M36" s="64">
        <f t="shared" si="15"/>
        <v>395</v>
      </c>
      <c r="N36" s="64">
        <f t="shared" si="15"/>
        <v>395</v>
      </c>
      <c r="O36" s="64">
        <f t="shared" si="15"/>
        <v>395</v>
      </c>
      <c r="P36" s="64">
        <f t="shared" si="15"/>
        <v>395</v>
      </c>
      <c r="Q36" s="64">
        <f t="shared" si="15"/>
        <v>395</v>
      </c>
      <c r="R36" s="64">
        <f t="shared" si="15"/>
        <v>395</v>
      </c>
      <c r="S36" s="64">
        <f t="shared" si="15"/>
        <v>395</v>
      </c>
      <c r="T36" s="64">
        <f t="shared" si="15"/>
        <v>395</v>
      </c>
      <c r="U36" s="64">
        <f t="shared" si="15"/>
        <v>395</v>
      </c>
      <c r="V36" s="64">
        <v>0</v>
      </c>
      <c r="W36" s="728">
        <f t="shared" si="3"/>
        <v>0</v>
      </c>
      <c r="X36" s="1"/>
    </row>
    <row r="37" spans="1:30" x14ac:dyDescent="0.25">
      <c r="A37" s="57">
        <v>292</v>
      </c>
      <c r="B37" s="58" t="s">
        <v>188</v>
      </c>
      <c r="C37" s="60">
        <f>49730-C36</f>
        <v>49350</v>
      </c>
      <c r="D37" s="694">
        <f>49730+15-4250-D36</f>
        <v>45100</v>
      </c>
      <c r="E37" s="694">
        <f t="shared" ref="E37:H37" si="16">49730+15-4250-E36+4250</f>
        <v>49350</v>
      </c>
      <c r="F37" s="60">
        <f t="shared" si="16"/>
        <v>49350</v>
      </c>
      <c r="G37" s="60">
        <f t="shared" si="16"/>
        <v>49350</v>
      </c>
      <c r="H37" s="60">
        <f t="shared" si="16"/>
        <v>49350</v>
      </c>
      <c r="I37" s="694">
        <f>49730+15-4250-I36+4250-924</f>
        <v>48426</v>
      </c>
      <c r="J37" s="60">
        <f>49730+15-4250-J36+4250-924</f>
        <v>48426</v>
      </c>
      <c r="K37" s="60">
        <f>49730+15-4250-K36+4250-924</f>
        <v>48426</v>
      </c>
      <c r="L37" s="694">
        <f>49730+15-4250-L36+4250-924+540</f>
        <v>48966</v>
      </c>
      <c r="M37" s="60">
        <f>49730+15-4250-M36+4250-924+540</f>
        <v>48966</v>
      </c>
      <c r="N37" s="694">
        <f>49730+15-4250-N36+4250-924+540+924</f>
        <v>49890</v>
      </c>
      <c r="O37" s="60">
        <f>49730+15-4250-O36+4250-924+540+924</f>
        <v>49890</v>
      </c>
      <c r="P37" s="60">
        <f>49730+15-4250-P36+4250-924+540+924</f>
        <v>49890</v>
      </c>
      <c r="Q37" s="60">
        <f t="shared" ref="Q37:S37" si="17">49730+15-4250-Q36+4250-924+540+924</f>
        <v>49890</v>
      </c>
      <c r="R37" s="60">
        <f t="shared" si="17"/>
        <v>49890</v>
      </c>
      <c r="S37" s="60">
        <f t="shared" si="17"/>
        <v>49890</v>
      </c>
      <c r="T37" s="60">
        <f t="shared" ref="T37:U37" si="18">49730+15-4250-T36+4250-924+540+924</f>
        <v>49890</v>
      </c>
      <c r="U37" s="60">
        <f t="shared" si="18"/>
        <v>49890</v>
      </c>
      <c r="V37" s="60">
        <v>26171</v>
      </c>
      <c r="W37" s="728">
        <f t="shared" si="3"/>
        <v>0.52457406293846465</v>
      </c>
      <c r="X37" s="27">
        <f>SUM(S36:S37)</f>
        <v>50285</v>
      </c>
      <c r="Y37" s="27">
        <f>SUM(V36:V37)</f>
        <v>26171</v>
      </c>
      <c r="Z37" s="27"/>
      <c r="AA37" s="27"/>
      <c r="AB37" s="27"/>
      <c r="AC37" s="27"/>
      <c r="AD37" s="27"/>
    </row>
    <row r="38" spans="1:30" ht="15.75" thickBot="1" x14ac:dyDescent="0.3">
      <c r="A38" s="57">
        <v>292</v>
      </c>
      <c r="B38" s="58" t="s">
        <v>260</v>
      </c>
      <c r="C38" s="60">
        <v>10</v>
      </c>
      <c r="D38" s="60">
        <v>10</v>
      </c>
      <c r="E38" s="60">
        <v>10</v>
      </c>
      <c r="F38" s="60">
        <v>10</v>
      </c>
      <c r="G38" s="60">
        <v>10</v>
      </c>
      <c r="H38" s="60">
        <v>10</v>
      </c>
      <c r="I38" s="694">
        <f t="shared" ref="I38" si="19">10+924</f>
        <v>934</v>
      </c>
      <c r="J38" s="694">
        <f>10+924+924</f>
        <v>1858</v>
      </c>
      <c r="K38" s="60">
        <f t="shared" ref="K38:M38" si="20">10+924+924</f>
        <v>1858</v>
      </c>
      <c r="L38" s="60">
        <f t="shared" si="20"/>
        <v>1858</v>
      </c>
      <c r="M38" s="60">
        <f t="shared" si="20"/>
        <v>1858</v>
      </c>
      <c r="N38" s="694">
        <f>10+924+924-924</f>
        <v>934</v>
      </c>
      <c r="O38" s="60">
        <f>10+924+924-924</f>
        <v>934</v>
      </c>
      <c r="P38" s="60">
        <f>10+924+924-924</f>
        <v>934</v>
      </c>
      <c r="Q38" s="60">
        <f t="shared" ref="Q38:U38" si="21">10+924+924-924</f>
        <v>934</v>
      </c>
      <c r="R38" s="60">
        <f t="shared" si="21"/>
        <v>934</v>
      </c>
      <c r="S38" s="60">
        <f t="shared" si="21"/>
        <v>934</v>
      </c>
      <c r="T38" s="60">
        <f t="shared" si="21"/>
        <v>934</v>
      </c>
      <c r="U38" s="60">
        <f t="shared" si="21"/>
        <v>934</v>
      </c>
      <c r="V38" s="60">
        <v>925</v>
      </c>
      <c r="W38" s="728">
        <f t="shared" si="3"/>
        <v>0.99036402569593152</v>
      </c>
      <c r="X38" s="1"/>
      <c r="Y38" s="426">
        <f>Y16+V17+V18+Y30+V32+V33+0</f>
        <v>200485</v>
      </c>
    </row>
    <row r="39" spans="1:30" ht="15.75" thickBot="1" x14ac:dyDescent="0.3">
      <c r="A39" s="65" t="s">
        <v>39</v>
      </c>
      <c r="B39" s="340"/>
      <c r="C39" s="336">
        <f t="shared" ref="C39:V39" si="22">SUM(C40:C67)</f>
        <v>1306665</v>
      </c>
      <c r="D39" s="336">
        <f t="shared" si="22"/>
        <v>1306322</v>
      </c>
      <c r="E39" s="336">
        <f t="shared" si="22"/>
        <v>1319182</v>
      </c>
      <c r="F39" s="336">
        <f t="shared" si="22"/>
        <v>1312406</v>
      </c>
      <c r="G39" s="336">
        <f t="shared" si="22"/>
        <v>1312406</v>
      </c>
      <c r="H39" s="336">
        <f t="shared" si="22"/>
        <v>1312406</v>
      </c>
      <c r="I39" s="336">
        <f t="shared" si="22"/>
        <v>1324362</v>
      </c>
      <c r="J39" s="336">
        <f t="shared" si="22"/>
        <v>1324362</v>
      </c>
      <c r="K39" s="336">
        <f t="shared" si="22"/>
        <v>1422191</v>
      </c>
      <c r="L39" s="336">
        <f t="shared" si="22"/>
        <v>1422191</v>
      </c>
      <c r="M39" s="336">
        <f t="shared" si="22"/>
        <v>1422191</v>
      </c>
      <c r="N39" s="336">
        <f t="shared" si="22"/>
        <v>1426590</v>
      </c>
      <c r="O39" s="336">
        <f t="shared" si="22"/>
        <v>1428787</v>
      </c>
      <c r="P39" s="336">
        <f t="shared" si="22"/>
        <v>1430387</v>
      </c>
      <c r="Q39" s="336">
        <f t="shared" si="22"/>
        <v>1430387</v>
      </c>
      <c r="R39" s="336">
        <f t="shared" si="22"/>
        <v>1471668</v>
      </c>
      <c r="S39" s="336">
        <f t="shared" si="22"/>
        <v>1496516</v>
      </c>
      <c r="T39" s="336">
        <f t="shared" si="22"/>
        <v>1496516</v>
      </c>
      <c r="U39" s="336">
        <f t="shared" ref="U39" si="23">SUM(U40:U67)</f>
        <v>1526689</v>
      </c>
      <c r="V39" s="336">
        <f t="shared" si="22"/>
        <v>1261246</v>
      </c>
      <c r="W39" s="728">
        <f t="shared" si="3"/>
        <v>0.84278818268565125</v>
      </c>
      <c r="X39" s="1"/>
    </row>
    <row r="40" spans="1:30" ht="15.75" thickBot="1" x14ac:dyDescent="0.3">
      <c r="A40" s="787">
        <v>311</v>
      </c>
      <c r="B40" s="788" t="s">
        <v>40</v>
      </c>
      <c r="C40" s="789">
        <v>0</v>
      </c>
      <c r="D40" s="789">
        <v>0</v>
      </c>
      <c r="E40" s="789">
        <v>0</v>
      </c>
      <c r="F40" s="789">
        <v>0</v>
      </c>
      <c r="G40" s="789">
        <v>0</v>
      </c>
      <c r="H40" s="789">
        <v>0</v>
      </c>
      <c r="I40" s="789">
        <v>0</v>
      </c>
      <c r="J40" s="789">
        <v>0</v>
      </c>
      <c r="K40" s="789">
        <v>0</v>
      </c>
      <c r="L40" s="789">
        <v>0</v>
      </c>
      <c r="M40" s="789">
        <v>0</v>
      </c>
      <c r="N40" s="814">
        <v>3000</v>
      </c>
      <c r="O40" s="789">
        <v>3000</v>
      </c>
      <c r="P40" s="789">
        <v>3000</v>
      </c>
      <c r="Q40" s="789">
        <v>3000</v>
      </c>
      <c r="R40" s="789">
        <v>3000</v>
      </c>
      <c r="S40" s="814">
        <f>3000+150</f>
        <v>3150</v>
      </c>
      <c r="T40" s="789">
        <f>3000+150</f>
        <v>3150</v>
      </c>
      <c r="U40" s="814">
        <f>3000+150+100</f>
        <v>3250</v>
      </c>
      <c r="V40" s="789">
        <v>3150</v>
      </c>
      <c r="W40" s="728">
        <f t="shared" si="3"/>
        <v>1</v>
      </c>
      <c r="X40" s="1"/>
    </row>
    <row r="41" spans="1:30" x14ac:dyDescent="0.25">
      <c r="A41" s="817">
        <v>312</v>
      </c>
      <c r="B41" s="818" t="s">
        <v>660</v>
      </c>
      <c r="C41" s="819">
        <v>0</v>
      </c>
      <c r="D41" s="819">
        <v>0</v>
      </c>
      <c r="E41" s="819">
        <v>0</v>
      </c>
      <c r="F41" s="819">
        <v>0</v>
      </c>
      <c r="G41" s="819">
        <v>0</v>
      </c>
      <c r="H41" s="819">
        <v>0</v>
      </c>
      <c r="I41" s="819">
        <v>0</v>
      </c>
      <c r="J41" s="819">
        <v>0</v>
      </c>
      <c r="K41" s="820">
        <f>63800</f>
        <v>63800</v>
      </c>
      <c r="L41" s="819">
        <f>63800</f>
        <v>63800</v>
      </c>
      <c r="M41" s="819">
        <f>63800</f>
        <v>63800</v>
      </c>
      <c r="N41" s="820">
        <f>63800+4</f>
        <v>63804</v>
      </c>
      <c r="O41" s="819">
        <f>63800+4</f>
        <v>63804</v>
      </c>
      <c r="P41" s="819">
        <f>63800+4</f>
        <v>63804</v>
      </c>
      <c r="Q41" s="819">
        <f t="shared" ref="Q41" si="24">63800+4</f>
        <v>63804</v>
      </c>
      <c r="R41" s="820">
        <f>63800+4-2597</f>
        <v>61207</v>
      </c>
      <c r="S41" s="819">
        <f>63800+4-2597</f>
        <v>61207</v>
      </c>
      <c r="T41" s="819">
        <f>63800+4-2597</f>
        <v>61207</v>
      </c>
      <c r="U41" s="819">
        <f>63800+4-2597</f>
        <v>61207</v>
      </c>
      <c r="V41" s="819">
        <v>61200</v>
      </c>
      <c r="W41" s="728">
        <f t="shared" si="3"/>
        <v>0.99988563399611152</v>
      </c>
      <c r="X41" s="1"/>
    </row>
    <row r="42" spans="1:30" x14ac:dyDescent="0.25">
      <c r="A42" s="69">
        <v>312</v>
      </c>
      <c r="B42" s="333" t="s">
        <v>823</v>
      </c>
      <c r="C42" s="70">
        <v>69225</v>
      </c>
      <c r="D42" s="70">
        <v>69225</v>
      </c>
      <c r="E42" s="70">
        <v>69225</v>
      </c>
      <c r="F42" s="70">
        <v>69225</v>
      </c>
      <c r="G42" s="70">
        <v>69225</v>
      </c>
      <c r="H42" s="70">
        <v>69225</v>
      </c>
      <c r="I42" s="70">
        <v>69225</v>
      </c>
      <c r="J42" s="70">
        <v>69225</v>
      </c>
      <c r="K42" s="70">
        <v>69225</v>
      </c>
      <c r="L42" s="70">
        <v>69225</v>
      </c>
      <c r="M42" s="70">
        <v>69225</v>
      </c>
      <c r="N42" s="70">
        <v>69225</v>
      </c>
      <c r="O42" s="70">
        <v>69225</v>
      </c>
      <c r="P42" s="70">
        <v>69225</v>
      </c>
      <c r="Q42" s="70">
        <v>69225</v>
      </c>
      <c r="R42" s="847">
        <f>69225+30025</f>
        <v>99250</v>
      </c>
      <c r="S42" s="70">
        <f>69225+30025</f>
        <v>99250</v>
      </c>
      <c r="T42" s="70">
        <f>69225+30025</f>
        <v>99250</v>
      </c>
      <c r="U42" s="70">
        <f>69225+30025</f>
        <v>99250</v>
      </c>
      <c r="V42" s="70">
        <v>99246</v>
      </c>
      <c r="W42" s="728">
        <f t="shared" si="3"/>
        <v>0.99995969773299753</v>
      </c>
      <c r="X42" s="1"/>
    </row>
    <row r="43" spans="1:30" x14ac:dyDescent="0.25">
      <c r="A43" s="71">
        <v>312</v>
      </c>
      <c r="B43" s="334" t="s">
        <v>193</v>
      </c>
      <c r="C43" s="16">
        <f t="shared" ref="C43:U43" si="25">62400+500</f>
        <v>62900</v>
      </c>
      <c r="D43" s="16">
        <f t="shared" si="25"/>
        <v>62900</v>
      </c>
      <c r="E43" s="16">
        <f t="shared" si="25"/>
        <v>62900</v>
      </c>
      <c r="F43" s="16">
        <f t="shared" si="25"/>
        <v>62900</v>
      </c>
      <c r="G43" s="16">
        <f t="shared" si="25"/>
        <v>62900</v>
      </c>
      <c r="H43" s="16">
        <f t="shared" si="25"/>
        <v>62900</v>
      </c>
      <c r="I43" s="16">
        <f t="shared" si="25"/>
        <v>62900</v>
      </c>
      <c r="J43" s="16">
        <f t="shared" si="25"/>
        <v>62900</v>
      </c>
      <c r="K43" s="16">
        <f t="shared" si="25"/>
        <v>62900</v>
      </c>
      <c r="L43" s="16">
        <f t="shared" si="25"/>
        <v>62900</v>
      </c>
      <c r="M43" s="16">
        <f t="shared" si="25"/>
        <v>62900</v>
      </c>
      <c r="N43" s="16">
        <f t="shared" si="25"/>
        <v>62900</v>
      </c>
      <c r="O43" s="16">
        <f t="shared" si="25"/>
        <v>62900</v>
      </c>
      <c r="P43" s="16">
        <f t="shared" si="25"/>
        <v>62900</v>
      </c>
      <c r="Q43" s="16">
        <f t="shared" si="25"/>
        <v>62900</v>
      </c>
      <c r="R43" s="16">
        <f t="shared" si="25"/>
        <v>62900</v>
      </c>
      <c r="S43" s="16">
        <f t="shared" si="25"/>
        <v>62900</v>
      </c>
      <c r="T43" s="16">
        <f t="shared" si="25"/>
        <v>62900</v>
      </c>
      <c r="U43" s="16">
        <f t="shared" si="25"/>
        <v>62900</v>
      </c>
      <c r="V43" s="16">
        <v>60949</v>
      </c>
      <c r="W43" s="728">
        <f t="shared" si="3"/>
        <v>0.96898251192368834</v>
      </c>
      <c r="X43" s="1"/>
    </row>
    <row r="44" spans="1:30" x14ac:dyDescent="0.25">
      <c r="A44" s="71">
        <v>312</v>
      </c>
      <c r="B44" s="334" t="s">
        <v>194</v>
      </c>
      <c r="C44" s="16">
        <v>500</v>
      </c>
      <c r="D44" s="16">
        <v>500</v>
      </c>
      <c r="E44" s="16">
        <v>500</v>
      </c>
      <c r="F44" s="16">
        <v>500</v>
      </c>
      <c r="G44" s="16">
        <v>500</v>
      </c>
      <c r="H44" s="16">
        <v>500</v>
      </c>
      <c r="I44" s="781">
        <f t="shared" ref="I44:O44" si="26">500+580</f>
        <v>1080</v>
      </c>
      <c r="J44" s="16">
        <f t="shared" si="26"/>
        <v>1080</v>
      </c>
      <c r="K44" s="16">
        <f t="shared" si="26"/>
        <v>1080</v>
      </c>
      <c r="L44" s="16">
        <f t="shared" si="26"/>
        <v>1080</v>
      </c>
      <c r="M44" s="16">
        <f t="shared" si="26"/>
        <v>1080</v>
      </c>
      <c r="N44" s="16">
        <f t="shared" si="26"/>
        <v>1080</v>
      </c>
      <c r="O44" s="16">
        <f t="shared" si="26"/>
        <v>1080</v>
      </c>
      <c r="P44" s="781">
        <f>500+580+600</f>
        <v>1680</v>
      </c>
      <c r="Q44" s="16">
        <f t="shared" ref="Q44:U44" si="27">500+580+600</f>
        <v>1680</v>
      </c>
      <c r="R44" s="16">
        <f t="shared" si="27"/>
        <v>1680</v>
      </c>
      <c r="S44" s="16">
        <f t="shared" si="27"/>
        <v>1680</v>
      </c>
      <c r="T44" s="16">
        <f t="shared" si="27"/>
        <v>1680</v>
      </c>
      <c r="U44" s="16">
        <f t="shared" si="27"/>
        <v>1680</v>
      </c>
      <c r="V44" s="16">
        <v>1380</v>
      </c>
      <c r="W44" s="728">
        <f t="shared" si="3"/>
        <v>0.8214285714285714</v>
      </c>
      <c r="X44" s="27"/>
    </row>
    <row r="45" spans="1:30" x14ac:dyDescent="0.25">
      <c r="A45" s="71">
        <v>312</v>
      </c>
      <c r="B45" s="114" t="s">
        <v>41</v>
      </c>
      <c r="C45" s="73">
        <v>0</v>
      </c>
      <c r="D45" s="696">
        <f t="shared" ref="D45:M45" si="28">57+660</f>
        <v>717</v>
      </c>
      <c r="E45" s="73">
        <f t="shared" si="28"/>
        <v>717</v>
      </c>
      <c r="F45" s="73">
        <f t="shared" si="28"/>
        <v>717</v>
      </c>
      <c r="G45" s="73">
        <f t="shared" si="28"/>
        <v>717</v>
      </c>
      <c r="H45" s="73">
        <f t="shared" si="28"/>
        <v>717</v>
      </c>
      <c r="I45" s="73">
        <f t="shared" si="28"/>
        <v>717</v>
      </c>
      <c r="J45" s="73">
        <f t="shared" si="28"/>
        <v>717</v>
      </c>
      <c r="K45" s="73">
        <f t="shared" si="28"/>
        <v>717</v>
      </c>
      <c r="L45" s="73">
        <f t="shared" si="28"/>
        <v>717</v>
      </c>
      <c r="M45" s="73">
        <f t="shared" si="28"/>
        <v>717</v>
      </c>
      <c r="N45" s="696">
        <f>57+660+570</f>
        <v>1287</v>
      </c>
      <c r="O45" s="73">
        <f>57+660+570</f>
        <v>1287</v>
      </c>
      <c r="P45" s="73">
        <f>57+660+570</f>
        <v>1287</v>
      </c>
      <c r="Q45" s="73">
        <f t="shared" ref="Q45:U45" si="29">57+660+570</f>
        <v>1287</v>
      </c>
      <c r="R45" s="73">
        <f t="shared" si="29"/>
        <v>1287</v>
      </c>
      <c r="S45" s="73">
        <f t="shared" si="29"/>
        <v>1287</v>
      </c>
      <c r="T45" s="73">
        <f t="shared" si="29"/>
        <v>1287</v>
      </c>
      <c r="U45" s="73">
        <f t="shared" si="29"/>
        <v>1287</v>
      </c>
      <c r="V45" s="73">
        <v>782</v>
      </c>
      <c r="W45" s="728">
        <f t="shared" si="3"/>
        <v>0.60761460761460762</v>
      </c>
      <c r="X45" s="27"/>
    </row>
    <row r="46" spans="1:30" x14ac:dyDescent="0.25">
      <c r="A46" s="83">
        <v>312</v>
      </c>
      <c r="B46" s="114" t="s">
        <v>344</v>
      </c>
      <c r="C46" s="501">
        <v>9680</v>
      </c>
      <c r="D46" s="501">
        <v>9680</v>
      </c>
      <c r="E46" s="501">
        <v>9680</v>
      </c>
      <c r="F46" s="501">
        <v>9680</v>
      </c>
      <c r="G46" s="501">
        <v>9680</v>
      </c>
      <c r="H46" s="501">
        <v>9680</v>
      </c>
      <c r="I46" s="501">
        <v>9680</v>
      </c>
      <c r="J46" s="501">
        <v>9680</v>
      </c>
      <c r="K46" s="501">
        <v>9680</v>
      </c>
      <c r="L46" s="501">
        <v>9680</v>
      </c>
      <c r="M46" s="501">
        <v>9680</v>
      </c>
      <c r="N46" s="501">
        <v>9680</v>
      </c>
      <c r="O46" s="501">
        <v>9680</v>
      </c>
      <c r="P46" s="501">
        <v>9680</v>
      </c>
      <c r="Q46" s="501">
        <v>9680</v>
      </c>
      <c r="R46" s="501">
        <v>9680</v>
      </c>
      <c r="S46" s="501">
        <v>9680</v>
      </c>
      <c r="T46" s="501">
        <v>9680</v>
      </c>
      <c r="U46" s="501">
        <v>9680</v>
      </c>
      <c r="V46" s="501">
        <v>0</v>
      </c>
      <c r="W46" s="728">
        <f t="shared" si="3"/>
        <v>0</v>
      </c>
      <c r="X46" s="27"/>
      <c r="Y46" s="426"/>
    </row>
    <row r="47" spans="1:30" x14ac:dyDescent="0.25">
      <c r="A47" s="83">
        <v>312</v>
      </c>
      <c r="B47" s="114" t="s">
        <v>346</v>
      </c>
      <c r="C47" s="501">
        <v>1450</v>
      </c>
      <c r="D47" s="501">
        <v>1450</v>
      </c>
      <c r="E47" s="501">
        <v>1450</v>
      </c>
      <c r="F47" s="501">
        <v>1450</v>
      </c>
      <c r="G47" s="501">
        <v>1450</v>
      </c>
      <c r="H47" s="501">
        <v>1450</v>
      </c>
      <c r="I47" s="501">
        <v>1450</v>
      </c>
      <c r="J47" s="501">
        <v>1450</v>
      </c>
      <c r="K47" s="501">
        <v>1450</v>
      </c>
      <c r="L47" s="501">
        <v>1450</v>
      </c>
      <c r="M47" s="501">
        <v>1450</v>
      </c>
      <c r="N47" s="501">
        <v>1450</v>
      </c>
      <c r="O47" s="501">
        <v>1450</v>
      </c>
      <c r="P47" s="501">
        <v>1450</v>
      </c>
      <c r="Q47" s="501">
        <v>1450</v>
      </c>
      <c r="R47" s="501">
        <v>1450</v>
      </c>
      <c r="S47" s="501">
        <v>1450</v>
      </c>
      <c r="T47" s="501">
        <v>1450</v>
      </c>
      <c r="U47" s="501">
        <v>1450</v>
      </c>
      <c r="V47" s="501">
        <v>0</v>
      </c>
      <c r="W47" s="728">
        <f t="shared" si="3"/>
        <v>0</v>
      </c>
      <c r="X47" s="27"/>
      <c r="Y47" s="426"/>
    </row>
    <row r="48" spans="1:30" x14ac:dyDescent="0.25">
      <c r="A48" s="83">
        <v>312</v>
      </c>
      <c r="B48" s="114" t="s">
        <v>336</v>
      </c>
      <c r="C48" s="501">
        <v>5000</v>
      </c>
      <c r="D48" s="34">
        <v>5000</v>
      </c>
      <c r="E48" s="34">
        <v>5000</v>
      </c>
      <c r="F48" s="34">
        <v>5000</v>
      </c>
      <c r="G48" s="34">
        <v>5000</v>
      </c>
      <c r="H48" s="34">
        <v>5000</v>
      </c>
      <c r="I48" s="34">
        <v>5000</v>
      </c>
      <c r="J48" s="34">
        <v>5000</v>
      </c>
      <c r="K48" s="34">
        <v>5000</v>
      </c>
      <c r="L48" s="34">
        <v>5000</v>
      </c>
      <c r="M48" s="34">
        <v>5000</v>
      </c>
      <c r="N48" s="34">
        <v>5000</v>
      </c>
      <c r="O48" s="34">
        <v>5000</v>
      </c>
      <c r="P48" s="34">
        <v>5000</v>
      </c>
      <c r="Q48" s="34">
        <v>5000</v>
      </c>
      <c r="R48" s="34">
        <v>5000</v>
      </c>
      <c r="S48" s="34">
        <v>5000</v>
      </c>
      <c r="T48" s="34">
        <v>5000</v>
      </c>
      <c r="U48" s="34">
        <v>5000</v>
      </c>
      <c r="V48" s="501">
        <v>0</v>
      </c>
      <c r="W48" s="728">
        <f t="shared" si="3"/>
        <v>0</v>
      </c>
      <c r="X48" s="27"/>
      <c r="Y48" s="426"/>
    </row>
    <row r="49" spans="1:26" x14ac:dyDescent="0.25">
      <c r="A49" s="476">
        <v>312</v>
      </c>
      <c r="B49" s="155" t="s">
        <v>501</v>
      </c>
      <c r="C49" s="561">
        <v>0</v>
      </c>
      <c r="D49" s="561">
        <v>0</v>
      </c>
      <c r="E49" s="756">
        <v>12860</v>
      </c>
      <c r="F49" s="561">
        <v>12860</v>
      </c>
      <c r="G49" s="561">
        <v>12860</v>
      </c>
      <c r="H49" s="561">
        <v>12860</v>
      </c>
      <c r="I49" s="561">
        <v>12860</v>
      </c>
      <c r="J49" s="561">
        <v>12860</v>
      </c>
      <c r="K49" s="561">
        <v>12860</v>
      </c>
      <c r="L49" s="561">
        <v>12860</v>
      </c>
      <c r="M49" s="561">
        <v>12860</v>
      </c>
      <c r="N49" s="561">
        <v>12860</v>
      </c>
      <c r="O49" s="561">
        <v>12860</v>
      </c>
      <c r="P49" s="561">
        <v>12860</v>
      </c>
      <c r="Q49" s="561">
        <v>12860</v>
      </c>
      <c r="R49" s="561">
        <v>12860</v>
      </c>
      <c r="S49" s="561">
        <v>12860</v>
      </c>
      <c r="T49" s="561">
        <v>12860</v>
      </c>
      <c r="U49" s="561">
        <v>12860</v>
      </c>
      <c r="V49" s="561">
        <v>439</v>
      </c>
      <c r="W49" s="728">
        <f t="shared" si="3"/>
        <v>3.4136858475894247E-2</v>
      </c>
      <c r="X49" s="27"/>
      <c r="Y49" s="426"/>
    </row>
    <row r="50" spans="1:26" x14ac:dyDescent="0.25">
      <c r="A50" s="83">
        <v>312</v>
      </c>
      <c r="B50" s="848" t="s">
        <v>345</v>
      </c>
      <c r="C50" s="501">
        <v>0</v>
      </c>
      <c r="D50" s="501">
        <v>0</v>
      </c>
      <c r="E50" s="501">
        <v>0</v>
      </c>
      <c r="F50" s="501">
        <v>0</v>
      </c>
      <c r="G50" s="501">
        <v>0</v>
      </c>
      <c r="H50" s="501">
        <v>0</v>
      </c>
      <c r="I50" s="501">
        <v>0</v>
      </c>
      <c r="J50" s="501">
        <v>0</v>
      </c>
      <c r="K50" s="501">
        <v>0</v>
      </c>
      <c r="L50" s="501">
        <v>0</v>
      </c>
      <c r="M50" s="501">
        <v>0</v>
      </c>
      <c r="N50" s="501">
        <v>0</v>
      </c>
      <c r="O50" s="501">
        <v>0</v>
      </c>
      <c r="P50" s="501">
        <v>0</v>
      </c>
      <c r="Q50" s="501">
        <v>0</v>
      </c>
      <c r="R50" s="501">
        <v>0</v>
      </c>
      <c r="S50" s="501">
        <v>0</v>
      </c>
      <c r="T50" s="501">
        <v>0</v>
      </c>
      <c r="U50" s="501">
        <v>0</v>
      </c>
      <c r="V50" s="501">
        <v>0</v>
      </c>
      <c r="W50" s="728">
        <v>0</v>
      </c>
      <c r="X50" s="27"/>
      <c r="Y50" s="426"/>
    </row>
    <row r="51" spans="1:26" x14ac:dyDescent="0.25">
      <c r="A51" s="83">
        <v>312</v>
      </c>
      <c r="B51" s="848" t="s">
        <v>914</v>
      </c>
      <c r="C51" s="501">
        <v>0</v>
      </c>
      <c r="D51" s="501">
        <v>0</v>
      </c>
      <c r="E51" s="501">
        <v>0</v>
      </c>
      <c r="F51" s="501">
        <v>0</v>
      </c>
      <c r="G51" s="501">
        <v>0</v>
      </c>
      <c r="H51" s="501">
        <v>0</v>
      </c>
      <c r="I51" s="501">
        <v>0</v>
      </c>
      <c r="J51" s="501">
        <v>0</v>
      </c>
      <c r="K51" s="501">
        <v>0</v>
      </c>
      <c r="L51" s="501">
        <v>0</v>
      </c>
      <c r="M51" s="501">
        <v>0</v>
      </c>
      <c r="N51" s="501">
        <v>0</v>
      </c>
      <c r="O51" s="501">
        <v>0</v>
      </c>
      <c r="P51" s="501">
        <v>0</v>
      </c>
      <c r="Q51" s="501">
        <v>0</v>
      </c>
      <c r="R51" s="501">
        <v>0</v>
      </c>
      <c r="S51" s="501">
        <v>0</v>
      </c>
      <c r="T51" s="501">
        <v>0</v>
      </c>
      <c r="U51" s="859">
        <f>24880</f>
        <v>24880</v>
      </c>
      <c r="V51" s="501">
        <v>0</v>
      </c>
      <c r="W51" s="728">
        <v>0</v>
      </c>
      <c r="X51" s="27"/>
      <c r="Y51" s="426"/>
    </row>
    <row r="52" spans="1:26" x14ac:dyDescent="0.25">
      <c r="A52" s="67">
        <v>312</v>
      </c>
      <c r="B52" s="341" t="s">
        <v>43</v>
      </c>
      <c r="C52" s="68">
        <v>50</v>
      </c>
      <c r="D52" s="68">
        <v>50</v>
      </c>
      <c r="E52" s="68">
        <v>50</v>
      </c>
      <c r="F52" s="68">
        <v>50</v>
      </c>
      <c r="G52" s="68">
        <v>50</v>
      </c>
      <c r="H52" s="68">
        <v>50</v>
      </c>
      <c r="I52" s="68">
        <v>50</v>
      </c>
      <c r="J52" s="68">
        <v>50</v>
      </c>
      <c r="K52" s="68">
        <v>50</v>
      </c>
      <c r="L52" s="68">
        <v>50</v>
      </c>
      <c r="M52" s="68">
        <v>50</v>
      </c>
      <c r="N52" s="68">
        <v>50</v>
      </c>
      <c r="O52" s="68">
        <v>50</v>
      </c>
      <c r="P52" s="68">
        <v>50</v>
      </c>
      <c r="Q52" s="68">
        <v>50</v>
      </c>
      <c r="R52" s="68">
        <v>50</v>
      </c>
      <c r="S52" s="68">
        <v>50</v>
      </c>
      <c r="T52" s="68">
        <v>50</v>
      </c>
      <c r="U52" s="68">
        <v>50</v>
      </c>
      <c r="V52" s="68">
        <v>47</v>
      </c>
      <c r="W52" s="728">
        <f t="shared" si="3"/>
        <v>0.94</v>
      </c>
      <c r="X52" s="1"/>
    </row>
    <row r="53" spans="1:26" ht="15.75" thickBot="1" x14ac:dyDescent="0.3">
      <c r="A53" s="330">
        <v>312</v>
      </c>
      <c r="B53" s="342" t="s">
        <v>273</v>
      </c>
      <c r="C53" s="331">
        <v>4000</v>
      </c>
      <c r="D53" s="331">
        <v>4000</v>
      </c>
      <c r="E53" s="331">
        <v>4000</v>
      </c>
      <c r="F53" s="331">
        <v>4000</v>
      </c>
      <c r="G53" s="331">
        <v>4000</v>
      </c>
      <c r="H53" s="331">
        <v>4000</v>
      </c>
      <c r="I53" s="331">
        <v>4000</v>
      </c>
      <c r="J53" s="331">
        <v>4000</v>
      </c>
      <c r="K53" s="796">
        <f t="shared" ref="K53:U53" si="30">4000+380</f>
        <v>4380</v>
      </c>
      <c r="L53" s="331">
        <f t="shared" si="30"/>
        <v>4380</v>
      </c>
      <c r="M53" s="331">
        <f t="shared" si="30"/>
        <v>4380</v>
      </c>
      <c r="N53" s="331">
        <f t="shared" si="30"/>
        <v>4380</v>
      </c>
      <c r="O53" s="331">
        <f t="shared" si="30"/>
        <v>4380</v>
      </c>
      <c r="P53" s="331">
        <f t="shared" si="30"/>
        <v>4380</v>
      </c>
      <c r="Q53" s="331">
        <f t="shared" si="30"/>
        <v>4380</v>
      </c>
      <c r="R53" s="331">
        <f t="shared" si="30"/>
        <v>4380</v>
      </c>
      <c r="S53" s="331">
        <f t="shared" si="30"/>
        <v>4380</v>
      </c>
      <c r="T53" s="331">
        <f t="shared" si="30"/>
        <v>4380</v>
      </c>
      <c r="U53" s="331">
        <f t="shared" si="30"/>
        <v>4380</v>
      </c>
      <c r="V53" s="331">
        <v>4379</v>
      </c>
      <c r="W53" s="728">
        <f t="shared" si="3"/>
        <v>0.99977168949771689</v>
      </c>
      <c r="X53" s="27"/>
    </row>
    <row r="54" spans="1:26" x14ac:dyDescent="0.25">
      <c r="A54" s="71">
        <v>312</v>
      </c>
      <c r="B54" s="84" t="s">
        <v>44</v>
      </c>
      <c r="C54" s="16">
        <v>1600</v>
      </c>
      <c r="D54" s="16">
        <v>1600</v>
      </c>
      <c r="E54" s="16">
        <v>1600</v>
      </c>
      <c r="F54" s="16">
        <v>1600</v>
      </c>
      <c r="G54" s="16">
        <v>1600</v>
      </c>
      <c r="H54" s="16">
        <v>1600</v>
      </c>
      <c r="I54" s="16">
        <v>1600</v>
      </c>
      <c r="J54" s="16">
        <v>1600</v>
      </c>
      <c r="K54" s="16">
        <v>1600</v>
      </c>
      <c r="L54" s="16">
        <v>1600</v>
      </c>
      <c r="M54" s="16">
        <v>1600</v>
      </c>
      <c r="N54" s="16">
        <v>1600</v>
      </c>
      <c r="O54" s="16">
        <v>1600</v>
      </c>
      <c r="P54" s="16">
        <v>1600</v>
      </c>
      <c r="Q54" s="16">
        <v>1600</v>
      </c>
      <c r="R54" s="16">
        <v>1600</v>
      </c>
      <c r="S54" s="16">
        <v>1600</v>
      </c>
      <c r="T54" s="16">
        <v>1600</v>
      </c>
      <c r="U54" s="16">
        <v>1600</v>
      </c>
      <c r="V54" s="16">
        <v>1300</v>
      </c>
      <c r="W54" s="728">
        <f t="shared" si="3"/>
        <v>0.8125</v>
      </c>
      <c r="X54" s="1"/>
    </row>
    <row r="55" spans="1:26" ht="15.75" thickBot="1" x14ac:dyDescent="0.3">
      <c r="A55" s="77">
        <v>312</v>
      </c>
      <c r="B55" s="161" t="s">
        <v>46</v>
      </c>
      <c r="C55" s="79">
        <f t="shared" ref="C55:M55" si="31">350+5600</f>
        <v>5950</v>
      </c>
      <c r="D55" s="79">
        <f t="shared" si="31"/>
        <v>5950</v>
      </c>
      <c r="E55" s="79">
        <f t="shared" si="31"/>
        <v>5950</v>
      </c>
      <c r="F55" s="79">
        <f t="shared" si="31"/>
        <v>5950</v>
      </c>
      <c r="G55" s="79">
        <f t="shared" si="31"/>
        <v>5950</v>
      </c>
      <c r="H55" s="79">
        <f t="shared" si="31"/>
        <v>5950</v>
      </c>
      <c r="I55" s="79">
        <f t="shared" si="31"/>
        <v>5950</v>
      </c>
      <c r="J55" s="79">
        <f t="shared" si="31"/>
        <v>5950</v>
      </c>
      <c r="K55" s="79">
        <f t="shared" si="31"/>
        <v>5950</v>
      </c>
      <c r="L55" s="79">
        <f t="shared" si="31"/>
        <v>5950</v>
      </c>
      <c r="M55" s="79">
        <f t="shared" si="31"/>
        <v>5950</v>
      </c>
      <c r="N55" s="815">
        <f>350+5600-3755</f>
        <v>2195</v>
      </c>
      <c r="O55" s="79">
        <f>350+5600-3755</f>
        <v>2195</v>
      </c>
      <c r="P55" s="79">
        <f>350+5600-3755</f>
        <v>2195</v>
      </c>
      <c r="Q55" s="79">
        <f t="shared" ref="Q55:U55" si="32">350+5600-3755</f>
        <v>2195</v>
      </c>
      <c r="R55" s="79">
        <f t="shared" si="32"/>
        <v>2195</v>
      </c>
      <c r="S55" s="79">
        <f t="shared" si="32"/>
        <v>2195</v>
      </c>
      <c r="T55" s="79">
        <f t="shared" si="32"/>
        <v>2195</v>
      </c>
      <c r="U55" s="79">
        <f t="shared" si="32"/>
        <v>2195</v>
      </c>
      <c r="V55" s="79">
        <v>2194</v>
      </c>
      <c r="W55" s="728">
        <f t="shared" si="3"/>
        <v>0.9995444191343964</v>
      </c>
      <c r="X55" s="1"/>
    </row>
    <row r="56" spans="1:26" x14ac:dyDescent="0.25">
      <c r="A56" s="71">
        <v>312</v>
      </c>
      <c r="B56" s="84" t="s">
        <v>347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781">
        <v>2000</v>
      </c>
      <c r="J56" s="16">
        <v>2000</v>
      </c>
      <c r="K56" s="16">
        <v>2000</v>
      </c>
      <c r="L56" s="16">
        <v>2000</v>
      </c>
      <c r="M56" s="16">
        <v>2000</v>
      </c>
      <c r="N56" s="16">
        <v>2000</v>
      </c>
      <c r="O56" s="16">
        <v>2000</v>
      </c>
      <c r="P56" s="16">
        <v>2000</v>
      </c>
      <c r="Q56" s="16">
        <v>2000</v>
      </c>
      <c r="R56" s="16">
        <v>2000</v>
      </c>
      <c r="S56" s="16">
        <v>2000</v>
      </c>
      <c r="T56" s="16">
        <v>2000</v>
      </c>
      <c r="U56" s="16">
        <v>2000</v>
      </c>
      <c r="V56" s="16">
        <v>2000</v>
      </c>
      <c r="W56" s="728">
        <f t="shared" si="3"/>
        <v>1</v>
      </c>
      <c r="X56" s="1"/>
    </row>
    <row r="57" spans="1:26" ht="15.75" thickBot="1" x14ac:dyDescent="0.3">
      <c r="A57" s="74">
        <v>312</v>
      </c>
      <c r="B57" s="81" t="s">
        <v>48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82">
        <v>4000</v>
      </c>
      <c r="J57" s="75">
        <v>4000</v>
      </c>
      <c r="K57" s="782">
        <f>4000+3000</f>
        <v>7000</v>
      </c>
      <c r="L57" s="75">
        <f>4000+3000</f>
        <v>7000</v>
      </c>
      <c r="M57" s="75">
        <f>4000+3000</f>
        <v>7000</v>
      </c>
      <c r="N57" s="75">
        <f>4000+3000</f>
        <v>7000</v>
      </c>
      <c r="O57" s="75">
        <f>4000+3000</f>
        <v>7000</v>
      </c>
      <c r="P57" s="782">
        <f>4000+3000+1000</f>
        <v>8000</v>
      </c>
      <c r="Q57" s="75">
        <f t="shared" ref="Q57:U57" si="33">4000+3000+1000</f>
        <v>8000</v>
      </c>
      <c r="R57" s="75">
        <f t="shared" si="33"/>
        <v>8000</v>
      </c>
      <c r="S57" s="75">
        <f t="shared" si="33"/>
        <v>8000</v>
      </c>
      <c r="T57" s="75">
        <f t="shared" si="33"/>
        <v>8000</v>
      </c>
      <c r="U57" s="75">
        <f t="shared" si="33"/>
        <v>8000</v>
      </c>
      <c r="V57" s="75">
        <v>8000</v>
      </c>
      <c r="W57" s="728">
        <f t="shared" si="3"/>
        <v>1</v>
      </c>
      <c r="X57" s="1"/>
    </row>
    <row r="58" spans="1:26" x14ac:dyDescent="0.25">
      <c r="A58" s="71">
        <v>312</v>
      </c>
      <c r="B58" s="333" t="s">
        <v>49</v>
      </c>
      <c r="C58" s="82">
        <f>4800+810+40</f>
        <v>5650</v>
      </c>
      <c r="D58" s="697">
        <f t="shared" ref="D58:J58" si="34">5650-10-10</f>
        <v>5630</v>
      </c>
      <c r="E58" s="82">
        <f t="shared" si="34"/>
        <v>5630</v>
      </c>
      <c r="F58" s="82">
        <f t="shared" si="34"/>
        <v>5630</v>
      </c>
      <c r="G58" s="82">
        <f t="shared" si="34"/>
        <v>5630</v>
      </c>
      <c r="H58" s="82">
        <f t="shared" si="34"/>
        <v>5630</v>
      </c>
      <c r="I58" s="82">
        <f t="shared" si="34"/>
        <v>5630</v>
      </c>
      <c r="J58" s="82">
        <f t="shared" si="34"/>
        <v>5630</v>
      </c>
      <c r="K58" s="697">
        <f t="shared" ref="K58:U58" si="35">5650-10-10+220</f>
        <v>5850</v>
      </c>
      <c r="L58" s="82">
        <f t="shared" si="35"/>
        <v>5850</v>
      </c>
      <c r="M58" s="82">
        <f t="shared" si="35"/>
        <v>5850</v>
      </c>
      <c r="N58" s="82">
        <f t="shared" si="35"/>
        <v>5850</v>
      </c>
      <c r="O58" s="82">
        <f t="shared" si="35"/>
        <v>5850</v>
      </c>
      <c r="P58" s="82">
        <f t="shared" si="35"/>
        <v>5850</v>
      </c>
      <c r="Q58" s="82">
        <f t="shared" si="35"/>
        <v>5850</v>
      </c>
      <c r="R58" s="82">
        <f t="shared" si="35"/>
        <v>5850</v>
      </c>
      <c r="S58" s="82">
        <f t="shared" si="35"/>
        <v>5850</v>
      </c>
      <c r="T58" s="82">
        <f t="shared" si="35"/>
        <v>5850</v>
      </c>
      <c r="U58" s="82">
        <f t="shared" si="35"/>
        <v>5850</v>
      </c>
      <c r="V58" s="82">
        <v>5810</v>
      </c>
      <c r="W58" s="728">
        <f t="shared" si="3"/>
        <v>0.99316239316239319</v>
      </c>
      <c r="X58" s="27"/>
      <c r="Y58" s="27"/>
      <c r="Z58" s="27"/>
    </row>
    <row r="59" spans="1:26" x14ac:dyDescent="0.25">
      <c r="A59" s="83">
        <v>312</v>
      </c>
      <c r="B59" s="343" t="s">
        <v>50</v>
      </c>
      <c r="C59" s="21">
        <f>7050+300+110</f>
        <v>7460</v>
      </c>
      <c r="D59" s="693">
        <f t="shared" ref="D59:H59" si="36">7460+70</f>
        <v>7530</v>
      </c>
      <c r="E59" s="21">
        <f t="shared" si="36"/>
        <v>7530</v>
      </c>
      <c r="F59" s="21">
        <f t="shared" si="36"/>
        <v>7530</v>
      </c>
      <c r="G59" s="21">
        <f t="shared" si="36"/>
        <v>7530</v>
      </c>
      <c r="H59" s="21">
        <f t="shared" si="36"/>
        <v>7530</v>
      </c>
      <c r="I59" s="693">
        <f t="shared" ref="I59:M59" si="37">7460+70+15</f>
        <v>7545</v>
      </c>
      <c r="J59" s="21">
        <f t="shared" si="37"/>
        <v>7545</v>
      </c>
      <c r="K59" s="21">
        <f t="shared" si="37"/>
        <v>7545</v>
      </c>
      <c r="L59" s="21">
        <f t="shared" si="37"/>
        <v>7545</v>
      </c>
      <c r="M59" s="21">
        <f t="shared" si="37"/>
        <v>7545</v>
      </c>
      <c r="N59" s="693">
        <f>7460+70+15-3190</f>
        <v>4355</v>
      </c>
      <c r="O59" s="21">
        <f>7460+70+15-3190</f>
        <v>4355</v>
      </c>
      <c r="P59" s="21">
        <f>7460+70+15-3190</f>
        <v>4355</v>
      </c>
      <c r="Q59" s="21">
        <f t="shared" ref="Q59:U59" si="38">7460+70+15-3190</f>
        <v>4355</v>
      </c>
      <c r="R59" s="21">
        <f t="shared" si="38"/>
        <v>4355</v>
      </c>
      <c r="S59" s="21">
        <f t="shared" si="38"/>
        <v>4355</v>
      </c>
      <c r="T59" s="21">
        <f t="shared" si="38"/>
        <v>4355</v>
      </c>
      <c r="U59" s="21">
        <f t="shared" si="38"/>
        <v>4355</v>
      </c>
      <c r="V59" s="21">
        <v>4347</v>
      </c>
      <c r="W59" s="728">
        <f t="shared" si="3"/>
        <v>0.99816303099885184</v>
      </c>
      <c r="X59" s="27"/>
      <c r="Y59" s="27"/>
      <c r="Z59" s="27"/>
    </row>
    <row r="60" spans="1:26" x14ac:dyDescent="0.25">
      <c r="A60" s="83">
        <v>312</v>
      </c>
      <c r="B60" s="344" t="s">
        <v>502</v>
      </c>
      <c r="C60" s="33">
        <v>161700</v>
      </c>
      <c r="D60" s="698">
        <f>161700+3</f>
        <v>161703</v>
      </c>
      <c r="E60" s="33">
        <f>161700+3</f>
        <v>161703</v>
      </c>
      <c r="F60" s="698">
        <f>161700+3+3863</f>
        <v>165566</v>
      </c>
      <c r="G60" s="33">
        <f>161700+3+3863</f>
        <v>165566</v>
      </c>
      <c r="H60" s="33">
        <f>161700+3+3863</f>
        <v>165566</v>
      </c>
      <c r="I60" s="698">
        <f>161700+3+3863+1722</f>
        <v>167288</v>
      </c>
      <c r="J60" s="33">
        <f>161700+3+3863+1722</f>
        <v>167288</v>
      </c>
      <c r="K60" s="698">
        <f>161700+3+3863+1722+7627</f>
        <v>174915</v>
      </c>
      <c r="L60" s="33">
        <f>161700+3+3863+1722+7627</f>
        <v>174915</v>
      </c>
      <c r="M60" s="33">
        <f>161700+3+3863+1722+7627</f>
        <v>174915</v>
      </c>
      <c r="N60" s="33">
        <f>161700+3+3863+1722+7627</f>
        <v>174915</v>
      </c>
      <c r="O60" s="698">
        <f>161700+3+3863+1722+7627+3063</f>
        <v>177978</v>
      </c>
      <c r="P60" s="33">
        <f>161700+3+3863+1722+7627+3063</f>
        <v>177978</v>
      </c>
      <c r="Q60" s="33">
        <f t="shared" ref="Q60" si="39">161700+3+3863+1722+7627+3063</f>
        <v>177978</v>
      </c>
      <c r="R60" s="698">
        <f>161700+3+3863+1722+7627+3063+3274</f>
        <v>181252</v>
      </c>
      <c r="S60" s="698">
        <f>161700+3+3863+1722+7627+3063+3274+7467</f>
        <v>188719</v>
      </c>
      <c r="T60" s="33">
        <f>161700+3+3863+1722+7627+3063+3274+7467</f>
        <v>188719</v>
      </c>
      <c r="U60" s="698">
        <f>161700+3+3863+1722+7627+3063+3274+7467+350</f>
        <v>189069</v>
      </c>
      <c r="V60" s="33">
        <v>152797</v>
      </c>
      <c r="W60" s="728">
        <f t="shared" si="3"/>
        <v>0.8096535060062845</v>
      </c>
      <c r="X60" s="27"/>
      <c r="Y60" s="27"/>
      <c r="Z60" s="27"/>
    </row>
    <row r="61" spans="1:26" x14ac:dyDescent="0.25">
      <c r="A61" s="71">
        <v>312</v>
      </c>
      <c r="B61" s="114" t="s">
        <v>249</v>
      </c>
      <c r="C61" s="16">
        <v>190000</v>
      </c>
      <c r="D61" s="16">
        <v>190000</v>
      </c>
      <c r="E61" s="16">
        <v>190000</v>
      </c>
      <c r="F61" s="16">
        <v>190000</v>
      </c>
      <c r="G61" s="16">
        <v>190000</v>
      </c>
      <c r="H61" s="16">
        <v>190000</v>
      </c>
      <c r="I61" s="16">
        <v>190000</v>
      </c>
      <c r="J61" s="16">
        <v>190000</v>
      </c>
      <c r="K61" s="16">
        <v>190000</v>
      </c>
      <c r="L61" s="16">
        <v>190000</v>
      </c>
      <c r="M61" s="16">
        <v>190000</v>
      </c>
      <c r="N61" s="781">
        <f>190000+7770</f>
        <v>197770</v>
      </c>
      <c r="O61" s="16">
        <f>190000+7770</f>
        <v>197770</v>
      </c>
      <c r="P61" s="16">
        <f>190000+7770</f>
        <v>197770</v>
      </c>
      <c r="Q61" s="16">
        <f t="shared" ref="Q61:T61" si="40">190000+7770</f>
        <v>197770</v>
      </c>
      <c r="R61" s="16">
        <f t="shared" si="40"/>
        <v>197770</v>
      </c>
      <c r="S61" s="16">
        <f t="shared" si="40"/>
        <v>197770</v>
      </c>
      <c r="T61" s="16">
        <f t="shared" si="40"/>
        <v>197770</v>
      </c>
      <c r="U61" s="781">
        <f>190000+7770+4805</f>
        <v>202575</v>
      </c>
      <c r="V61" s="16">
        <v>154215</v>
      </c>
      <c r="W61" s="728">
        <f t="shared" si="3"/>
        <v>0.77976942913485359</v>
      </c>
      <c r="X61" s="27"/>
    </row>
    <row r="62" spans="1:26" x14ac:dyDescent="0.25">
      <c r="A62" s="83">
        <v>312</v>
      </c>
      <c r="B62" s="114" t="s">
        <v>51</v>
      </c>
      <c r="C62" s="21">
        <v>58200</v>
      </c>
      <c r="D62" s="21">
        <v>58200</v>
      </c>
      <c r="E62" s="21">
        <v>58200</v>
      </c>
      <c r="F62" s="21">
        <v>58200</v>
      </c>
      <c r="G62" s="21">
        <v>58200</v>
      </c>
      <c r="H62" s="21">
        <v>58200</v>
      </c>
      <c r="I62" s="21">
        <v>58200</v>
      </c>
      <c r="J62" s="21">
        <v>58200</v>
      </c>
      <c r="K62" s="21">
        <v>58200</v>
      </c>
      <c r="L62" s="21">
        <v>58200</v>
      </c>
      <c r="M62" s="21">
        <v>58200</v>
      </c>
      <c r="N62" s="21">
        <v>58200</v>
      </c>
      <c r="O62" s="21">
        <v>58200</v>
      </c>
      <c r="P62" s="21">
        <v>58200</v>
      </c>
      <c r="Q62" s="21">
        <v>58200</v>
      </c>
      <c r="R62" s="21">
        <v>58200</v>
      </c>
      <c r="S62" s="21">
        <v>58200</v>
      </c>
      <c r="T62" s="21">
        <v>58200</v>
      </c>
      <c r="U62" s="21">
        <v>58200</v>
      </c>
      <c r="V62" s="21">
        <v>49149</v>
      </c>
      <c r="W62" s="728">
        <f t="shared" si="3"/>
        <v>0.8444845360824742</v>
      </c>
      <c r="X62" s="27"/>
    </row>
    <row r="63" spans="1:26" ht="15.75" thickBot="1" x14ac:dyDescent="0.3">
      <c r="A63" s="77">
        <v>312</v>
      </c>
      <c r="B63" s="855" t="s">
        <v>887</v>
      </c>
      <c r="C63" s="79">
        <v>0</v>
      </c>
      <c r="D63" s="79">
        <v>0</v>
      </c>
      <c r="E63" s="79">
        <v>0</v>
      </c>
      <c r="F63" s="79">
        <v>0</v>
      </c>
      <c r="G63" s="79">
        <v>0</v>
      </c>
      <c r="H63" s="79">
        <v>0</v>
      </c>
      <c r="I63" s="79">
        <v>0</v>
      </c>
      <c r="J63" s="79">
        <v>0</v>
      </c>
      <c r="K63" s="79">
        <v>0</v>
      </c>
      <c r="L63" s="79">
        <v>0</v>
      </c>
      <c r="M63" s="79">
        <v>0</v>
      </c>
      <c r="N63" s="79">
        <v>0</v>
      </c>
      <c r="O63" s="79">
        <v>0</v>
      </c>
      <c r="P63" s="79">
        <v>0</v>
      </c>
      <c r="Q63" s="79">
        <v>0</v>
      </c>
      <c r="R63" s="79">
        <v>0</v>
      </c>
      <c r="S63" s="815">
        <v>1561</v>
      </c>
      <c r="T63" s="79">
        <v>1561</v>
      </c>
      <c r="U63" s="79">
        <v>1561</v>
      </c>
      <c r="V63" s="79">
        <v>1561</v>
      </c>
      <c r="W63" s="728">
        <f t="shared" si="3"/>
        <v>1</v>
      </c>
      <c r="X63" s="27"/>
    </row>
    <row r="64" spans="1:26" x14ac:dyDescent="0.25">
      <c r="A64" s="71">
        <v>315</v>
      </c>
      <c r="B64" s="76" t="s">
        <v>47</v>
      </c>
      <c r="C64" s="16">
        <v>3000</v>
      </c>
      <c r="D64" s="16">
        <v>3000</v>
      </c>
      <c r="E64" s="16">
        <v>3000</v>
      </c>
      <c r="F64" s="16">
        <v>3000</v>
      </c>
      <c r="G64" s="16">
        <v>3000</v>
      </c>
      <c r="H64" s="16">
        <v>3000</v>
      </c>
      <c r="I64" s="16">
        <v>3000</v>
      </c>
      <c r="J64" s="16">
        <v>3000</v>
      </c>
      <c r="K64" s="16">
        <v>3000</v>
      </c>
      <c r="L64" s="16">
        <v>3000</v>
      </c>
      <c r="M64" s="16">
        <v>3000</v>
      </c>
      <c r="N64" s="16">
        <v>3000</v>
      </c>
      <c r="O64" s="16">
        <v>3000</v>
      </c>
      <c r="P64" s="16">
        <v>3000</v>
      </c>
      <c r="Q64" s="16">
        <v>3000</v>
      </c>
      <c r="R64" s="16">
        <v>3000</v>
      </c>
      <c r="S64" s="16">
        <v>3000</v>
      </c>
      <c r="T64" s="16">
        <v>3000</v>
      </c>
      <c r="U64" s="16">
        <v>3000</v>
      </c>
      <c r="V64" s="16">
        <v>3000</v>
      </c>
      <c r="W64" s="728">
        <f t="shared" si="3"/>
        <v>1</v>
      </c>
      <c r="X64" s="1"/>
    </row>
    <row r="65" spans="1:41" ht="15.75" thickBot="1" x14ac:dyDescent="0.3">
      <c r="A65" s="77">
        <v>315</v>
      </c>
      <c r="B65" s="78" t="s">
        <v>236</v>
      </c>
      <c r="C65" s="79">
        <v>300</v>
      </c>
      <c r="D65" s="79">
        <v>300</v>
      </c>
      <c r="E65" s="79">
        <v>300</v>
      </c>
      <c r="F65" s="79">
        <v>300</v>
      </c>
      <c r="G65" s="79">
        <v>300</v>
      </c>
      <c r="H65" s="79">
        <v>300</v>
      </c>
      <c r="I65" s="79">
        <v>300</v>
      </c>
      <c r="J65" s="79">
        <v>300</v>
      </c>
      <c r="K65" s="79">
        <v>300</v>
      </c>
      <c r="L65" s="79">
        <v>300</v>
      </c>
      <c r="M65" s="79">
        <v>300</v>
      </c>
      <c r="N65" s="79">
        <v>300</v>
      </c>
      <c r="O65" s="79">
        <v>300</v>
      </c>
      <c r="P65" s="79">
        <v>300</v>
      </c>
      <c r="Q65" s="79">
        <v>300</v>
      </c>
      <c r="R65" s="79">
        <v>300</v>
      </c>
      <c r="S65" s="79">
        <v>300</v>
      </c>
      <c r="T65" s="79">
        <v>300</v>
      </c>
      <c r="U65" s="79">
        <v>300</v>
      </c>
      <c r="V65" s="79">
        <v>300</v>
      </c>
      <c r="W65" s="728">
        <f t="shared" si="3"/>
        <v>1</v>
      </c>
      <c r="X65" s="27">
        <f>SUM(S64:S65)</f>
        <v>3300</v>
      </c>
      <c r="Y65" s="27">
        <f>SUM(V64:V65)</f>
        <v>3300</v>
      </c>
    </row>
    <row r="66" spans="1:41" x14ac:dyDescent="0.25">
      <c r="A66" s="514">
        <v>312</v>
      </c>
      <c r="B66" s="515" t="s">
        <v>886</v>
      </c>
      <c r="C66" s="519">
        <v>0</v>
      </c>
      <c r="D66" s="519">
        <v>0</v>
      </c>
      <c r="E66" s="519">
        <v>0</v>
      </c>
      <c r="F66" s="519">
        <v>0</v>
      </c>
      <c r="G66" s="519">
        <v>0</v>
      </c>
      <c r="H66" s="519">
        <v>0</v>
      </c>
      <c r="I66" s="519">
        <v>0</v>
      </c>
      <c r="J66" s="519">
        <v>0</v>
      </c>
      <c r="K66" s="519">
        <v>0</v>
      </c>
      <c r="L66" s="519">
        <v>0</v>
      </c>
      <c r="M66" s="519">
        <v>0</v>
      </c>
      <c r="N66" s="519">
        <v>0</v>
      </c>
      <c r="O66" s="519">
        <v>0</v>
      </c>
      <c r="P66" s="519">
        <v>0</v>
      </c>
      <c r="Q66" s="519">
        <v>0</v>
      </c>
      <c r="R66" s="519">
        <v>0</v>
      </c>
      <c r="S66" s="724">
        <v>5872</v>
      </c>
      <c r="T66" s="519">
        <v>5872</v>
      </c>
      <c r="U66" s="519">
        <v>5872</v>
      </c>
      <c r="V66" s="519">
        <v>5872</v>
      </c>
      <c r="W66" s="728">
        <f t="shared" si="3"/>
        <v>1</v>
      </c>
      <c r="X66" s="27"/>
      <c r="Y66" s="27"/>
    </row>
    <row r="67" spans="1:41" ht="15.75" thickBot="1" x14ac:dyDescent="0.3">
      <c r="A67" s="514">
        <v>312</v>
      </c>
      <c r="B67" s="515" t="s">
        <v>307</v>
      </c>
      <c r="C67" s="519">
        <v>720000</v>
      </c>
      <c r="D67" s="724">
        <f>720000-1806+693</f>
        <v>718887</v>
      </c>
      <c r="E67" s="519">
        <f>720000-1806+693</f>
        <v>718887</v>
      </c>
      <c r="F67" s="724">
        <f>720000-1806+693-10639</f>
        <v>708248</v>
      </c>
      <c r="G67" s="519">
        <f>720000-1806+693-10639</f>
        <v>708248</v>
      </c>
      <c r="H67" s="519">
        <f>720000-1806+693-10639</f>
        <v>708248</v>
      </c>
      <c r="I67" s="724">
        <f>720000-1806+693-10639+3639</f>
        <v>711887</v>
      </c>
      <c r="J67" s="519">
        <f>720000-1806+693-10639+3639</f>
        <v>711887</v>
      </c>
      <c r="K67" s="724">
        <f>720000-1806+693-10639+3639+22802</f>
        <v>734689</v>
      </c>
      <c r="L67" s="519">
        <f>720000-1806+693-10639+3639+22802</f>
        <v>734689</v>
      </c>
      <c r="M67" s="519">
        <f>720000-1806+693-10639+3639+22802</f>
        <v>734689</v>
      </c>
      <c r="N67" s="519">
        <f>720000-1806+693-10639+3639+22802</f>
        <v>734689</v>
      </c>
      <c r="O67" s="724">
        <f>720000-1806+693-10639+3639+22802-866</f>
        <v>733823</v>
      </c>
      <c r="P67" s="519">
        <f>720000-1806+693-10639+3639+22802-866</f>
        <v>733823</v>
      </c>
      <c r="Q67" s="519">
        <f t="shared" ref="Q67" si="41">720000-1806+693-10639+3639+22802-866</f>
        <v>733823</v>
      </c>
      <c r="R67" s="724">
        <f>720000-1806+693-10639+3639+22802-866+10579</f>
        <v>744402</v>
      </c>
      <c r="S67" s="724">
        <f>720000-1806+693-10639+3639+22802-866+10579+9798</f>
        <v>754200</v>
      </c>
      <c r="T67" s="519">
        <f>720000-1806+693-10639+3639+22802-866+10579+9798</f>
        <v>754200</v>
      </c>
      <c r="U67" s="724">
        <f>720000-1806+693-10639+3639+22802-866+10579+9798+38</f>
        <v>754238</v>
      </c>
      <c r="V67" s="519">
        <v>639129</v>
      </c>
      <c r="W67" s="728">
        <f t="shared" si="3"/>
        <v>0.8474264120922832</v>
      </c>
      <c r="X67" s="27">
        <f>SUM(S41:S63)+S66+S67</f>
        <v>1490066</v>
      </c>
      <c r="Y67" s="27">
        <f>SUM(V41:V63)+V66+V67</f>
        <v>1254796</v>
      </c>
      <c r="Z67" s="27"/>
    </row>
    <row r="68" spans="1:41" ht="21" customHeight="1" thickBot="1" x14ac:dyDescent="0.3">
      <c r="A68" s="85" t="s">
        <v>52</v>
      </c>
      <c r="B68" s="345"/>
      <c r="C68" s="358">
        <f t="shared" ref="C68:V68" si="42">SUM(C3+C11+C31+C33+C39)</f>
        <v>2952875</v>
      </c>
      <c r="D68" s="358">
        <f t="shared" si="42"/>
        <v>2952547</v>
      </c>
      <c r="E68" s="358">
        <f t="shared" si="42"/>
        <v>2969657</v>
      </c>
      <c r="F68" s="358">
        <f t="shared" si="42"/>
        <v>2962881</v>
      </c>
      <c r="G68" s="358">
        <f t="shared" si="42"/>
        <v>2962881</v>
      </c>
      <c r="H68" s="358">
        <f t="shared" si="42"/>
        <v>2962881</v>
      </c>
      <c r="I68" s="358">
        <f t="shared" si="42"/>
        <v>2974837</v>
      </c>
      <c r="J68" s="358">
        <f t="shared" si="42"/>
        <v>2975761</v>
      </c>
      <c r="K68" s="358">
        <f t="shared" si="42"/>
        <v>3073590</v>
      </c>
      <c r="L68" s="358">
        <f t="shared" si="42"/>
        <v>3075135</v>
      </c>
      <c r="M68" s="358">
        <f t="shared" si="42"/>
        <v>3075135</v>
      </c>
      <c r="N68" s="358">
        <f t="shared" si="42"/>
        <v>3079534</v>
      </c>
      <c r="O68" s="358">
        <f t="shared" si="42"/>
        <v>3081731</v>
      </c>
      <c r="P68" s="358">
        <f t="shared" si="42"/>
        <v>3083331</v>
      </c>
      <c r="Q68" s="358">
        <f t="shared" si="42"/>
        <v>3083331</v>
      </c>
      <c r="R68" s="358">
        <f t="shared" si="42"/>
        <v>3124612</v>
      </c>
      <c r="S68" s="358">
        <f t="shared" si="42"/>
        <v>3149460</v>
      </c>
      <c r="T68" s="358">
        <f t="shared" si="42"/>
        <v>3149460</v>
      </c>
      <c r="U68" s="358">
        <f t="shared" ref="U68" si="43">SUM(U3+U11+U31+U33+U39)</f>
        <v>3179633</v>
      </c>
      <c r="V68" s="358">
        <f t="shared" si="42"/>
        <v>2497205</v>
      </c>
      <c r="W68" s="728">
        <f t="shared" si="3"/>
        <v>0.79289941767795113</v>
      </c>
      <c r="X68" s="27">
        <f t="shared" ref="X68:AL68" si="44">D68-C68</f>
        <v>-328</v>
      </c>
      <c r="Y68" s="27">
        <f t="shared" si="44"/>
        <v>17110</v>
      </c>
      <c r="Z68" s="27">
        <f t="shared" si="44"/>
        <v>-6776</v>
      </c>
      <c r="AA68" s="27">
        <f t="shared" si="44"/>
        <v>0</v>
      </c>
      <c r="AB68" s="27">
        <f t="shared" si="44"/>
        <v>0</v>
      </c>
      <c r="AC68" s="27">
        <f t="shared" si="44"/>
        <v>11956</v>
      </c>
      <c r="AD68" s="27">
        <f t="shared" si="44"/>
        <v>924</v>
      </c>
      <c r="AE68" s="27">
        <f t="shared" si="44"/>
        <v>97829</v>
      </c>
      <c r="AF68" s="27">
        <f t="shared" si="44"/>
        <v>1545</v>
      </c>
      <c r="AG68" s="27">
        <f t="shared" si="44"/>
        <v>0</v>
      </c>
      <c r="AH68" s="27">
        <f t="shared" si="44"/>
        <v>4399</v>
      </c>
      <c r="AI68" s="27">
        <f t="shared" si="44"/>
        <v>2197</v>
      </c>
      <c r="AJ68" s="27">
        <f t="shared" si="44"/>
        <v>1600</v>
      </c>
      <c r="AK68" s="27">
        <f t="shared" si="44"/>
        <v>0</v>
      </c>
      <c r="AL68" s="27">
        <f t="shared" si="44"/>
        <v>41281</v>
      </c>
      <c r="AM68" s="27">
        <f t="shared" ref="AM68" si="45">S68-R68</f>
        <v>24848</v>
      </c>
      <c r="AN68" s="27">
        <f t="shared" ref="AN68" si="46">T68-S68</f>
        <v>0</v>
      </c>
      <c r="AO68" s="27">
        <f t="shared" ref="AO68" si="47">U68-T68</f>
        <v>30173</v>
      </c>
    </row>
    <row r="69" spans="1:41" x14ac:dyDescent="0.25">
      <c r="A69" s="87" t="s">
        <v>53</v>
      </c>
      <c r="B69" s="88" t="s">
        <v>54</v>
      </c>
      <c r="C69" s="89">
        <f>1500</f>
        <v>1500</v>
      </c>
      <c r="D69" s="89">
        <f>1500</f>
        <v>1500</v>
      </c>
      <c r="E69" s="89">
        <f>1500</f>
        <v>1500</v>
      </c>
      <c r="F69" s="89">
        <f>1500</f>
        <v>1500</v>
      </c>
      <c r="G69" s="89">
        <f>1500</f>
        <v>1500</v>
      </c>
      <c r="H69" s="89">
        <f>1500</f>
        <v>1500</v>
      </c>
      <c r="I69" s="89">
        <f>1500</f>
        <v>1500</v>
      </c>
      <c r="J69" s="89">
        <f>1500</f>
        <v>1500</v>
      </c>
      <c r="K69" s="89">
        <f>1500</f>
        <v>1500</v>
      </c>
      <c r="L69" s="89">
        <f>1500</f>
        <v>1500</v>
      </c>
      <c r="M69" s="89">
        <f>1500</f>
        <v>1500</v>
      </c>
      <c r="N69" s="89">
        <f>1500</f>
        <v>1500</v>
      </c>
      <c r="O69" s="89">
        <f>1500</f>
        <v>1500</v>
      </c>
      <c r="P69" s="89">
        <f>1500</f>
        <v>1500</v>
      </c>
      <c r="Q69" s="705">
        <f>1500-1000</f>
        <v>500</v>
      </c>
      <c r="R69" s="89">
        <f>1500-1000</f>
        <v>500</v>
      </c>
      <c r="S69" s="89">
        <f>1500-1000</f>
        <v>500</v>
      </c>
      <c r="T69" s="89">
        <f>1500-1000</f>
        <v>500</v>
      </c>
      <c r="U69" s="89">
        <f>1500-1000</f>
        <v>500</v>
      </c>
      <c r="V69" s="89">
        <v>25</v>
      </c>
      <c r="W69" s="728">
        <f t="shared" ref="W69:W132" si="48">V69/T69</f>
        <v>0.05</v>
      </c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ht="15.75" thickBot="1" x14ac:dyDescent="0.3">
      <c r="A70" s="90" t="s">
        <v>53</v>
      </c>
      <c r="B70" s="88" t="s">
        <v>55</v>
      </c>
      <c r="C70" s="91">
        <v>3600</v>
      </c>
      <c r="D70" s="91">
        <v>3600</v>
      </c>
      <c r="E70" s="91">
        <v>3600</v>
      </c>
      <c r="F70" s="91">
        <v>3600</v>
      </c>
      <c r="G70" s="91">
        <v>3600</v>
      </c>
      <c r="H70" s="91">
        <v>3600</v>
      </c>
      <c r="I70" s="91">
        <v>3600</v>
      </c>
      <c r="J70" s="91">
        <v>3600</v>
      </c>
      <c r="K70" s="91">
        <v>3600</v>
      </c>
      <c r="L70" s="91">
        <v>3600</v>
      </c>
      <c r="M70" s="91">
        <v>3600</v>
      </c>
      <c r="N70" s="91">
        <v>3600</v>
      </c>
      <c r="O70" s="91">
        <v>3600</v>
      </c>
      <c r="P70" s="91">
        <v>3600</v>
      </c>
      <c r="Q70" s="91">
        <v>3600</v>
      </c>
      <c r="R70" s="91">
        <v>3600</v>
      </c>
      <c r="S70" s="91">
        <v>3600</v>
      </c>
      <c r="T70" s="91">
        <v>3600</v>
      </c>
      <c r="U70" s="91">
        <v>3600</v>
      </c>
      <c r="V70" s="91">
        <v>2870</v>
      </c>
      <c r="W70" s="728">
        <f t="shared" si="48"/>
        <v>0.79722222222222228</v>
      </c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ht="19.899999999999999" customHeight="1" thickBot="1" x14ac:dyDescent="0.3">
      <c r="A71" s="894" t="s">
        <v>57</v>
      </c>
      <c r="B71" s="895"/>
      <c r="C71" s="95">
        <f t="shared" ref="C71:V71" si="49">SUM(C69:C70)</f>
        <v>5100</v>
      </c>
      <c r="D71" s="95">
        <f t="shared" si="49"/>
        <v>5100</v>
      </c>
      <c r="E71" s="95">
        <f t="shared" si="49"/>
        <v>5100</v>
      </c>
      <c r="F71" s="95">
        <f t="shared" si="49"/>
        <v>5100</v>
      </c>
      <c r="G71" s="95">
        <f t="shared" si="49"/>
        <v>5100</v>
      </c>
      <c r="H71" s="95">
        <f t="shared" si="49"/>
        <v>5100</v>
      </c>
      <c r="I71" s="95">
        <f t="shared" ref="I71:S71" si="50">SUM(I69:I70)</f>
        <v>5100</v>
      </c>
      <c r="J71" s="95">
        <f t="shared" si="50"/>
        <v>5100</v>
      </c>
      <c r="K71" s="95">
        <f t="shared" si="50"/>
        <v>5100</v>
      </c>
      <c r="L71" s="95">
        <f t="shared" si="50"/>
        <v>5100</v>
      </c>
      <c r="M71" s="95">
        <f t="shared" si="50"/>
        <v>5100</v>
      </c>
      <c r="N71" s="95">
        <f t="shared" si="50"/>
        <v>5100</v>
      </c>
      <c r="O71" s="95">
        <f t="shared" si="50"/>
        <v>5100</v>
      </c>
      <c r="P71" s="95">
        <f t="shared" si="50"/>
        <v>5100</v>
      </c>
      <c r="Q71" s="95">
        <f t="shared" si="50"/>
        <v>4100</v>
      </c>
      <c r="R71" s="95">
        <f t="shared" si="50"/>
        <v>4100</v>
      </c>
      <c r="S71" s="95">
        <f t="shared" si="50"/>
        <v>4100</v>
      </c>
      <c r="T71" s="95">
        <f t="shared" ref="T71:U71" si="51">SUM(T69:T70)</f>
        <v>4100</v>
      </c>
      <c r="U71" s="95">
        <f t="shared" si="51"/>
        <v>4100</v>
      </c>
      <c r="V71" s="95">
        <f t="shared" si="49"/>
        <v>2895</v>
      </c>
      <c r="W71" s="728">
        <f t="shared" si="48"/>
        <v>0.70609756097560972</v>
      </c>
      <c r="X71" s="27">
        <f t="shared" ref="X71:AL71" si="52">D71-C71</f>
        <v>0</v>
      </c>
      <c r="Y71" s="27">
        <f t="shared" si="52"/>
        <v>0</v>
      </c>
      <c r="Z71" s="27">
        <f t="shared" si="52"/>
        <v>0</v>
      </c>
      <c r="AA71" s="27">
        <f t="shared" si="52"/>
        <v>0</v>
      </c>
      <c r="AB71" s="27">
        <f t="shared" si="52"/>
        <v>0</v>
      </c>
      <c r="AC71" s="27">
        <f t="shared" si="52"/>
        <v>0</v>
      </c>
      <c r="AD71" s="27">
        <f t="shared" si="52"/>
        <v>0</v>
      </c>
      <c r="AE71" s="27">
        <f t="shared" si="52"/>
        <v>0</v>
      </c>
      <c r="AF71" s="27">
        <f t="shared" si="52"/>
        <v>0</v>
      </c>
      <c r="AG71" s="27">
        <f t="shared" si="52"/>
        <v>0</v>
      </c>
      <c r="AH71" s="27">
        <f t="shared" si="52"/>
        <v>0</v>
      </c>
      <c r="AI71" s="27">
        <f t="shared" si="52"/>
        <v>0</v>
      </c>
      <c r="AJ71" s="27">
        <f t="shared" si="52"/>
        <v>0</v>
      </c>
      <c r="AK71" s="27">
        <f t="shared" si="52"/>
        <v>-1000</v>
      </c>
      <c r="AL71" s="27">
        <f t="shared" si="52"/>
        <v>0</v>
      </c>
      <c r="AM71" s="27">
        <f t="shared" ref="AM71" si="53">S71-R71</f>
        <v>0</v>
      </c>
      <c r="AN71" s="27">
        <f t="shared" ref="AN71" si="54">T71-S71</f>
        <v>0</v>
      </c>
      <c r="AO71" s="27">
        <f t="shared" ref="AO71" si="55">U71-T71</f>
        <v>0</v>
      </c>
    </row>
    <row r="72" spans="1:41" ht="16.5" thickBot="1" x14ac:dyDescent="0.3">
      <c r="A72" s="96" t="s">
        <v>53</v>
      </c>
      <c r="B72" s="97" t="s">
        <v>58</v>
      </c>
      <c r="C72" s="418">
        <v>13600</v>
      </c>
      <c r="D72" s="418">
        <v>13600</v>
      </c>
      <c r="E72" s="418">
        <v>13600</v>
      </c>
      <c r="F72" s="418">
        <v>13600</v>
      </c>
      <c r="G72" s="418">
        <v>13600</v>
      </c>
      <c r="H72" s="418">
        <v>13600</v>
      </c>
      <c r="I72" s="418">
        <v>13600</v>
      </c>
      <c r="J72" s="418">
        <v>13600</v>
      </c>
      <c r="K72" s="418">
        <v>13600</v>
      </c>
      <c r="L72" s="418">
        <v>13600</v>
      </c>
      <c r="M72" s="418">
        <v>13600</v>
      </c>
      <c r="N72" s="418">
        <v>13600</v>
      </c>
      <c r="O72" s="418">
        <v>13600</v>
      </c>
      <c r="P72" s="418">
        <v>13600</v>
      </c>
      <c r="Q72" s="418">
        <v>13600</v>
      </c>
      <c r="R72" s="418">
        <v>13600</v>
      </c>
      <c r="S72" s="418">
        <v>13600</v>
      </c>
      <c r="T72" s="418">
        <v>13600</v>
      </c>
      <c r="U72" s="418">
        <v>13600</v>
      </c>
      <c r="V72" s="418">
        <v>13175</v>
      </c>
      <c r="W72" s="728">
        <f t="shared" si="48"/>
        <v>0.96875</v>
      </c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</row>
    <row r="73" spans="1:41" ht="21" customHeight="1" thickBot="1" x14ac:dyDescent="0.3">
      <c r="A73" s="894" t="s">
        <v>217</v>
      </c>
      <c r="B73" s="895"/>
      <c r="C73" s="414">
        <f t="shared" ref="C73:V73" si="56">SUM(C72:C72)</f>
        <v>13600</v>
      </c>
      <c r="D73" s="414">
        <f t="shared" si="56"/>
        <v>13600</v>
      </c>
      <c r="E73" s="414">
        <f t="shared" si="56"/>
        <v>13600</v>
      </c>
      <c r="F73" s="414">
        <f t="shared" si="56"/>
        <v>13600</v>
      </c>
      <c r="G73" s="414">
        <f t="shared" si="56"/>
        <v>13600</v>
      </c>
      <c r="H73" s="414">
        <f t="shared" si="56"/>
        <v>13600</v>
      </c>
      <c r="I73" s="414">
        <f t="shared" si="56"/>
        <v>13600</v>
      </c>
      <c r="J73" s="414">
        <f t="shared" si="56"/>
        <v>13600</v>
      </c>
      <c r="K73" s="414">
        <f t="shared" si="56"/>
        <v>13600</v>
      </c>
      <c r="L73" s="414">
        <f t="shared" si="56"/>
        <v>13600</v>
      </c>
      <c r="M73" s="414">
        <f t="shared" si="56"/>
        <v>13600</v>
      </c>
      <c r="N73" s="414">
        <f t="shared" si="56"/>
        <v>13600</v>
      </c>
      <c r="O73" s="414">
        <f t="shared" si="56"/>
        <v>13600</v>
      </c>
      <c r="P73" s="414">
        <f t="shared" si="56"/>
        <v>13600</v>
      </c>
      <c r="Q73" s="414">
        <f t="shared" si="56"/>
        <v>13600</v>
      </c>
      <c r="R73" s="414">
        <f t="shared" si="56"/>
        <v>13600</v>
      </c>
      <c r="S73" s="414">
        <f t="shared" si="56"/>
        <v>13600</v>
      </c>
      <c r="T73" s="414">
        <f t="shared" ref="T73:U73" si="57">SUM(T72:T72)</f>
        <v>13600</v>
      </c>
      <c r="U73" s="414">
        <f t="shared" si="57"/>
        <v>13600</v>
      </c>
      <c r="V73" s="414">
        <f t="shared" si="56"/>
        <v>13175</v>
      </c>
      <c r="W73" s="728">
        <f t="shared" si="48"/>
        <v>0.96875</v>
      </c>
      <c r="X73" s="27">
        <f t="shared" ref="X73:AL75" si="58">D73-C73</f>
        <v>0</v>
      </c>
      <c r="Y73" s="27">
        <f t="shared" si="58"/>
        <v>0</v>
      </c>
      <c r="Z73" s="27">
        <f t="shared" si="58"/>
        <v>0</v>
      </c>
      <c r="AA73" s="27">
        <f t="shared" si="58"/>
        <v>0</v>
      </c>
      <c r="AB73" s="27">
        <f t="shared" si="58"/>
        <v>0</v>
      </c>
      <c r="AC73" s="27">
        <f t="shared" si="58"/>
        <v>0</v>
      </c>
      <c r="AD73" s="27">
        <f t="shared" si="58"/>
        <v>0</v>
      </c>
      <c r="AE73" s="27">
        <f t="shared" si="58"/>
        <v>0</v>
      </c>
      <c r="AF73" s="27">
        <f t="shared" si="58"/>
        <v>0</v>
      </c>
      <c r="AG73" s="27">
        <f t="shared" si="58"/>
        <v>0</v>
      </c>
      <c r="AH73" s="27">
        <f t="shared" si="58"/>
        <v>0</v>
      </c>
      <c r="AI73" s="27">
        <f t="shared" si="58"/>
        <v>0</v>
      </c>
      <c r="AJ73" s="27">
        <f t="shared" si="58"/>
        <v>0</v>
      </c>
      <c r="AK73" s="27">
        <f t="shared" si="58"/>
        <v>0</v>
      </c>
      <c r="AL73" s="27">
        <f t="shared" si="58"/>
        <v>0</v>
      </c>
      <c r="AM73" s="27">
        <f t="shared" ref="AM73:AM75" si="59">S73-R73</f>
        <v>0</v>
      </c>
      <c r="AN73" s="27">
        <f t="shared" ref="AN73:AN75" si="60">T73-S73</f>
        <v>0</v>
      </c>
      <c r="AO73" s="27">
        <f t="shared" ref="AO73:AO75" si="61">U73-T73</f>
        <v>0</v>
      </c>
    </row>
    <row r="74" spans="1:41" ht="19.5" customHeight="1" thickBot="1" x14ac:dyDescent="0.3">
      <c r="A74" s="896" t="s">
        <v>59</v>
      </c>
      <c r="B74" s="897"/>
      <c r="C74" s="99">
        <f t="shared" ref="C74:V74" si="62">C71+C73</f>
        <v>18700</v>
      </c>
      <c r="D74" s="99">
        <f t="shared" si="62"/>
        <v>18700</v>
      </c>
      <c r="E74" s="99">
        <f t="shared" si="62"/>
        <v>18700</v>
      </c>
      <c r="F74" s="99">
        <f t="shared" si="62"/>
        <v>18700</v>
      </c>
      <c r="G74" s="99">
        <f t="shared" si="62"/>
        <v>18700</v>
      </c>
      <c r="H74" s="99">
        <f t="shared" si="62"/>
        <v>18700</v>
      </c>
      <c r="I74" s="99">
        <f t="shared" si="62"/>
        <v>18700</v>
      </c>
      <c r="J74" s="99">
        <f t="shared" si="62"/>
        <v>18700</v>
      </c>
      <c r="K74" s="99">
        <f t="shared" si="62"/>
        <v>18700</v>
      </c>
      <c r="L74" s="99">
        <f t="shared" si="62"/>
        <v>18700</v>
      </c>
      <c r="M74" s="99">
        <f t="shared" si="62"/>
        <v>18700</v>
      </c>
      <c r="N74" s="99">
        <f t="shared" si="62"/>
        <v>18700</v>
      </c>
      <c r="O74" s="99">
        <f t="shared" si="62"/>
        <v>18700</v>
      </c>
      <c r="P74" s="99">
        <f t="shared" si="62"/>
        <v>18700</v>
      </c>
      <c r="Q74" s="99">
        <f t="shared" si="62"/>
        <v>17700</v>
      </c>
      <c r="R74" s="99">
        <f t="shared" si="62"/>
        <v>17700</v>
      </c>
      <c r="S74" s="99">
        <f t="shared" si="62"/>
        <v>17700</v>
      </c>
      <c r="T74" s="99">
        <f t="shared" ref="T74:U74" si="63">T71+T73</f>
        <v>17700</v>
      </c>
      <c r="U74" s="99">
        <f t="shared" si="63"/>
        <v>17700</v>
      </c>
      <c r="V74" s="99">
        <f t="shared" si="62"/>
        <v>16070</v>
      </c>
      <c r="W74" s="728">
        <f t="shared" si="48"/>
        <v>0.90790960451977398</v>
      </c>
      <c r="X74" s="27">
        <f t="shared" si="58"/>
        <v>0</v>
      </c>
      <c r="Y74" s="27">
        <f t="shared" si="58"/>
        <v>0</v>
      </c>
      <c r="Z74" s="27">
        <f t="shared" si="58"/>
        <v>0</v>
      </c>
      <c r="AA74" s="27">
        <f t="shared" si="58"/>
        <v>0</v>
      </c>
      <c r="AB74" s="27">
        <f t="shared" si="58"/>
        <v>0</v>
      </c>
      <c r="AC74" s="27">
        <f t="shared" si="58"/>
        <v>0</v>
      </c>
      <c r="AD74" s="27">
        <f t="shared" si="58"/>
        <v>0</v>
      </c>
      <c r="AE74" s="27">
        <f t="shared" si="58"/>
        <v>0</v>
      </c>
      <c r="AF74" s="27">
        <f t="shared" si="58"/>
        <v>0</v>
      </c>
      <c r="AG74" s="27">
        <f t="shared" si="58"/>
        <v>0</v>
      </c>
      <c r="AH74" s="27">
        <f t="shared" si="58"/>
        <v>0</v>
      </c>
      <c r="AI74" s="27">
        <f t="shared" si="58"/>
        <v>0</v>
      </c>
      <c r="AJ74" s="27">
        <f t="shared" si="58"/>
        <v>0</v>
      </c>
      <c r="AK74" s="27">
        <f t="shared" si="58"/>
        <v>-1000</v>
      </c>
      <c r="AL74" s="27">
        <f t="shared" si="58"/>
        <v>0</v>
      </c>
      <c r="AM74" s="27">
        <f t="shared" si="59"/>
        <v>0</v>
      </c>
      <c r="AN74" s="27">
        <f t="shared" si="60"/>
        <v>0</v>
      </c>
      <c r="AO74" s="27">
        <f t="shared" si="61"/>
        <v>0</v>
      </c>
    </row>
    <row r="75" spans="1:41" ht="30.75" customHeight="1" thickBot="1" x14ac:dyDescent="0.3">
      <c r="A75" s="85" t="s">
        <v>60</v>
      </c>
      <c r="B75" s="66"/>
      <c r="C75" s="86">
        <f t="shared" ref="C75:V75" si="64">C68+C74</f>
        <v>2971575</v>
      </c>
      <c r="D75" s="86">
        <f t="shared" si="64"/>
        <v>2971247</v>
      </c>
      <c r="E75" s="86">
        <f t="shared" si="64"/>
        <v>2988357</v>
      </c>
      <c r="F75" s="86">
        <f t="shared" si="64"/>
        <v>2981581</v>
      </c>
      <c r="G75" s="86">
        <f t="shared" si="64"/>
        <v>2981581</v>
      </c>
      <c r="H75" s="86">
        <f t="shared" si="64"/>
        <v>2981581</v>
      </c>
      <c r="I75" s="86">
        <f t="shared" si="64"/>
        <v>2993537</v>
      </c>
      <c r="J75" s="86">
        <f t="shared" si="64"/>
        <v>2994461</v>
      </c>
      <c r="K75" s="86">
        <f t="shared" si="64"/>
        <v>3092290</v>
      </c>
      <c r="L75" s="86">
        <f t="shared" si="64"/>
        <v>3093835</v>
      </c>
      <c r="M75" s="86">
        <f t="shared" si="64"/>
        <v>3093835</v>
      </c>
      <c r="N75" s="86">
        <f t="shared" si="64"/>
        <v>3098234</v>
      </c>
      <c r="O75" s="86">
        <f t="shared" si="64"/>
        <v>3100431</v>
      </c>
      <c r="P75" s="86">
        <f t="shared" si="64"/>
        <v>3102031</v>
      </c>
      <c r="Q75" s="86">
        <f t="shared" si="64"/>
        <v>3101031</v>
      </c>
      <c r="R75" s="86">
        <f t="shared" si="64"/>
        <v>3142312</v>
      </c>
      <c r="S75" s="86">
        <f t="shared" si="64"/>
        <v>3167160</v>
      </c>
      <c r="T75" s="86">
        <f t="shared" ref="T75:U75" si="65">T68+T74</f>
        <v>3167160</v>
      </c>
      <c r="U75" s="86">
        <f t="shared" si="65"/>
        <v>3197333</v>
      </c>
      <c r="V75" s="86">
        <f t="shared" si="64"/>
        <v>2513275</v>
      </c>
      <c r="W75" s="728">
        <f t="shared" si="48"/>
        <v>0.79354216395761501</v>
      </c>
      <c r="X75" s="27">
        <f t="shared" si="58"/>
        <v>-328</v>
      </c>
      <c r="Y75" s="27">
        <f t="shared" si="58"/>
        <v>17110</v>
      </c>
      <c r="Z75" s="27">
        <f t="shared" si="58"/>
        <v>-6776</v>
      </c>
      <c r="AA75" s="27">
        <f t="shared" si="58"/>
        <v>0</v>
      </c>
      <c r="AB75" s="27">
        <f t="shared" si="58"/>
        <v>0</v>
      </c>
      <c r="AC75" s="27">
        <f t="shared" si="58"/>
        <v>11956</v>
      </c>
      <c r="AD75" s="27">
        <f t="shared" si="58"/>
        <v>924</v>
      </c>
      <c r="AE75" s="27">
        <f t="shared" si="58"/>
        <v>97829</v>
      </c>
      <c r="AF75" s="27">
        <f t="shared" si="58"/>
        <v>1545</v>
      </c>
      <c r="AG75" s="27">
        <f t="shared" si="58"/>
        <v>0</v>
      </c>
      <c r="AH75" s="27">
        <f t="shared" si="58"/>
        <v>4399</v>
      </c>
      <c r="AI75" s="27">
        <f t="shared" si="58"/>
        <v>2197</v>
      </c>
      <c r="AJ75" s="27">
        <f t="shared" si="58"/>
        <v>1600</v>
      </c>
      <c r="AK75" s="27">
        <f t="shared" si="58"/>
        <v>-1000</v>
      </c>
      <c r="AL75" s="27">
        <f t="shared" si="58"/>
        <v>41281</v>
      </c>
      <c r="AM75" s="27">
        <f t="shared" si="59"/>
        <v>24848</v>
      </c>
      <c r="AN75" s="27">
        <f t="shared" si="60"/>
        <v>0</v>
      </c>
      <c r="AO75" s="27">
        <f t="shared" si="61"/>
        <v>30173</v>
      </c>
    </row>
    <row r="76" spans="1:41" x14ac:dyDescent="0.25">
      <c r="A76" s="1"/>
      <c r="B76" s="1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728"/>
      <c r="X76" s="1"/>
    </row>
    <row r="77" spans="1:41" ht="15.75" x14ac:dyDescent="0.25">
      <c r="A77" s="101"/>
      <c r="B77" s="102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728"/>
      <c r="X77" s="1"/>
    </row>
    <row r="78" spans="1:41" ht="18.75" thickBot="1" x14ac:dyDescent="0.3">
      <c r="A78" s="898" t="s">
        <v>61</v>
      </c>
      <c r="B78" s="899"/>
      <c r="C78" s="899"/>
      <c r="D78" s="899"/>
      <c r="E78" s="899"/>
      <c r="F78" s="899"/>
      <c r="G78" s="899"/>
      <c r="H78" s="899"/>
      <c r="I78" s="899"/>
      <c r="J78" s="899"/>
      <c r="K78" s="899"/>
      <c r="L78" s="899"/>
      <c r="M78" s="899"/>
      <c r="N78" s="899"/>
      <c r="O78" s="899"/>
      <c r="P78" s="899"/>
      <c r="Q78" s="899"/>
      <c r="R78" s="899"/>
      <c r="S78" s="899"/>
      <c r="T78" s="899"/>
      <c r="U78" s="899"/>
      <c r="V78" s="899"/>
      <c r="W78" s="728"/>
      <c r="X78" s="1"/>
    </row>
    <row r="79" spans="1:41" ht="36" customHeight="1" thickBot="1" x14ac:dyDescent="0.3">
      <c r="A79" s="876" t="s">
        <v>1</v>
      </c>
      <c r="B79" s="900"/>
      <c r="C79" s="387" t="s">
        <v>467</v>
      </c>
      <c r="D79" s="387" t="s">
        <v>465</v>
      </c>
      <c r="E79" s="387" t="s">
        <v>483</v>
      </c>
      <c r="F79" s="387" t="s">
        <v>500</v>
      </c>
      <c r="G79" s="387" t="s">
        <v>533</v>
      </c>
      <c r="H79" s="387" t="s">
        <v>578</v>
      </c>
      <c r="I79" s="387" t="s">
        <v>610</v>
      </c>
      <c r="J79" s="387" t="s">
        <v>579</v>
      </c>
      <c r="K79" s="387" t="s">
        <v>646</v>
      </c>
      <c r="L79" s="387" t="s">
        <v>637</v>
      </c>
      <c r="M79" s="387" t="s">
        <v>670</v>
      </c>
      <c r="N79" s="387" t="s">
        <v>680</v>
      </c>
      <c r="O79" s="387" t="s">
        <v>749</v>
      </c>
      <c r="P79" s="387" t="s">
        <v>774</v>
      </c>
      <c r="Q79" s="387" t="s">
        <v>783</v>
      </c>
      <c r="R79" s="387" t="s">
        <v>784</v>
      </c>
      <c r="S79" s="387" t="s">
        <v>885</v>
      </c>
      <c r="T79" s="387" t="s">
        <v>894</v>
      </c>
      <c r="U79" s="387" t="s">
        <v>913</v>
      </c>
      <c r="V79" s="387" t="s">
        <v>893</v>
      </c>
      <c r="W79" s="728"/>
      <c r="X79" s="1"/>
    </row>
    <row r="80" spans="1:41" ht="15.75" thickBot="1" x14ac:dyDescent="0.3">
      <c r="A80" s="104" t="s">
        <v>62</v>
      </c>
      <c r="B80" s="105"/>
      <c r="C80" s="108">
        <f t="shared" ref="C80:V80" si="66">SUM(C81:C85)</f>
        <v>317110</v>
      </c>
      <c r="D80" s="108">
        <f t="shared" si="66"/>
        <v>317090</v>
      </c>
      <c r="E80" s="108">
        <f t="shared" si="66"/>
        <v>317090</v>
      </c>
      <c r="F80" s="108">
        <f t="shared" si="66"/>
        <v>317090</v>
      </c>
      <c r="G80" s="108">
        <f t="shared" si="66"/>
        <v>317090</v>
      </c>
      <c r="H80" s="108">
        <f t="shared" si="66"/>
        <v>317090</v>
      </c>
      <c r="I80" s="108">
        <f t="shared" si="66"/>
        <v>317090</v>
      </c>
      <c r="J80" s="108">
        <f t="shared" si="66"/>
        <v>317090</v>
      </c>
      <c r="K80" s="108">
        <f t="shared" si="66"/>
        <v>367915</v>
      </c>
      <c r="L80" s="108">
        <f t="shared" si="66"/>
        <v>367915</v>
      </c>
      <c r="M80" s="108">
        <f t="shared" si="66"/>
        <v>367915</v>
      </c>
      <c r="N80" s="108">
        <f t="shared" si="66"/>
        <v>367974</v>
      </c>
      <c r="O80" s="108">
        <f t="shared" si="66"/>
        <v>367974</v>
      </c>
      <c r="P80" s="108">
        <f t="shared" si="66"/>
        <v>367974</v>
      </c>
      <c r="Q80" s="108">
        <f t="shared" si="66"/>
        <v>367974</v>
      </c>
      <c r="R80" s="108">
        <f t="shared" si="66"/>
        <v>365377</v>
      </c>
      <c r="S80" s="108">
        <f t="shared" si="66"/>
        <v>365377</v>
      </c>
      <c r="T80" s="108">
        <f t="shared" ref="T80:U80" si="67">SUM(T81:T85)</f>
        <v>365377</v>
      </c>
      <c r="U80" s="108">
        <f t="shared" si="67"/>
        <v>365377</v>
      </c>
      <c r="V80" s="108">
        <f t="shared" si="66"/>
        <v>279498</v>
      </c>
      <c r="W80" s="728">
        <f t="shared" si="48"/>
        <v>0.76495783806862505</v>
      </c>
      <c r="X80" s="1"/>
    </row>
    <row r="81" spans="1:24" x14ac:dyDescent="0.25">
      <c r="A81" s="109" t="s">
        <v>63</v>
      </c>
      <c r="B81" s="84" t="s">
        <v>64</v>
      </c>
      <c r="C81" s="56">
        <v>155310</v>
      </c>
      <c r="D81" s="56">
        <v>155310</v>
      </c>
      <c r="E81" s="56">
        <v>155310</v>
      </c>
      <c r="F81" s="56">
        <v>155310</v>
      </c>
      <c r="G81" s="56">
        <v>155310</v>
      </c>
      <c r="H81" s="56">
        <v>155310</v>
      </c>
      <c r="I81" s="56">
        <v>155310</v>
      </c>
      <c r="J81" s="56">
        <v>155310</v>
      </c>
      <c r="K81" s="705">
        <f>155310+50605</f>
        <v>205915</v>
      </c>
      <c r="L81" s="56">
        <f>155310+50605</f>
        <v>205915</v>
      </c>
      <c r="M81" s="56">
        <f>155310+50605</f>
        <v>205915</v>
      </c>
      <c r="N81" s="705">
        <f>155310+50605+59</f>
        <v>205974</v>
      </c>
      <c r="O81" s="56">
        <f>155310+50605+59</f>
        <v>205974</v>
      </c>
      <c r="P81" s="56">
        <f>155310+50605+59</f>
        <v>205974</v>
      </c>
      <c r="Q81" s="56">
        <f t="shared" ref="Q81" si="68">155310+50605+59</f>
        <v>205974</v>
      </c>
      <c r="R81" s="705">
        <f>155310+50605+59-2597</f>
        <v>203377</v>
      </c>
      <c r="S81" s="56">
        <f>155310+50605+59-2597</f>
        <v>203377</v>
      </c>
      <c r="T81" s="56">
        <f>155310+50605+59-2597</f>
        <v>203377</v>
      </c>
      <c r="U81" s="56">
        <f>155310+50605+59-2597</f>
        <v>203377</v>
      </c>
      <c r="V81" s="56">
        <v>154964</v>
      </c>
      <c r="W81" s="728">
        <f t="shared" si="48"/>
        <v>0.76195439995673064</v>
      </c>
      <c r="X81" s="1"/>
    </row>
    <row r="82" spans="1:24" x14ac:dyDescent="0.25">
      <c r="A82" s="113" t="s">
        <v>65</v>
      </c>
      <c r="B82" s="114" t="s">
        <v>66</v>
      </c>
      <c r="C82" s="61">
        <v>91700</v>
      </c>
      <c r="D82" s="61">
        <v>91700</v>
      </c>
      <c r="E82" s="61">
        <v>91700</v>
      </c>
      <c r="F82" s="61">
        <v>91700</v>
      </c>
      <c r="G82" s="61">
        <v>91700</v>
      </c>
      <c r="H82" s="61">
        <v>91700</v>
      </c>
      <c r="I82" s="61">
        <v>91700</v>
      </c>
      <c r="J82" s="61">
        <v>91700</v>
      </c>
      <c r="K82" s="61">
        <v>91700</v>
      </c>
      <c r="L82" s="61">
        <v>91700</v>
      </c>
      <c r="M82" s="61">
        <v>91700</v>
      </c>
      <c r="N82" s="61">
        <v>91700</v>
      </c>
      <c r="O82" s="61">
        <v>91700</v>
      </c>
      <c r="P82" s="61">
        <v>91700</v>
      </c>
      <c r="Q82" s="61">
        <v>91700</v>
      </c>
      <c r="R82" s="61">
        <v>91700</v>
      </c>
      <c r="S82" s="61">
        <v>91700</v>
      </c>
      <c r="T82" s="61">
        <v>91700</v>
      </c>
      <c r="U82" s="61">
        <v>91700</v>
      </c>
      <c r="V82" s="61">
        <v>81263</v>
      </c>
      <c r="W82" s="728">
        <f t="shared" si="48"/>
        <v>0.88618320610687018</v>
      </c>
      <c r="X82" s="1"/>
    </row>
    <row r="83" spans="1:24" x14ac:dyDescent="0.25">
      <c r="A83" s="113" t="s">
        <v>67</v>
      </c>
      <c r="B83" s="114" t="s">
        <v>68</v>
      </c>
      <c r="C83" s="61">
        <v>5200</v>
      </c>
      <c r="D83" s="61">
        <v>5200</v>
      </c>
      <c r="E83" s="61">
        <v>5200</v>
      </c>
      <c r="F83" s="61">
        <v>5200</v>
      </c>
      <c r="G83" s="61">
        <v>5200</v>
      </c>
      <c r="H83" s="61">
        <v>5200</v>
      </c>
      <c r="I83" s="61">
        <v>5200</v>
      </c>
      <c r="J83" s="61">
        <v>5200</v>
      </c>
      <c r="K83" s="61">
        <v>5200</v>
      </c>
      <c r="L83" s="61">
        <v>5200</v>
      </c>
      <c r="M83" s="61">
        <v>5200</v>
      </c>
      <c r="N83" s="61">
        <v>5200</v>
      </c>
      <c r="O83" s="61">
        <v>5200</v>
      </c>
      <c r="P83" s="61">
        <v>5200</v>
      </c>
      <c r="Q83" s="61">
        <v>5200</v>
      </c>
      <c r="R83" s="61">
        <v>5200</v>
      </c>
      <c r="S83" s="61">
        <v>5200</v>
      </c>
      <c r="T83" s="61">
        <v>5200</v>
      </c>
      <c r="U83" s="61">
        <v>5200</v>
      </c>
      <c r="V83" s="61">
        <v>2513</v>
      </c>
      <c r="W83" s="728">
        <f t="shared" si="48"/>
        <v>0.48326923076923078</v>
      </c>
      <c r="X83" s="1"/>
    </row>
    <row r="84" spans="1:24" x14ac:dyDescent="0.25">
      <c r="A84" s="117" t="s">
        <v>69</v>
      </c>
      <c r="B84" s="114" t="s">
        <v>70</v>
      </c>
      <c r="C84" s="61">
        <v>64900</v>
      </c>
      <c r="D84" s="695">
        <f t="shared" ref="D84:J84" si="69">64900-10-10</f>
        <v>64880</v>
      </c>
      <c r="E84" s="61">
        <f t="shared" si="69"/>
        <v>64880</v>
      </c>
      <c r="F84" s="61">
        <f t="shared" si="69"/>
        <v>64880</v>
      </c>
      <c r="G84" s="61">
        <f t="shared" si="69"/>
        <v>64880</v>
      </c>
      <c r="H84" s="61">
        <f t="shared" si="69"/>
        <v>64880</v>
      </c>
      <c r="I84" s="61">
        <f t="shared" si="69"/>
        <v>64880</v>
      </c>
      <c r="J84" s="61">
        <f t="shared" si="69"/>
        <v>64880</v>
      </c>
      <c r="K84" s="695">
        <f t="shared" ref="K84:U84" si="70">64900-10-10+220</f>
        <v>65100</v>
      </c>
      <c r="L84" s="61">
        <f t="shared" si="70"/>
        <v>65100</v>
      </c>
      <c r="M84" s="61">
        <f t="shared" si="70"/>
        <v>65100</v>
      </c>
      <c r="N84" s="61">
        <f t="shared" si="70"/>
        <v>65100</v>
      </c>
      <c r="O84" s="61">
        <f t="shared" si="70"/>
        <v>65100</v>
      </c>
      <c r="P84" s="61">
        <f t="shared" si="70"/>
        <v>65100</v>
      </c>
      <c r="Q84" s="61">
        <f t="shared" si="70"/>
        <v>65100</v>
      </c>
      <c r="R84" s="61">
        <f t="shared" si="70"/>
        <v>65100</v>
      </c>
      <c r="S84" s="61">
        <f t="shared" si="70"/>
        <v>65100</v>
      </c>
      <c r="T84" s="61">
        <f t="shared" si="70"/>
        <v>65100</v>
      </c>
      <c r="U84" s="61">
        <f t="shared" si="70"/>
        <v>65100</v>
      </c>
      <c r="V84" s="61">
        <v>40758</v>
      </c>
      <c r="W84" s="728">
        <f t="shared" si="48"/>
        <v>0.62608294930875574</v>
      </c>
      <c r="X84" s="1"/>
    </row>
    <row r="85" spans="1:24" ht="15.75" thickBot="1" x14ac:dyDescent="0.3">
      <c r="A85" s="119" t="s">
        <v>71</v>
      </c>
      <c r="B85" s="120" t="s">
        <v>196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N85" s="124">
        <v>0</v>
      </c>
      <c r="O85" s="124">
        <v>0</v>
      </c>
      <c r="P85" s="124">
        <v>0</v>
      </c>
      <c r="Q85" s="124">
        <v>0</v>
      </c>
      <c r="R85" s="124">
        <v>0</v>
      </c>
      <c r="S85" s="124">
        <v>0</v>
      </c>
      <c r="T85" s="124">
        <v>0</v>
      </c>
      <c r="U85" s="124">
        <v>0</v>
      </c>
      <c r="V85" s="124">
        <v>0</v>
      </c>
      <c r="W85" s="728">
        <v>0</v>
      </c>
      <c r="X85" s="1"/>
    </row>
    <row r="86" spans="1:24" ht="15.75" thickBot="1" x14ac:dyDescent="0.3">
      <c r="A86" s="125" t="s">
        <v>72</v>
      </c>
      <c r="B86" s="126"/>
      <c r="C86" s="108">
        <f t="shared" ref="C86:V86" si="71">SUM(C87)</f>
        <v>2670</v>
      </c>
      <c r="D86" s="108">
        <f t="shared" si="71"/>
        <v>2685</v>
      </c>
      <c r="E86" s="108">
        <f t="shared" si="71"/>
        <v>2685</v>
      </c>
      <c r="F86" s="108">
        <f t="shared" si="71"/>
        <v>2685</v>
      </c>
      <c r="G86" s="108">
        <f t="shared" si="71"/>
        <v>2685</v>
      </c>
      <c r="H86" s="108">
        <f t="shared" si="71"/>
        <v>2685</v>
      </c>
      <c r="I86" s="108">
        <f t="shared" si="71"/>
        <v>2685</v>
      </c>
      <c r="J86" s="108">
        <f t="shared" si="71"/>
        <v>2685</v>
      </c>
      <c r="K86" s="108">
        <f t="shared" si="71"/>
        <v>2685</v>
      </c>
      <c r="L86" s="108">
        <f t="shared" si="71"/>
        <v>2685</v>
      </c>
      <c r="M86" s="108">
        <f t="shared" si="71"/>
        <v>2685</v>
      </c>
      <c r="N86" s="108">
        <f t="shared" si="71"/>
        <v>2685</v>
      </c>
      <c r="O86" s="108">
        <f t="shared" si="71"/>
        <v>2685</v>
      </c>
      <c r="P86" s="108">
        <f t="shared" si="71"/>
        <v>2685</v>
      </c>
      <c r="Q86" s="108">
        <f t="shared" si="71"/>
        <v>2685</v>
      </c>
      <c r="R86" s="108">
        <f t="shared" si="71"/>
        <v>2685</v>
      </c>
      <c r="S86" s="108">
        <f t="shared" si="71"/>
        <v>2685</v>
      </c>
      <c r="T86" s="108">
        <f t="shared" si="71"/>
        <v>2685</v>
      </c>
      <c r="U86" s="108">
        <f t="shared" si="71"/>
        <v>2685</v>
      </c>
      <c r="V86" s="108">
        <f t="shared" si="71"/>
        <v>2623</v>
      </c>
      <c r="W86" s="728">
        <f t="shared" si="48"/>
        <v>0.97690875232774677</v>
      </c>
      <c r="X86" s="1"/>
    </row>
    <row r="87" spans="1:24" ht="15.75" thickBot="1" x14ac:dyDescent="0.3">
      <c r="A87" s="127" t="s">
        <v>73</v>
      </c>
      <c r="B87" s="102" t="s">
        <v>219</v>
      </c>
      <c r="C87" s="130">
        <v>2670</v>
      </c>
      <c r="D87" s="713">
        <f t="shared" ref="D87:U87" si="72">2670+15</f>
        <v>2685</v>
      </c>
      <c r="E87" s="130">
        <f t="shared" si="72"/>
        <v>2685</v>
      </c>
      <c r="F87" s="130">
        <f t="shared" si="72"/>
        <v>2685</v>
      </c>
      <c r="G87" s="130">
        <f t="shared" si="72"/>
        <v>2685</v>
      </c>
      <c r="H87" s="130">
        <f t="shared" si="72"/>
        <v>2685</v>
      </c>
      <c r="I87" s="130">
        <f t="shared" si="72"/>
        <v>2685</v>
      </c>
      <c r="J87" s="130">
        <f t="shared" si="72"/>
        <v>2685</v>
      </c>
      <c r="K87" s="130">
        <f t="shared" si="72"/>
        <v>2685</v>
      </c>
      <c r="L87" s="130">
        <f t="shared" si="72"/>
        <v>2685</v>
      </c>
      <c r="M87" s="130">
        <f t="shared" si="72"/>
        <v>2685</v>
      </c>
      <c r="N87" s="130">
        <f t="shared" si="72"/>
        <v>2685</v>
      </c>
      <c r="O87" s="130">
        <f t="shared" si="72"/>
        <v>2685</v>
      </c>
      <c r="P87" s="130">
        <f t="shared" si="72"/>
        <v>2685</v>
      </c>
      <c r="Q87" s="130">
        <f t="shared" si="72"/>
        <v>2685</v>
      </c>
      <c r="R87" s="130">
        <f t="shared" si="72"/>
        <v>2685</v>
      </c>
      <c r="S87" s="130">
        <f t="shared" si="72"/>
        <v>2685</v>
      </c>
      <c r="T87" s="130">
        <f t="shared" si="72"/>
        <v>2685</v>
      </c>
      <c r="U87" s="130">
        <f t="shared" si="72"/>
        <v>2685</v>
      </c>
      <c r="V87" s="130">
        <v>2623</v>
      </c>
      <c r="W87" s="728">
        <f t="shared" si="48"/>
        <v>0.97690875232774677</v>
      </c>
      <c r="X87" s="1"/>
    </row>
    <row r="88" spans="1:24" ht="15.75" thickBot="1" x14ac:dyDescent="0.3">
      <c r="A88" s="125" t="s">
        <v>74</v>
      </c>
      <c r="B88" s="126"/>
      <c r="C88" s="108">
        <f t="shared" ref="C88:V88" si="73">SUM(C89:C90)</f>
        <v>96625</v>
      </c>
      <c r="D88" s="108">
        <f t="shared" si="73"/>
        <v>97008</v>
      </c>
      <c r="E88" s="108">
        <f t="shared" si="73"/>
        <v>94508</v>
      </c>
      <c r="F88" s="108">
        <f t="shared" si="73"/>
        <v>94508</v>
      </c>
      <c r="G88" s="108">
        <f t="shared" si="73"/>
        <v>94508</v>
      </c>
      <c r="H88" s="108">
        <f t="shared" si="73"/>
        <v>94508</v>
      </c>
      <c r="I88" s="108">
        <f t="shared" si="73"/>
        <v>94508</v>
      </c>
      <c r="J88" s="108">
        <f t="shared" si="73"/>
        <v>94508</v>
      </c>
      <c r="K88" s="108">
        <f t="shared" si="73"/>
        <v>94508</v>
      </c>
      <c r="L88" s="108">
        <f t="shared" si="73"/>
        <v>94508</v>
      </c>
      <c r="M88" s="108">
        <f t="shared" ref="M88:S88" si="74">SUM(M89:M90)</f>
        <v>94508</v>
      </c>
      <c r="N88" s="108">
        <f t="shared" si="74"/>
        <v>94508</v>
      </c>
      <c r="O88" s="108">
        <f t="shared" si="74"/>
        <v>94508</v>
      </c>
      <c r="P88" s="108">
        <f t="shared" si="74"/>
        <v>94508</v>
      </c>
      <c r="Q88" s="108">
        <f t="shared" si="74"/>
        <v>94508</v>
      </c>
      <c r="R88" s="108">
        <f t="shared" si="74"/>
        <v>124533</v>
      </c>
      <c r="S88" s="108">
        <f t="shared" si="74"/>
        <v>124683</v>
      </c>
      <c r="T88" s="108">
        <f t="shared" ref="T88:U88" si="75">SUM(T89:T90)</f>
        <v>124683</v>
      </c>
      <c r="U88" s="108">
        <f t="shared" si="75"/>
        <v>124783</v>
      </c>
      <c r="V88" s="108">
        <f t="shared" si="73"/>
        <v>66963</v>
      </c>
      <c r="W88" s="728">
        <f t="shared" si="48"/>
        <v>0.53706599937441346</v>
      </c>
      <c r="X88" s="1"/>
    </row>
    <row r="89" spans="1:24" x14ac:dyDescent="0.25">
      <c r="A89" s="131" t="s">
        <v>75</v>
      </c>
      <c r="B89" s="132" t="s">
        <v>76</v>
      </c>
      <c r="C89" s="135">
        <v>17600</v>
      </c>
      <c r="D89" s="135">
        <v>17600</v>
      </c>
      <c r="E89" s="759">
        <f t="shared" ref="E89:R89" si="76">17600-2500</f>
        <v>15100</v>
      </c>
      <c r="F89" s="135">
        <f t="shared" si="76"/>
        <v>15100</v>
      </c>
      <c r="G89" s="135">
        <f t="shared" si="76"/>
        <v>15100</v>
      </c>
      <c r="H89" s="135">
        <f t="shared" si="76"/>
        <v>15100</v>
      </c>
      <c r="I89" s="135">
        <f t="shared" si="76"/>
        <v>15100</v>
      </c>
      <c r="J89" s="135">
        <f t="shared" si="76"/>
        <v>15100</v>
      </c>
      <c r="K89" s="135">
        <f t="shared" si="76"/>
        <v>15100</v>
      </c>
      <c r="L89" s="135">
        <f t="shared" si="76"/>
        <v>15100</v>
      </c>
      <c r="M89" s="135">
        <f t="shared" si="76"/>
        <v>15100</v>
      </c>
      <c r="N89" s="135">
        <f t="shared" si="76"/>
        <v>15100</v>
      </c>
      <c r="O89" s="135">
        <f t="shared" si="76"/>
        <v>15100</v>
      </c>
      <c r="P89" s="135">
        <f t="shared" si="76"/>
        <v>15100</v>
      </c>
      <c r="Q89" s="135">
        <f t="shared" si="76"/>
        <v>15100</v>
      </c>
      <c r="R89" s="135">
        <f t="shared" si="76"/>
        <v>15100</v>
      </c>
      <c r="S89" s="759">
        <f>17600-2500+150</f>
        <v>15250</v>
      </c>
      <c r="T89" s="135">
        <f>17600-2500+150</f>
        <v>15250</v>
      </c>
      <c r="U89" s="759">
        <f>17600-2500+150+100</f>
        <v>15350</v>
      </c>
      <c r="V89" s="135">
        <v>10794</v>
      </c>
      <c r="W89" s="728">
        <f t="shared" si="48"/>
        <v>0.70780327868852455</v>
      </c>
      <c r="X89" s="1"/>
    </row>
    <row r="90" spans="1:24" ht="15.75" thickBot="1" x14ac:dyDescent="0.3">
      <c r="A90" s="136" t="s">
        <v>77</v>
      </c>
      <c r="B90" s="137" t="s">
        <v>78</v>
      </c>
      <c r="C90" s="124">
        <v>79025</v>
      </c>
      <c r="D90" s="714">
        <f t="shared" ref="D90:Q90" si="77">79025+383</f>
        <v>79408</v>
      </c>
      <c r="E90" s="124">
        <f t="shared" si="77"/>
        <v>79408</v>
      </c>
      <c r="F90" s="124">
        <f t="shared" si="77"/>
        <v>79408</v>
      </c>
      <c r="G90" s="124">
        <f t="shared" si="77"/>
        <v>79408</v>
      </c>
      <c r="H90" s="124">
        <f t="shared" si="77"/>
        <v>79408</v>
      </c>
      <c r="I90" s="124">
        <f t="shared" si="77"/>
        <v>79408</v>
      </c>
      <c r="J90" s="124">
        <f t="shared" si="77"/>
        <v>79408</v>
      </c>
      <c r="K90" s="124">
        <f t="shared" si="77"/>
        <v>79408</v>
      </c>
      <c r="L90" s="124">
        <f t="shared" si="77"/>
        <v>79408</v>
      </c>
      <c r="M90" s="124">
        <f t="shared" si="77"/>
        <v>79408</v>
      </c>
      <c r="N90" s="124">
        <f t="shared" si="77"/>
        <v>79408</v>
      </c>
      <c r="O90" s="124">
        <f t="shared" si="77"/>
        <v>79408</v>
      </c>
      <c r="P90" s="124">
        <f t="shared" si="77"/>
        <v>79408</v>
      </c>
      <c r="Q90" s="124">
        <f t="shared" si="77"/>
        <v>79408</v>
      </c>
      <c r="R90" s="714">
        <f>79025+383+30025</f>
        <v>109433</v>
      </c>
      <c r="S90" s="124">
        <f>79025+383+30025</f>
        <v>109433</v>
      </c>
      <c r="T90" s="124">
        <f>79025+383+30025</f>
        <v>109433</v>
      </c>
      <c r="U90" s="124">
        <f>79025+383+30025</f>
        <v>109433</v>
      </c>
      <c r="V90" s="124">
        <v>56169</v>
      </c>
      <c r="W90" s="728">
        <f t="shared" si="48"/>
        <v>0.51327296153811008</v>
      </c>
      <c r="X90" s="1"/>
    </row>
    <row r="91" spans="1:24" ht="15.75" thickBot="1" x14ac:dyDescent="0.3">
      <c r="A91" s="104" t="s">
        <v>79</v>
      </c>
      <c r="B91" s="140"/>
      <c r="C91" s="108">
        <f t="shared" ref="C91:V91" si="78">SUM(C92:C94)</f>
        <v>122230</v>
      </c>
      <c r="D91" s="108">
        <f t="shared" si="78"/>
        <v>122300</v>
      </c>
      <c r="E91" s="108">
        <f t="shared" si="78"/>
        <v>122300</v>
      </c>
      <c r="F91" s="108">
        <f t="shared" si="78"/>
        <v>122300</v>
      </c>
      <c r="G91" s="108">
        <f t="shared" si="78"/>
        <v>117000</v>
      </c>
      <c r="H91" s="108">
        <f t="shared" si="78"/>
        <v>117000</v>
      </c>
      <c r="I91" s="108">
        <f t="shared" si="78"/>
        <v>117015</v>
      </c>
      <c r="J91" s="108">
        <f t="shared" si="78"/>
        <v>117015</v>
      </c>
      <c r="K91" s="108">
        <f t="shared" si="78"/>
        <v>117015</v>
      </c>
      <c r="L91" s="108">
        <f t="shared" si="78"/>
        <v>117015</v>
      </c>
      <c r="M91" s="108">
        <f t="shared" si="78"/>
        <v>115015</v>
      </c>
      <c r="N91" s="108">
        <f t="shared" si="78"/>
        <v>108070</v>
      </c>
      <c r="O91" s="108">
        <f t="shared" ref="O91:S91" si="79">SUM(O92:O94)</f>
        <v>108070</v>
      </c>
      <c r="P91" s="108">
        <f t="shared" si="79"/>
        <v>108070</v>
      </c>
      <c r="Q91" s="108">
        <f t="shared" si="79"/>
        <v>108070</v>
      </c>
      <c r="R91" s="108">
        <f t="shared" si="79"/>
        <v>108070</v>
      </c>
      <c r="S91" s="108">
        <f t="shared" si="79"/>
        <v>108070</v>
      </c>
      <c r="T91" s="108">
        <f t="shared" ref="T91:U91" si="80">SUM(T92:T94)</f>
        <v>101070</v>
      </c>
      <c r="U91" s="108">
        <f t="shared" si="80"/>
        <v>101070</v>
      </c>
      <c r="V91" s="108">
        <f t="shared" si="78"/>
        <v>63019</v>
      </c>
      <c r="W91" s="728">
        <f t="shared" si="48"/>
        <v>0.62351835361630548</v>
      </c>
      <c r="X91" s="1"/>
    </row>
    <row r="92" spans="1:24" x14ac:dyDescent="0.25">
      <c r="A92" s="141" t="s">
        <v>80</v>
      </c>
      <c r="B92" s="142" t="s">
        <v>81</v>
      </c>
      <c r="C92" s="55">
        <v>44750</v>
      </c>
      <c r="D92" s="55">
        <v>44750</v>
      </c>
      <c r="E92" s="55">
        <v>44750</v>
      </c>
      <c r="F92" s="55">
        <v>44750</v>
      </c>
      <c r="G92" s="55">
        <v>44750</v>
      </c>
      <c r="H92" s="55">
        <v>44750</v>
      </c>
      <c r="I92" s="55">
        <v>44750</v>
      </c>
      <c r="J92" s="55">
        <v>44750</v>
      </c>
      <c r="K92" s="55">
        <v>44750</v>
      </c>
      <c r="L92" s="55">
        <v>44750</v>
      </c>
      <c r="M92" s="55">
        <v>44750</v>
      </c>
      <c r="N92" s="55">
        <v>44750</v>
      </c>
      <c r="O92" s="55">
        <v>44750</v>
      </c>
      <c r="P92" s="55">
        <v>44750</v>
      </c>
      <c r="Q92" s="55">
        <v>44750</v>
      </c>
      <c r="R92" s="55">
        <v>44750</v>
      </c>
      <c r="S92" s="55">
        <v>44750</v>
      </c>
      <c r="T92" s="55">
        <v>44750</v>
      </c>
      <c r="U92" s="55">
        <v>44750</v>
      </c>
      <c r="V92" s="55">
        <v>36852</v>
      </c>
      <c r="W92" s="728">
        <f t="shared" si="48"/>
        <v>0.82350837988826819</v>
      </c>
      <c r="X92" s="1"/>
    </row>
    <row r="93" spans="1:24" x14ac:dyDescent="0.25">
      <c r="A93" s="117" t="s">
        <v>82</v>
      </c>
      <c r="B93" s="114" t="s">
        <v>83</v>
      </c>
      <c r="C93" s="60">
        <v>39680</v>
      </c>
      <c r="D93" s="694">
        <f>39680+70</f>
        <v>39750</v>
      </c>
      <c r="E93" s="60">
        <f>39680+70</f>
        <v>39750</v>
      </c>
      <c r="F93" s="60">
        <f>39680+70</f>
        <v>39750</v>
      </c>
      <c r="G93" s="694">
        <f>39680+70-5300</f>
        <v>34450</v>
      </c>
      <c r="H93" s="60">
        <f>39680+70-5300</f>
        <v>34450</v>
      </c>
      <c r="I93" s="694">
        <f t="shared" ref="I93:M93" si="81">39680+70-5300+15</f>
        <v>34465</v>
      </c>
      <c r="J93" s="60">
        <f t="shared" si="81"/>
        <v>34465</v>
      </c>
      <c r="K93" s="60">
        <f t="shared" si="81"/>
        <v>34465</v>
      </c>
      <c r="L93" s="60">
        <f t="shared" si="81"/>
        <v>34465</v>
      </c>
      <c r="M93" s="60">
        <f t="shared" si="81"/>
        <v>34465</v>
      </c>
      <c r="N93" s="694">
        <f>39680+70-5300+15-6945</f>
        <v>27520</v>
      </c>
      <c r="O93" s="60">
        <f>39680+70-5300+15-6945</f>
        <v>27520</v>
      </c>
      <c r="P93" s="60">
        <f>39680+70-5300+15-6945</f>
        <v>27520</v>
      </c>
      <c r="Q93" s="60">
        <f t="shared" ref="Q93:U93" si="82">39680+70-5300+15-6945</f>
        <v>27520</v>
      </c>
      <c r="R93" s="60">
        <f t="shared" si="82"/>
        <v>27520</v>
      </c>
      <c r="S93" s="60">
        <f t="shared" si="82"/>
        <v>27520</v>
      </c>
      <c r="T93" s="60">
        <f t="shared" si="82"/>
        <v>27520</v>
      </c>
      <c r="U93" s="60">
        <f t="shared" si="82"/>
        <v>27520</v>
      </c>
      <c r="V93" s="60">
        <v>12553</v>
      </c>
      <c r="W93" s="728">
        <f t="shared" si="48"/>
        <v>0.45614098837209305</v>
      </c>
      <c r="X93" s="1"/>
    </row>
    <row r="94" spans="1:24" ht="15.75" thickBot="1" x14ac:dyDescent="0.3">
      <c r="A94" s="117" t="s">
        <v>84</v>
      </c>
      <c r="B94" s="114" t="s">
        <v>85</v>
      </c>
      <c r="C94" s="60">
        <v>37800</v>
      </c>
      <c r="D94" s="60">
        <v>37800</v>
      </c>
      <c r="E94" s="60">
        <v>37800</v>
      </c>
      <c r="F94" s="60">
        <v>37800</v>
      </c>
      <c r="G94" s="60">
        <v>37800</v>
      </c>
      <c r="H94" s="60">
        <v>37800</v>
      </c>
      <c r="I94" s="60">
        <v>37800</v>
      </c>
      <c r="J94" s="60">
        <v>37800</v>
      </c>
      <c r="K94" s="60">
        <v>37800</v>
      </c>
      <c r="L94" s="60">
        <v>37800</v>
      </c>
      <c r="M94" s="694">
        <f>37800-2000</f>
        <v>35800</v>
      </c>
      <c r="N94" s="60">
        <f>37800-2000</f>
        <v>35800</v>
      </c>
      <c r="O94" s="60">
        <f>37800-2000</f>
        <v>35800</v>
      </c>
      <c r="P94" s="60">
        <f>37800-2000</f>
        <v>35800</v>
      </c>
      <c r="Q94" s="60">
        <f t="shared" ref="Q94:S94" si="83">37800-2000</f>
        <v>35800</v>
      </c>
      <c r="R94" s="60">
        <f t="shared" si="83"/>
        <v>35800</v>
      </c>
      <c r="S94" s="60">
        <f t="shared" si="83"/>
        <v>35800</v>
      </c>
      <c r="T94" s="694">
        <f>37800-2000-7000</f>
        <v>28800</v>
      </c>
      <c r="U94" s="60">
        <f>37800-2000-7000</f>
        <v>28800</v>
      </c>
      <c r="V94" s="60">
        <v>13614</v>
      </c>
      <c r="W94" s="728">
        <f t="shared" si="48"/>
        <v>0.47270833333333334</v>
      </c>
      <c r="X94" s="1"/>
    </row>
    <row r="95" spans="1:24" ht="15.75" thickBot="1" x14ac:dyDescent="0.3">
      <c r="A95" s="901" t="s">
        <v>86</v>
      </c>
      <c r="B95" s="902"/>
      <c r="C95" s="108">
        <f t="shared" ref="C95:V95" si="84">SUM(C96:C99)</f>
        <v>148830</v>
      </c>
      <c r="D95" s="108">
        <f t="shared" si="84"/>
        <v>148830</v>
      </c>
      <c r="E95" s="108">
        <f t="shared" si="84"/>
        <v>173440</v>
      </c>
      <c r="F95" s="108">
        <f t="shared" si="84"/>
        <v>173440</v>
      </c>
      <c r="G95" s="108">
        <f t="shared" si="84"/>
        <v>173440</v>
      </c>
      <c r="H95" s="108">
        <f t="shared" si="84"/>
        <v>173440</v>
      </c>
      <c r="I95" s="108">
        <f t="shared" si="84"/>
        <v>173440</v>
      </c>
      <c r="J95" s="108">
        <f t="shared" si="84"/>
        <v>173440</v>
      </c>
      <c r="K95" s="108">
        <f t="shared" si="84"/>
        <v>173820</v>
      </c>
      <c r="L95" s="108">
        <f t="shared" si="84"/>
        <v>173820</v>
      </c>
      <c r="M95" s="108">
        <f t="shared" ref="M95:S95" si="85">SUM(M96:M99)</f>
        <v>175820</v>
      </c>
      <c r="N95" s="108">
        <f t="shared" si="85"/>
        <v>175820</v>
      </c>
      <c r="O95" s="108">
        <f t="shared" si="85"/>
        <v>175820</v>
      </c>
      <c r="P95" s="108">
        <f t="shared" si="85"/>
        <v>175820</v>
      </c>
      <c r="Q95" s="108">
        <f t="shared" si="85"/>
        <v>175820</v>
      </c>
      <c r="R95" s="108">
        <f t="shared" si="85"/>
        <v>175820</v>
      </c>
      <c r="S95" s="108">
        <f t="shared" si="85"/>
        <v>175820</v>
      </c>
      <c r="T95" s="108">
        <f t="shared" ref="T95:U95" si="86">SUM(T96:T99)</f>
        <v>175820</v>
      </c>
      <c r="U95" s="108">
        <f t="shared" si="86"/>
        <v>175820</v>
      </c>
      <c r="V95" s="108">
        <f t="shared" si="84"/>
        <v>121965</v>
      </c>
      <c r="W95" s="728">
        <f t="shared" si="48"/>
        <v>0.69369241269480153</v>
      </c>
      <c r="X95" s="1"/>
    </row>
    <row r="96" spans="1:24" x14ac:dyDescent="0.25">
      <c r="A96" s="149" t="s">
        <v>87</v>
      </c>
      <c r="B96" s="150" t="s">
        <v>88</v>
      </c>
      <c r="C96" s="135">
        <v>95830</v>
      </c>
      <c r="D96" s="135">
        <v>95830</v>
      </c>
      <c r="E96" s="135">
        <v>95830</v>
      </c>
      <c r="F96" s="135">
        <v>95830</v>
      </c>
      <c r="G96" s="135">
        <v>95830</v>
      </c>
      <c r="H96" s="135">
        <v>95830</v>
      </c>
      <c r="I96" s="135">
        <v>95830</v>
      </c>
      <c r="J96" s="135">
        <v>95830</v>
      </c>
      <c r="K96" s="759">
        <f>95830+380</f>
        <v>96210</v>
      </c>
      <c r="L96" s="135">
        <f>95830+380</f>
        <v>96210</v>
      </c>
      <c r="M96" s="759">
        <f>95830+380+2000</f>
        <v>98210</v>
      </c>
      <c r="N96" s="135">
        <f>95830+380+2000</f>
        <v>98210</v>
      </c>
      <c r="O96" s="135">
        <f>95830+380+2000</f>
        <v>98210</v>
      </c>
      <c r="P96" s="759">
        <f>95830+380+2000+9885-9885</f>
        <v>98210</v>
      </c>
      <c r="Q96" s="135">
        <f t="shared" ref="Q96:U96" si="87">95830+380+2000+9885-9885</f>
        <v>98210</v>
      </c>
      <c r="R96" s="135">
        <f t="shared" si="87"/>
        <v>98210</v>
      </c>
      <c r="S96" s="135">
        <f t="shared" si="87"/>
        <v>98210</v>
      </c>
      <c r="T96" s="135">
        <f t="shared" si="87"/>
        <v>98210</v>
      </c>
      <c r="U96" s="135">
        <f t="shared" si="87"/>
        <v>98210</v>
      </c>
      <c r="V96" s="135">
        <v>71484</v>
      </c>
      <c r="W96" s="728">
        <f t="shared" si="48"/>
        <v>0.72786885245901645</v>
      </c>
      <c r="X96" s="1"/>
    </row>
    <row r="97" spans="1:24" x14ac:dyDescent="0.25">
      <c r="A97" s="117" t="s">
        <v>89</v>
      </c>
      <c r="B97" s="114" t="s">
        <v>90</v>
      </c>
      <c r="C97" s="148">
        <v>39000</v>
      </c>
      <c r="D97" s="148">
        <v>39000</v>
      </c>
      <c r="E97" s="757">
        <f t="shared" ref="E97:U97" si="88">39000-1575</f>
        <v>37425</v>
      </c>
      <c r="F97" s="148">
        <f t="shared" si="88"/>
        <v>37425</v>
      </c>
      <c r="G97" s="148">
        <f t="shared" si="88"/>
        <v>37425</v>
      </c>
      <c r="H97" s="148">
        <f t="shared" si="88"/>
        <v>37425</v>
      </c>
      <c r="I97" s="148">
        <f t="shared" si="88"/>
        <v>37425</v>
      </c>
      <c r="J97" s="148">
        <f t="shared" si="88"/>
        <v>37425</v>
      </c>
      <c r="K97" s="148">
        <f t="shared" si="88"/>
        <v>37425</v>
      </c>
      <c r="L97" s="148">
        <f t="shared" si="88"/>
        <v>37425</v>
      </c>
      <c r="M97" s="148">
        <f t="shared" si="88"/>
        <v>37425</v>
      </c>
      <c r="N97" s="148">
        <f t="shared" si="88"/>
        <v>37425</v>
      </c>
      <c r="O97" s="148">
        <f t="shared" si="88"/>
        <v>37425</v>
      </c>
      <c r="P97" s="148">
        <f t="shared" si="88"/>
        <v>37425</v>
      </c>
      <c r="Q97" s="148">
        <f t="shared" si="88"/>
        <v>37425</v>
      </c>
      <c r="R97" s="148">
        <f t="shared" si="88"/>
        <v>37425</v>
      </c>
      <c r="S97" s="148">
        <f t="shared" si="88"/>
        <v>37425</v>
      </c>
      <c r="T97" s="148">
        <f t="shared" si="88"/>
        <v>37425</v>
      </c>
      <c r="U97" s="148">
        <f t="shared" si="88"/>
        <v>37425</v>
      </c>
      <c r="V97" s="148">
        <v>28396</v>
      </c>
      <c r="W97" s="728">
        <f t="shared" si="48"/>
        <v>0.75874415497661996</v>
      </c>
      <c r="X97" s="1"/>
    </row>
    <row r="98" spans="1:24" x14ac:dyDescent="0.25">
      <c r="A98" s="127" t="s">
        <v>91</v>
      </c>
      <c r="B98" s="155" t="s">
        <v>92</v>
      </c>
      <c r="C98" s="159">
        <v>2000</v>
      </c>
      <c r="D98" s="159">
        <v>2000</v>
      </c>
      <c r="E98" s="159">
        <v>2000</v>
      </c>
      <c r="F98" s="159">
        <v>2000</v>
      </c>
      <c r="G98" s="159">
        <v>2000</v>
      </c>
      <c r="H98" s="159">
        <v>2000</v>
      </c>
      <c r="I98" s="159">
        <v>2000</v>
      </c>
      <c r="J98" s="159">
        <v>2000</v>
      </c>
      <c r="K98" s="159">
        <v>2000</v>
      </c>
      <c r="L98" s="159">
        <v>2000</v>
      </c>
      <c r="M98" s="159">
        <v>2000</v>
      </c>
      <c r="N98" s="159">
        <v>2000</v>
      </c>
      <c r="O98" s="159">
        <v>2000</v>
      </c>
      <c r="P98" s="159">
        <v>2000</v>
      </c>
      <c r="Q98" s="159">
        <v>2000</v>
      </c>
      <c r="R98" s="159">
        <v>2000</v>
      </c>
      <c r="S98" s="159">
        <v>2000</v>
      </c>
      <c r="T98" s="159">
        <v>2000</v>
      </c>
      <c r="U98" s="159">
        <v>2000</v>
      </c>
      <c r="V98" s="159">
        <v>1778</v>
      </c>
      <c r="W98" s="728">
        <f t="shared" si="48"/>
        <v>0.88900000000000001</v>
      </c>
      <c r="X98" s="1"/>
    </row>
    <row r="99" spans="1:24" ht="15.75" thickBot="1" x14ac:dyDescent="0.3">
      <c r="A99" s="160" t="s">
        <v>93</v>
      </c>
      <c r="B99" s="161" t="s">
        <v>94</v>
      </c>
      <c r="C99" s="170">
        <v>12000</v>
      </c>
      <c r="D99" s="170">
        <v>12000</v>
      </c>
      <c r="E99" s="758">
        <f t="shared" ref="E99:U99" si="89">12000+26185</f>
        <v>38185</v>
      </c>
      <c r="F99" s="170">
        <f t="shared" si="89"/>
        <v>38185</v>
      </c>
      <c r="G99" s="170">
        <f t="shared" si="89"/>
        <v>38185</v>
      </c>
      <c r="H99" s="170">
        <f t="shared" si="89"/>
        <v>38185</v>
      </c>
      <c r="I99" s="170">
        <f t="shared" si="89"/>
        <v>38185</v>
      </c>
      <c r="J99" s="170">
        <f t="shared" si="89"/>
        <v>38185</v>
      </c>
      <c r="K99" s="170">
        <f t="shared" si="89"/>
        <v>38185</v>
      </c>
      <c r="L99" s="170">
        <f t="shared" si="89"/>
        <v>38185</v>
      </c>
      <c r="M99" s="170">
        <f t="shared" si="89"/>
        <v>38185</v>
      </c>
      <c r="N99" s="170">
        <f t="shared" si="89"/>
        <v>38185</v>
      </c>
      <c r="O99" s="170">
        <f t="shared" si="89"/>
        <v>38185</v>
      </c>
      <c r="P99" s="170">
        <f t="shared" si="89"/>
        <v>38185</v>
      </c>
      <c r="Q99" s="170">
        <f t="shared" si="89"/>
        <v>38185</v>
      </c>
      <c r="R99" s="170">
        <f t="shared" si="89"/>
        <v>38185</v>
      </c>
      <c r="S99" s="170">
        <f t="shared" si="89"/>
        <v>38185</v>
      </c>
      <c r="T99" s="170">
        <f t="shared" si="89"/>
        <v>38185</v>
      </c>
      <c r="U99" s="170">
        <f t="shared" si="89"/>
        <v>38185</v>
      </c>
      <c r="V99" s="164">
        <v>20307</v>
      </c>
      <c r="W99" s="728">
        <f t="shared" si="48"/>
        <v>0.53180568285976171</v>
      </c>
      <c r="X99" s="1"/>
    </row>
    <row r="100" spans="1:24" ht="15.75" thickBot="1" x14ac:dyDescent="0.3">
      <c r="A100" s="104" t="s">
        <v>95</v>
      </c>
      <c r="B100" s="140"/>
      <c r="C100" s="106">
        <f t="shared" ref="C100:V100" si="90">SUM(C101:C104)</f>
        <v>222450</v>
      </c>
      <c r="D100" s="106">
        <f t="shared" si="90"/>
        <v>222450</v>
      </c>
      <c r="E100" s="106">
        <f t="shared" si="90"/>
        <v>208450</v>
      </c>
      <c r="F100" s="106">
        <f t="shared" si="90"/>
        <v>208450</v>
      </c>
      <c r="G100" s="106">
        <f t="shared" si="90"/>
        <v>208450</v>
      </c>
      <c r="H100" s="106">
        <f t="shared" si="90"/>
        <v>208450</v>
      </c>
      <c r="I100" s="106">
        <f t="shared" si="90"/>
        <v>208450</v>
      </c>
      <c r="J100" s="106">
        <f t="shared" si="90"/>
        <v>208450</v>
      </c>
      <c r="K100" s="106">
        <f t="shared" si="90"/>
        <v>208450</v>
      </c>
      <c r="L100" s="106">
        <f t="shared" si="90"/>
        <v>206795</v>
      </c>
      <c r="M100" s="106">
        <f t="shared" ref="M100:S100" si="91">SUM(M101:M104)</f>
        <v>207795</v>
      </c>
      <c r="N100" s="106">
        <f t="shared" si="91"/>
        <v>207795</v>
      </c>
      <c r="O100" s="106">
        <f t="shared" si="91"/>
        <v>207795</v>
      </c>
      <c r="P100" s="106">
        <f t="shared" si="91"/>
        <v>207795</v>
      </c>
      <c r="Q100" s="106">
        <f t="shared" si="91"/>
        <v>207795</v>
      </c>
      <c r="R100" s="106">
        <f t="shared" si="91"/>
        <v>207795</v>
      </c>
      <c r="S100" s="106">
        <f t="shared" si="91"/>
        <v>207795</v>
      </c>
      <c r="T100" s="106">
        <f t="shared" ref="T100:U100" si="92">SUM(T101:T104)</f>
        <v>214795</v>
      </c>
      <c r="U100" s="106">
        <f t="shared" si="92"/>
        <v>214795</v>
      </c>
      <c r="V100" s="106">
        <f t="shared" si="90"/>
        <v>127482</v>
      </c>
      <c r="W100" s="728">
        <f t="shared" si="48"/>
        <v>0.59350543541516332</v>
      </c>
      <c r="X100" s="1"/>
    </row>
    <row r="101" spans="1:24" x14ac:dyDescent="0.25">
      <c r="A101" s="141" t="s">
        <v>96</v>
      </c>
      <c r="B101" s="84" t="s">
        <v>97</v>
      </c>
      <c r="C101" s="112">
        <v>168170</v>
      </c>
      <c r="D101" s="112">
        <v>168170</v>
      </c>
      <c r="E101" s="112">
        <v>168170</v>
      </c>
      <c r="F101" s="112">
        <v>168170</v>
      </c>
      <c r="G101" s="112">
        <v>168170</v>
      </c>
      <c r="H101" s="112">
        <v>168170</v>
      </c>
      <c r="I101" s="112">
        <v>168170</v>
      </c>
      <c r="J101" s="112">
        <v>168170</v>
      </c>
      <c r="K101" s="112">
        <v>168170</v>
      </c>
      <c r="L101" s="792">
        <f>168170-1655</f>
        <v>166515</v>
      </c>
      <c r="M101" s="112">
        <f>168170-1655</f>
        <v>166515</v>
      </c>
      <c r="N101" s="112">
        <f>168170-1655</f>
        <v>166515</v>
      </c>
      <c r="O101" s="112">
        <f>168170-1655</f>
        <v>166515</v>
      </c>
      <c r="P101" s="112">
        <f>168170-1655</f>
        <v>166515</v>
      </c>
      <c r="Q101" s="112">
        <f t="shared" ref="Q101:S101" si="93">168170-1655</f>
        <v>166515</v>
      </c>
      <c r="R101" s="112">
        <f t="shared" si="93"/>
        <v>166515</v>
      </c>
      <c r="S101" s="112">
        <f t="shared" si="93"/>
        <v>166515</v>
      </c>
      <c r="T101" s="792">
        <f>168170-1655+7000</f>
        <v>173515</v>
      </c>
      <c r="U101" s="112">
        <f>168170-1655+7000</f>
        <v>173515</v>
      </c>
      <c r="V101" s="112">
        <v>99483</v>
      </c>
      <c r="W101" s="728">
        <f t="shared" si="48"/>
        <v>0.57333948073653573</v>
      </c>
      <c r="X101" s="1"/>
    </row>
    <row r="102" spans="1:24" x14ac:dyDescent="0.25">
      <c r="A102" s="141" t="s">
        <v>301</v>
      </c>
      <c r="B102" s="84" t="s">
        <v>321</v>
      </c>
      <c r="C102" s="112">
        <v>1580</v>
      </c>
      <c r="D102" s="112">
        <v>1580</v>
      </c>
      <c r="E102" s="112">
        <v>1580</v>
      </c>
      <c r="F102" s="112">
        <v>1580</v>
      </c>
      <c r="G102" s="112">
        <v>1580</v>
      </c>
      <c r="H102" s="112">
        <v>1580</v>
      </c>
      <c r="I102" s="112">
        <v>1580</v>
      </c>
      <c r="J102" s="112">
        <v>1580</v>
      </c>
      <c r="K102" s="112">
        <v>1580</v>
      </c>
      <c r="L102" s="112">
        <v>1580</v>
      </c>
      <c r="M102" s="112">
        <v>1580</v>
      </c>
      <c r="N102" s="112">
        <v>1580</v>
      </c>
      <c r="O102" s="112">
        <v>1580</v>
      </c>
      <c r="P102" s="112">
        <v>1580</v>
      </c>
      <c r="Q102" s="112">
        <v>1580</v>
      </c>
      <c r="R102" s="112">
        <v>1580</v>
      </c>
      <c r="S102" s="112">
        <v>1580</v>
      </c>
      <c r="T102" s="112">
        <v>1580</v>
      </c>
      <c r="U102" s="112">
        <v>1580</v>
      </c>
      <c r="V102" s="112">
        <v>0</v>
      </c>
      <c r="W102" s="728">
        <f t="shared" si="48"/>
        <v>0</v>
      </c>
      <c r="X102" s="1"/>
    </row>
    <row r="103" spans="1:24" x14ac:dyDescent="0.25">
      <c r="A103" s="166" t="s">
        <v>98</v>
      </c>
      <c r="B103" s="114" t="s">
        <v>99</v>
      </c>
      <c r="C103" s="148">
        <v>35700</v>
      </c>
      <c r="D103" s="148">
        <v>35700</v>
      </c>
      <c r="E103" s="757">
        <f t="shared" ref="E103:L103" si="94">35700-14000</f>
        <v>21700</v>
      </c>
      <c r="F103" s="148">
        <f t="shared" si="94"/>
        <v>21700</v>
      </c>
      <c r="G103" s="148">
        <f t="shared" si="94"/>
        <v>21700</v>
      </c>
      <c r="H103" s="148">
        <f t="shared" si="94"/>
        <v>21700</v>
      </c>
      <c r="I103" s="148">
        <f t="shared" si="94"/>
        <v>21700</v>
      </c>
      <c r="J103" s="148">
        <f t="shared" si="94"/>
        <v>21700</v>
      </c>
      <c r="K103" s="148">
        <f t="shared" si="94"/>
        <v>21700</v>
      </c>
      <c r="L103" s="148">
        <f t="shared" si="94"/>
        <v>21700</v>
      </c>
      <c r="M103" s="757">
        <f>35700-14000+1000</f>
        <v>22700</v>
      </c>
      <c r="N103" s="148">
        <f>35700-14000+1000</f>
        <v>22700</v>
      </c>
      <c r="O103" s="148">
        <f>35700-14000+1000</f>
        <v>22700</v>
      </c>
      <c r="P103" s="148">
        <f>35700-14000+1000</f>
        <v>22700</v>
      </c>
      <c r="Q103" s="148">
        <f t="shared" ref="Q103:U103" si="95">35700-14000+1000</f>
        <v>22700</v>
      </c>
      <c r="R103" s="148">
        <f t="shared" si="95"/>
        <v>22700</v>
      </c>
      <c r="S103" s="148">
        <f t="shared" si="95"/>
        <v>22700</v>
      </c>
      <c r="T103" s="148">
        <f t="shared" si="95"/>
        <v>22700</v>
      </c>
      <c r="U103" s="148">
        <f t="shared" si="95"/>
        <v>22700</v>
      </c>
      <c r="V103" s="148">
        <v>18069</v>
      </c>
      <c r="W103" s="728">
        <f t="shared" si="48"/>
        <v>0.79599118942731273</v>
      </c>
      <c r="X103" s="1"/>
    </row>
    <row r="104" spans="1:24" ht="15.75" thickBot="1" x14ac:dyDescent="0.3">
      <c r="A104" s="167" t="s">
        <v>100</v>
      </c>
      <c r="B104" s="161" t="s">
        <v>101</v>
      </c>
      <c r="C104" s="170">
        <v>17000</v>
      </c>
      <c r="D104" s="170">
        <v>17000</v>
      </c>
      <c r="E104" s="170">
        <v>17000</v>
      </c>
      <c r="F104" s="170">
        <v>17000</v>
      </c>
      <c r="G104" s="170">
        <v>17000</v>
      </c>
      <c r="H104" s="170">
        <v>17000</v>
      </c>
      <c r="I104" s="170">
        <v>17000</v>
      </c>
      <c r="J104" s="170">
        <v>17000</v>
      </c>
      <c r="K104" s="170">
        <v>17000</v>
      </c>
      <c r="L104" s="170">
        <v>17000</v>
      </c>
      <c r="M104" s="170">
        <v>17000</v>
      </c>
      <c r="N104" s="170">
        <v>17000</v>
      </c>
      <c r="O104" s="170">
        <v>17000</v>
      </c>
      <c r="P104" s="170">
        <v>17000</v>
      </c>
      <c r="Q104" s="170">
        <v>17000</v>
      </c>
      <c r="R104" s="170">
        <v>17000</v>
      </c>
      <c r="S104" s="170">
        <v>17000</v>
      </c>
      <c r="T104" s="170">
        <v>17000</v>
      </c>
      <c r="U104" s="170">
        <v>17000</v>
      </c>
      <c r="V104" s="170">
        <v>9930</v>
      </c>
      <c r="W104" s="728">
        <f t="shared" si="48"/>
        <v>0.58411764705882352</v>
      </c>
      <c r="X104" s="1"/>
    </row>
    <row r="105" spans="1:24" ht="15.75" thickBot="1" x14ac:dyDescent="0.3">
      <c r="A105" s="171" t="s">
        <v>102</v>
      </c>
      <c r="B105" s="172"/>
      <c r="C105" s="173">
        <f t="shared" ref="C105:V105" si="96">SUM(C106:C108)</f>
        <v>850</v>
      </c>
      <c r="D105" s="173">
        <f t="shared" si="96"/>
        <v>850</v>
      </c>
      <c r="E105" s="173">
        <f t="shared" si="96"/>
        <v>850</v>
      </c>
      <c r="F105" s="173">
        <f t="shared" si="96"/>
        <v>850</v>
      </c>
      <c r="G105" s="173">
        <f t="shared" si="96"/>
        <v>850</v>
      </c>
      <c r="H105" s="173">
        <f t="shared" si="96"/>
        <v>850</v>
      </c>
      <c r="I105" s="173">
        <f t="shared" si="96"/>
        <v>850</v>
      </c>
      <c r="J105" s="173">
        <f t="shared" si="96"/>
        <v>850</v>
      </c>
      <c r="K105" s="173">
        <f t="shared" si="96"/>
        <v>850</v>
      </c>
      <c r="L105" s="173">
        <f t="shared" si="96"/>
        <v>850</v>
      </c>
      <c r="M105" s="173">
        <f t="shared" si="96"/>
        <v>850</v>
      </c>
      <c r="N105" s="173">
        <f t="shared" si="96"/>
        <v>850</v>
      </c>
      <c r="O105" s="173">
        <f t="shared" si="96"/>
        <v>850</v>
      </c>
      <c r="P105" s="173">
        <f t="shared" si="96"/>
        <v>850</v>
      </c>
      <c r="Q105" s="173">
        <f t="shared" si="96"/>
        <v>850</v>
      </c>
      <c r="R105" s="173">
        <f t="shared" si="96"/>
        <v>850</v>
      </c>
      <c r="S105" s="173">
        <f t="shared" si="96"/>
        <v>850</v>
      </c>
      <c r="T105" s="173">
        <f t="shared" ref="T105:U105" si="97">SUM(T106:T108)</f>
        <v>850</v>
      </c>
      <c r="U105" s="173">
        <f t="shared" si="97"/>
        <v>850</v>
      </c>
      <c r="V105" s="173">
        <f t="shared" si="96"/>
        <v>537</v>
      </c>
      <c r="W105" s="728">
        <f t="shared" si="48"/>
        <v>0.63176470588235289</v>
      </c>
      <c r="X105" s="1"/>
    </row>
    <row r="106" spans="1:24" x14ac:dyDescent="0.25">
      <c r="A106" s="131" t="s">
        <v>103</v>
      </c>
      <c r="B106" s="150" t="s">
        <v>104</v>
      </c>
      <c r="C106" s="177">
        <v>100</v>
      </c>
      <c r="D106" s="177">
        <v>100</v>
      </c>
      <c r="E106" s="177">
        <v>100</v>
      </c>
      <c r="F106" s="177">
        <v>100</v>
      </c>
      <c r="G106" s="177">
        <v>100</v>
      </c>
      <c r="H106" s="177">
        <v>100</v>
      </c>
      <c r="I106" s="177">
        <v>100</v>
      </c>
      <c r="J106" s="177">
        <v>100</v>
      </c>
      <c r="K106" s="177">
        <v>100</v>
      </c>
      <c r="L106" s="177">
        <v>100</v>
      </c>
      <c r="M106" s="177">
        <v>100</v>
      </c>
      <c r="N106" s="177">
        <v>100</v>
      </c>
      <c r="O106" s="177">
        <v>100</v>
      </c>
      <c r="P106" s="177">
        <v>100</v>
      </c>
      <c r="Q106" s="177">
        <v>100</v>
      </c>
      <c r="R106" s="177">
        <v>100</v>
      </c>
      <c r="S106" s="177">
        <v>100</v>
      </c>
      <c r="T106" s="177">
        <v>100</v>
      </c>
      <c r="U106" s="177">
        <v>100</v>
      </c>
      <c r="V106" s="177">
        <v>43</v>
      </c>
      <c r="W106" s="728">
        <f t="shared" si="48"/>
        <v>0.43</v>
      </c>
      <c r="X106" s="1"/>
    </row>
    <row r="107" spans="1:24" x14ac:dyDescent="0.25">
      <c r="A107" s="166" t="s">
        <v>105</v>
      </c>
      <c r="B107" s="114" t="s">
        <v>106</v>
      </c>
      <c r="C107" s="180">
        <v>100</v>
      </c>
      <c r="D107" s="180">
        <v>100</v>
      </c>
      <c r="E107" s="180">
        <v>100</v>
      </c>
      <c r="F107" s="180">
        <v>100</v>
      </c>
      <c r="G107" s="180">
        <v>100</v>
      </c>
      <c r="H107" s="180">
        <v>100</v>
      </c>
      <c r="I107" s="180">
        <v>100</v>
      </c>
      <c r="J107" s="180">
        <v>100</v>
      </c>
      <c r="K107" s="180">
        <v>100</v>
      </c>
      <c r="L107" s="180">
        <v>100</v>
      </c>
      <c r="M107" s="180">
        <v>100</v>
      </c>
      <c r="N107" s="180">
        <v>100</v>
      </c>
      <c r="O107" s="180">
        <v>100</v>
      </c>
      <c r="P107" s="180">
        <v>100</v>
      </c>
      <c r="Q107" s="180">
        <v>100</v>
      </c>
      <c r="R107" s="180">
        <v>100</v>
      </c>
      <c r="S107" s="180">
        <v>100</v>
      </c>
      <c r="T107" s="180">
        <v>100</v>
      </c>
      <c r="U107" s="180">
        <v>100</v>
      </c>
      <c r="V107" s="180">
        <v>24</v>
      </c>
      <c r="W107" s="728">
        <f t="shared" si="48"/>
        <v>0.24</v>
      </c>
      <c r="X107" s="1"/>
    </row>
    <row r="108" spans="1:24" ht="15.75" thickBot="1" x14ac:dyDescent="0.3">
      <c r="A108" s="720" t="s">
        <v>107</v>
      </c>
      <c r="B108" s="721" t="s">
        <v>108</v>
      </c>
      <c r="C108" s="208">
        <v>650</v>
      </c>
      <c r="D108" s="208">
        <v>650</v>
      </c>
      <c r="E108" s="208">
        <v>650</v>
      </c>
      <c r="F108" s="208">
        <v>650</v>
      </c>
      <c r="G108" s="208">
        <v>650</v>
      </c>
      <c r="H108" s="208">
        <v>650</v>
      </c>
      <c r="I108" s="208">
        <v>650</v>
      </c>
      <c r="J108" s="208">
        <v>650</v>
      </c>
      <c r="K108" s="208">
        <v>650</v>
      </c>
      <c r="L108" s="208">
        <v>650</v>
      </c>
      <c r="M108" s="208">
        <v>650</v>
      </c>
      <c r="N108" s="208">
        <v>650</v>
      </c>
      <c r="O108" s="208">
        <v>650</v>
      </c>
      <c r="P108" s="208">
        <v>650</v>
      </c>
      <c r="Q108" s="208">
        <v>650</v>
      </c>
      <c r="R108" s="208">
        <v>650</v>
      </c>
      <c r="S108" s="208">
        <v>650</v>
      </c>
      <c r="T108" s="208">
        <v>650</v>
      </c>
      <c r="U108" s="208">
        <v>650</v>
      </c>
      <c r="V108" s="208">
        <v>470</v>
      </c>
      <c r="W108" s="728">
        <f t="shared" si="48"/>
        <v>0.72307692307692306</v>
      </c>
      <c r="X108" s="1"/>
    </row>
    <row r="109" spans="1:24" ht="15.75" thickBot="1" x14ac:dyDescent="0.3">
      <c r="A109" s="722" t="s">
        <v>110</v>
      </c>
      <c r="B109" s="105"/>
      <c r="C109" s="106">
        <f t="shared" ref="C109:V109" si="98">SUM(C110:C114)</f>
        <v>131700</v>
      </c>
      <c r="D109" s="106">
        <f t="shared" si="98"/>
        <v>131700</v>
      </c>
      <c r="E109" s="106">
        <f t="shared" si="98"/>
        <v>132000</v>
      </c>
      <c r="F109" s="106">
        <f t="shared" si="98"/>
        <v>132000</v>
      </c>
      <c r="G109" s="106">
        <f t="shared" si="98"/>
        <v>132000</v>
      </c>
      <c r="H109" s="106">
        <f t="shared" si="98"/>
        <v>132000</v>
      </c>
      <c r="I109" s="106">
        <f t="shared" si="98"/>
        <v>138000</v>
      </c>
      <c r="J109" s="106">
        <f t="shared" si="98"/>
        <v>138924</v>
      </c>
      <c r="K109" s="106">
        <f t="shared" si="98"/>
        <v>141924</v>
      </c>
      <c r="L109" s="106">
        <f t="shared" si="98"/>
        <v>149124</v>
      </c>
      <c r="M109" s="106">
        <f t="shared" si="98"/>
        <v>148124</v>
      </c>
      <c r="N109" s="106">
        <f t="shared" si="98"/>
        <v>151124</v>
      </c>
      <c r="O109" s="106">
        <f t="shared" si="98"/>
        <v>151124</v>
      </c>
      <c r="P109" s="106">
        <f t="shared" si="98"/>
        <v>152124</v>
      </c>
      <c r="Q109" s="106">
        <f t="shared" si="98"/>
        <v>152124</v>
      </c>
      <c r="R109" s="106">
        <f t="shared" si="98"/>
        <v>152124</v>
      </c>
      <c r="S109" s="106">
        <f t="shared" si="98"/>
        <v>152124</v>
      </c>
      <c r="T109" s="106">
        <f t="shared" ref="T109:U109" si="99">SUM(T110:T114)</f>
        <v>152124</v>
      </c>
      <c r="U109" s="106">
        <f t="shared" si="99"/>
        <v>177004</v>
      </c>
      <c r="V109" s="106">
        <f t="shared" si="98"/>
        <v>103147</v>
      </c>
      <c r="W109" s="728">
        <f t="shared" si="48"/>
        <v>0.67804554179485155</v>
      </c>
      <c r="X109" s="1"/>
    </row>
    <row r="110" spans="1:24" x14ac:dyDescent="0.25">
      <c r="A110" s="149" t="s">
        <v>111</v>
      </c>
      <c r="B110" s="150" t="s">
        <v>112</v>
      </c>
      <c r="C110" s="135">
        <v>40000</v>
      </c>
      <c r="D110" s="135">
        <v>40000</v>
      </c>
      <c r="E110" s="759">
        <f t="shared" ref="E110:U110" si="100">40000-2000</f>
        <v>38000</v>
      </c>
      <c r="F110" s="135">
        <f t="shared" si="100"/>
        <v>38000</v>
      </c>
      <c r="G110" s="135">
        <f t="shared" si="100"/>
        <v>38000</v>
      </c>
      <c r="H110" s="135">
        <f t="shared" si="100"/>
        <v>38000</v>
      </c>
      <c r="I110" s="135">
        <f t="shared" si="100"/>
        <v>38000</v>
      </c>
      <c r="J110" s="135">
        <f t="shared" si="100"/>
        <v>38000</v>
      </c>
      <c r="K110" s="135">
        <f t="shared" si="100"/>
        <v>38000</v>
      </c>
      <c r="L110" s="135">
        <f t="shared" si="100"/>
        <v>38000</v>
      </c>
      <c r="M110" s="135">
        <f t="shared" si="100"/>
        <v>38000</v>
      </c>
      <c r="N110" s="135">
        <f t="shared" si="100"/>
        <v>38000</v>
      </c>
      <c r="O110" s="135">
        <f t="shared" si="100"/>
        <v>38000</v>
      </c>
      <c r="P110" s="135">
        <f t="shared" si="100"/>
        <v>38000</v>
      </c>
      <c r="Q110" s="135">
        <f t="shared" si="100"/>
        <v>38000</v>
      </c>
      <c r="R110" s="135">
        <f t="shared" si="100"/>
        <v>38000</v>
      </c>
      <c r="S110" s="135">
        <f t="shared" si="100"/>
        <v>38000</v>
      </c>
      <c r="T110" s="135">
        <f t="shared" si="100"/>
        <v>38000</v>
      </c>
      <c r="U110" s="135">
        <f t="shared" si="100"/>
        <v>38000</v>
      </c>
      <c r="V110" s="135">
        <v>32162</v>
      </c>
      <c r="W110" s="728">
        <f t="shared" si="48"/>
        <v>0.84636842105263155</v>
      </c>
      <c r="X110" s="1"/>
    </row>
    <row r="111" spans="1:24" x14ac:dyDescent="0.25">
      <c r="A111" s="192" t="s">
        <v>113</v>
      </c>
      <c r="B111" s="193" t="s">
        <v>114</v>
      </c>
      <c r="C111" s="55">
        <v>61600</v>
      </c>
      <c r="D111" s="55">
        <v>61600</v>
      </c>
      <c r="E111" s="716">
        <f>61600+1700</f>
        <v>63300</v>
      </c>
      <c r="F111" s="55">
        <f>61600+1700</f>
        <v>63300</v>
      </c>
      <c r="G111" s="55">
        <f>61600+1700</f>
        <v>63300</v>
      </c>
      <c r="H111" s="55">
        <f>61600+1700</f>
        <v>63300</v>
      </c>
      <c r="I111" s="716">
        <f>61600+1700+2000+4000</f>
        <v>69300</v>
      </c>
      <c r="J111" s="55">
        <f>61600+1700+2000+4000</f>
        <v>69300</v>
      </c>
      <c r="K111" s="55">
        <f>61600+1700+2000+4000+3000</f>
        <v>72300</v>
      </c>
      <c r="L111" s="716">
        <f>61600+1700+2000+4000+3000+7200</f>
        <v>79500</v>
      </c>
      <c r="M111" s="55">
        <f>61600+1700+2000+4000+3000+7200</f>
        <v>79500</v>
      </c>
      <c r="N111" s="716">
        <f>61600+1700+2000+4000+3000+7200+3000</f>
        <v>82500</v>
      </c>
      <c r="O111" s="55">
        <f>61600+1700+2000+4000+3000+7200+3000</f>
        <v>82500</v>
      </c>
      <c r="P111" s="716">
        <f>61600+1700+2000+4000+3000+7200+3000+1000</f>
        <v>83500</v>
      </c>
      <c r="Q111" s="55">
        <f t="shared" ref="Q111:T111" si="101">61600+1700+2000+4000+3000+7200+3000+1000</f>
        <v>83500</v>
      </c>
      <c r="R111" s="55">
        <f t="shared" si="101"/>
        <v>83500</v>
      </c>
      <c r="S111" s="55">
        <f t="shared" si="101"/>
        <v>83500</v>
      </c>
      <c r="T111" s="55">
        <f t="shared" si="101"/>
        <v>83500</v>
      </c>
      <c r="U111" s="716">
        <f>61600+1700+2000+4000+3000+7200+3000+1000-2170+27050</f>
        <v>108380</v>
      </c>
      <c r="V111" s="55">
        <v>49413</v>
      </c>
      <c r="W111" s="728">
        <f t="shared" si="48"/>
        <v>0.59177245508982035</v>
      </c>
      <c r="X111" s="1"/>
    </row>
    <row r="112" spans="1:24" x14ac:dyDescent="0.25">
      <c r="A112" s="192" t="s">
        <v>115</v>
      </c>
      <c r="B112" s="84" t="s">
        <v>116</v>
      </c>
      <c r="C112" s="55">
        <v>5900</v>
      </c>
      <c r="D112" s="55">
        <v>5900</v>
      </c>
      <c r="E112" s="55">
        <v>5900</v>
      </c>
      <c r="F112" s="55">
        <v>5900</v>
      </c>
      <c r="G112" s="55">
        <v>5900</v>
      </c>
      <c r="H112" s="55">
        <v>5900</v>
      </c>
      <c r="I112" s="55">
        <v>5900</v>
      </c>
      <c r="J112" s="55">
        <v>5900</v>
      </c>
      <c r="K112" s="55">
        <v>5900</v>
      </c>
      <c r="L112" s="55">
        <v>5900</v>
      </c>
      <c r="M112" s="55">
        <v>5900</v>
      </c>
      <c r="N112" s="55">
        <v>5900</v>
      </c>
      <c r="O112" s="55">
        <v>5900</v>
      </c>
      <c r="P112" s="55">
        <v>5900</v>
      </c>
      <c r="Q112" s="55">
        <v>5900</v>
      </c>
      <c r="R112" s="55">
        <v>5900</v>
      </c>
      <c r="S112" s="55">
        <v>5900</v>
      </c>
      <c r="T112" s="55">
        <v>5900</v>
      </c>
      <c r="U112" s="55">
        <v>5900</v>
      </c>
      <c r="V112" s="55">
        <v>4517</v>
      </c>
      <c r="W112" s="728">
        <f t="shared" si="48"/>
        <v>0.76559322033898303</v>
      </c>
      <c r="X112" s="1"/>
    </row>
    <row r="113" spans="1:29" x14ac:dyDescent="0.25">
      <c r="A113" s="192" t="s">
        <v>117</v>
      </c>
      <c r="B113" s="84" t="s">
        <v>118</v>
      </c>
      <c r="C113" s="55">
        <v>22400</v>
      </c>
      <c r="D113" s="55">
        <v>22400</v>
      </c>
      <c r="E113" s="55">
        <v>22400</v>
      </c>
      <c r="F113" s="55">
        <v>22400</v>
      </c>
      <c r="G113" s="55">
        <v>22400</v>
      </c>
      <c r="H113" s="55">
        <v>22400</v>
      </c>
      <c r="I113" s="55">
        <v>22400</v>
      </c>
      <c r="J113" s="55">
        <v>22400</v>
      </c>
      <c r="K113" s="55">
        <v>22400</v>
      </c>
      <c r="L113" s="55">
        <v>22400</v>
      </c>
      <c r="M113" s="716">
        <f>22400-1000</f>
        <v>21400</v>
      </c>
      <c r="N113" s="55">
        <f>22400-1000</f>
        <v>21400</v>
      </c>
      <c r="O113" s="55">
        <f>22400-1000</f>
        <v>21400</v>
      </c>
      <c r="P113" s="55">
        <f>22400-1000</f>
        <v>21400</v>
      </c>
      <c r="Q113" s="55">
        <f t="shared" ref="Q113:U113" si="102">22400-1000</f>
        <v>21400</v>
      </c>
      <c r="R113" s="55">
        <f t="shared" si="102"/>
        <v>21400</v>
      </c>
      <c r="S113" s="55">
        <f t="shared" si="102"/>
        <v>21400</v>
      </c>
      <c r="T113" s="55">
        <f t="shared" si="102"/>
        <v>21400</v>
      </c>
      <c r="U113" s="55">
        <f t="shared" si="102"/>
        <v>21400</v>
      </c>
      <c r="V113" s="55">
        <v>14272</v>
      </c>
      <c r="W113" s="728">
        <f t="shared" si="48"/>
        <v>0.66691588785046729</v>
      </c>
      <c r="X113" s="1"/>
    </row>
    <row r="114" spans="1:29" ht="15.75" thickBot="1" x14ac:dyDescent="0.3">
      <c r="A114" s="160" t="s">
        <v>119</v>
      </c>
      <c r="B114" s="161" t="s">
        <v>120</v>
      </c>
      <c r="C114" s="182">
        <v>1800</v>
      </c>
      <c r="D114" s="182">
        <v>1800</v>
      </c>
      <c r="E114" s="764">
        <f>1800+100+500</f>
        <v>2400</v>
      </c>
      <c r="F114" s="182">
        <f>1800+100+500</f>
        <v>2400</v>
      </c>
      <c r="G114" s="182">
        <f>1800+100+500</f>
        <v>2400</v>
      </c>
      <c r="H114" s="182">
        <f>1800+100+500</f>
        <v>2400</v>
      </c>
      <c r="I114" s="182">
        <f>1800+100+500</f>
        <v>2400</v>
      </c>
      <c r="J114" s="764">
        <f t="shared" ref="J114:U114" si="103">1800+100+500+924</f>
        <v>3324</v>
      </c>
      <c r="K114" s="182">
        <f t="shared" si="103"/>
        <v>3324</v>
      </c>
      <c r="L114" s="182">
        <f t="shared" si="103"/>
        <v>3324</v>
      </c>
      <c r="M114" s="182">
        <f t="shared" si="103"/>
        <v>3324</v>
      </c>
      <c r="N114" s="182">
        <f t="shared" si="103"/>
        <v>3324</v>
      </c>
      <c r="O114" s="182">
        <f t="shared" si="103"/>
        <v>3324</v>
      </c>
      <c r="P114" s="182">
        <f t="shared" si="103"/>
        <v>3324</v>
      </c>
      <c r="Q114" s="182">
        <f t="shared" si="103"/>
        <v>3324</v>
      </c>
      <c r="R114" s="182">
        <f t="shared" si="103"/>
        <v>3324</v>
      </c>
      <c r="S114" s="182">
        <f t="shared" si="103"/>
        <v>3324</v>
      </c>
      <c r="T114" s="182">
        <f t="shared" si="103"/>
        <v>3324</v>
      </c>
      <c r="U114" s="182">
        <f t="shared" si="103"/>
        <v>3324</v>
      </c>
      <c r="V114" s="182">
        <v>2783</v>
      </c>
      <c r="W114" s="728">
        <f t="shared" si="48"/>
        <v>0.83724428399518647</v>
      </c>
      <c r="X114" s="1"/>
    </row>
    <row r="115" spans="1:29" ht="15.75" thickBot="1" x14ac:dyDescent="0.3">
      <c r="A115" s="125" t="s">
        <v>121</v>
      </c>
      <c r="B115" s="126"/>
      <c r="C115" s="106">
        <f t="shared" ref="C115:J115" si="104">SUM(C116:C123)</f>
        <v>394150</v>
      </c>
      <c r="D115" s="106">
        <f t="shared" si="104"/>
        <v>393973</v>
      </c>
      <c r="E115" s="106">
        <f t="shared" si="104"/>
        <v>402673</v>
      </c>
      <c r="F115" s="106">
        <f t="shared" si="104"/>
        <v>406536</v>
      </c>
      <c r="G115" s="106">
        <f t="shared" si="104"/>
        <v>411836</v>
      </c>
      <c r="H115" s="106">
        <f t="shared" si="104"/>
        <v>411836</v>
      </c>
      <c r="I115" s="106">
        <f t="shared" si="104"/>
        <v>413558</v>
      </c>
      <c r="J115" s="106">
        <f t="shared" si="104"/>
        <v>413558</v>
      </c>
      <c r="K115" s="106">
        <f t="shared" ref="K115:S115" si="105">SUM(K116:K123)</f>
        <v>421185</v>
      </c>
      <c r="L115" s="106">
        <f t="shared" si="105"/>
        <v>421185</v>
      </c>
      <c r="M115" s="106">
        <f t="shared" si="105"/>
        <v>421185</v>
      </c>
      <c r="N115" s="106">
        <f t="shared" si="105"/>
        <v>421185</v>
      </c>
      <c r="O115" s="106">
        <f t="shared" si="105"/>
        <v>424248</v>
      </c>
      <c r="P115" s="106">
        <f t="shared" si="105"/>
        <v>424248</v>
      </c>
      <c r="Q115" s="106">
        <f t="shared" si="105"/>
        <v>424248</v>
      </c>
      <c r="R115" s="106">
        <f t="shared" si="105"/>
        <v>427522</v>
      </c>
      <c r="S115" s="106">
        <f t="shared" si="105"/>
        <v>436550</v>
      </c>
      <c r="T115" s="106">
        <f t="shared" ref="T115:U115" si="106">SUM(T116:T123)</f>
        <v>436550</v>
      </c>
      <c r="U115" s="106">
        <f t="shared" si="106"/>
        <v>436900</v>
      </c>
      <c r="V115" s="106">
        <f>SUM(V116:V123)</f>
        <v>262593</v>
      </c>
      <c r="W115" s="728">
        <f t="shared" si="48"/>
        <v>0.60151872637727632</v>
      </c>
      <c r="X115" s="1"/>
      <c r="Y115" s="27"/>
      <c r="Z115" s="27"/>
    </row>
    <row r="116" spans="1:29" x14ac:dyDescent="0.25">
      <c r="A116" s="196" t="s">
        <v>122</v>
      </c>
      <c r="B116" s="197" t="s">
        <v>123</v>
      </c>
      <c r="C116" s="201">
        <v>200400</v>
      </c>
      <c r="D116" s="715">
        <f>200400+3</f>
        <v>200403</v>
      </c>
      <c r="E116" s="715">
        <f>200400+3+5000</f>
        <v>205403</v>
      </c>
      <c r="F116" s="715">
        <f>200400+3+5000+3863</f>
        <v>209266</v>
      </c>
      <c r="G116" s="201">
        <f>200400+3+5000+3863</f>
        <v>209266</v>
      </c>
      <c r="H116" s="201">
        <f>200400+3+5000+3863</f>
        <v>209266</v>
      </c>
      <c r="I116" s="715">
        <f>200400+3+5000+3863+1722</f>
        <v>210988</v>
      </c>
      <c r="J116" s="201">
        <f>200400+3+5000+3863+1722</f>
        <v>210988</v>
      </c>
      <c r="K116" s="715">
        <f>200400+3+5000+3863+1722+7627</f>
        <v>218615</v>
      </c>
      <c r="L116" s="201">
        <f>200400+3+5000+3863+1722+7627</f>
        <v>218615</v>
      </c>
      <c r="M116" s="201">
        <f>200400+3+5000+3863+1722+7627</f>
        <v>218615</v>
      </c>
      <c r="N116" s="201">
        <f>200400+3+5000+3863+1722+7627</f>
        <v>218615</v>
      </c>
      <c r="O116" s="715">
        <f>200400+3+5000+3863+1722+7627+3063</f>
        <v>221678</v>
      </c>
      <c r="P116" s="201">
        <f>200400+3+5000+3863+1722+7627+3063</f>
        <v>221678</v>
      </c>
      <c r="Q116" s="201">
        <f t="shared" ref="Q116" si="107">200400+3+5000+3863+1722+7627+3063</f>
        <v>221678</v>
      </c>
      <c r="R116" s="715">
        <f>200400+3+5000+3863+1722+7627+3063+3274</f>
        <v>224952</v>
      </c>
      <c r="S116" s="715">
        <f>200400+3+5000+3863+1722+7627+3063+3274+7467</f>
        <v>232419</v>
      </c>
      <c r="T116" s="201">
        <f>200400+3+5000+3863+1722+7627+3063+3274+7467</f>
        <v>232419</v>
      </c>
      <c r="U116" s="715">
        <f>200400+3+5000+3863+1722+7627+3063+3274+7467+350</f>
        <v>232769</v>
      </c>
      <c r="V116" s="201">
        <v>150273</v>
      </c>
      <c r="W116" s="728">
        <f t="shared" si="48"/>
        <v>0.64656073728912011</v>
      </c>
      <c r="X116" s="1"/>
    </row>
    <row r="117" spans="1:29" x14ac:dyDescent="0.25">
      <c r="A117" s="578" t="s">
        <v>124</v>
      </c>
      <c r="B117" s="142" t="s">
        <v>340</v>
      </c>
      <c r="C117" s="56">
        <v>0</v>
      </c>
      <c r="D117" s="56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v>0</v>
      </c>
      <c r="J117" s="56">
        <v>0</v>
      </c>
      <c r="K117" s="56">
        <v>0</v>
      </c>
      <c r="L117" s="56">
        <v>0</v>
      </c>
      <c r="M117" s="56">
        <v>0</v>
      </c>
      <c r="N117" s="56">
        <v>0</v>
      </c>
      <c r="O117" s="56">
        <v>0</v>
      </c>
      <c r="P117" s="56">
        <v>0</v>
      </c>
      <c r="Q117" s="56">
        <v>0</v>
      </c>
      <c r="R117" s="56">
        <v>0</v>
      </c>
      <c r="S117" s="56">
        <v>0</v>
      </c>
      <c r="T117" s="56">
        <v>0</v>
      </c>
      <c r="U117" s="56">
        <v>0</v>
      </c>
      <c r="V117" s="56">
        <v>0</v>
      </c>
      <c r="W117" s="728">
        <v>0</v>
      </c>
      <c r="X117" s="1"/>
    </row>
    <row r="118" spans="1:29" x14ac:dyDescent="0.25">
      <c r="A118" s="202" t="s">
        <v>125</v>
      </c>
      <c r="B118" s="203" t="s">
        <v>512</v>
      </c>
      <c r="C118" s="61">
        <v>6500</v>
      </c>
      <c r="D118" s="61">
        <v>6500</v>
      </c>
      <c r="E118" s="695">
        <f>6500+3700</f>
        <v>10200</v>
      </c>
      <c r="F118" s="61">
        <f>6500+3700</f>
        <v>10200</v>
      </c>
      <c r="G118" s="695">
        <f t="shared" ref="G118:U118" si="108">6500+3700+5300</f>
        <v>15500</v>
      </c>
      <c r="H118" s="61">
        <f t="shared" si="108"/>
        <v>15500</v>
      </c>
      <c r="I118" s="61">
        <f t="shared" si="108"/>
        <v>15500</v>
      </c>
      <c r="J118" s="61">
        <f t="shared" si="108"/>
        <v>15500</v>
      </c>
      <c r="K118" s="61">
        <f t="shared" si="108"/>
        <v>15500</v>
      </c>
      <c r="L118" s="61">
        <f t="shared" si="108"/>
        <v>15500</v>
      </c>
      <c r="M118" s="61">
        <f t="shared" si="108"/>
        <v>15500</v>
      </c>
      <c r="N118" s="61">
        <f t="shared" si="108"/>
        <v>15500</v>
      </c>
      <c r="O118" s="61">
        <f t="shared" si="108"/>
        <v>15500</v>
      </c>
      <c r="P118" s="61">
        <f t="shared" si="108"/>
        <v>15500</v>
      </c>
      <c r="Q118" s="61">
        <f t="shared" si="108"/>
        <v>15500</v>
      </c>
      <c r="R118" s="61">
        <f t="shared" si="108"/>
        <v>15500</v>
      </c>
      <c r="S118" s="61">
        <f t="shared" si="108"/>
        <v>15500</v>
      </c>
      <c r="T118" s="61">
        <f t="shared" si="108"/>
        <v>15500</v>
      </c>
      <c r="U118" s="61">
        <f t="shared" si="108"/>
        <v>15500</v>
      </c>
      <c r="V118" s="61">
        <v>5895</v>
      </c>
      <c r="W118" s="728">
        <f t="shared" si="48"/>
        <v>0.38032258064516128</v>
      </c>
      <c r="X118" s="1"/>
    </row>
    <row r="119" spans="1:29" x14ac:dyDescent="0.25">
      <c r="A119" s="202" t="s">
        <v>127</v>
      </c>
      <c r="B119" s="203" t="s">
        <v>128</v>
      </c>
      <c r="C119" s="61">
        <v>36200</v>
      </c>
      <c r="D119" s="61">
        <v>36200</v>
      </c>
      <c r="E119" s="61">
        <v>36200</v>
      </c>
      <c r="F119" s="61">
        <v>36200</v>
      </c>
      <c r="G119" s="61">
        <v>36200</v>
      </c>
      <c r="H119" s="61">
        <v>36200</v>
      </c>
      <c r="I119" s="61">
        <v>36200</v>
      </c>
      <c r="J119" s="61">
        <v>36200</v>
      </c>
      <c r="K119" s="61">
        <v>36200</v>
      </c>
      <c r="L119" s="61">
        <v>36200</v>
      </c>
      <c r="M119" s="61">
        <v>36200</v>
      </c>
      <c r="N119" s="61">
        <v>36200</v>
      </c>
      <c r="O119" s="61">
        <v>36200</v>
      </c>
      <c r="P119" s="61">
        <v>36200</v>
      </c>
      <c r="Q119" s="61">
        <v>36200</v>
      </c>
      <c r="R119" s="61">
        <v>36200</v>
      </c>
      <c r="S119" s="61">
        <v>36200</v>
      </c>
      <c r="T119" s="61">
        <v>36200</v>
      </c>
      <c r="U119" s="61">
        <v>36200</v>
      </c>
      <c r="V119" s="61">
        <v>21541</v>
      </c>
      <c r="W119" s="728">
        <f t="shared" si="48"/>
        <v>0.59505524861878456</v>
      </c>
      <c r="X119" s="1"/>
    </row>
    <row r="120" spans="1:29" x14ac:dyDescent="0.25">
      <c r="A120" s="202" t="s">
        <v>129</v>
      </c>
      <c r="B120" s="203" t="s">
        <v>130</v>
      </c>
      <c r="C120" s="60">
        <v>53850</v>
      </c>
      <c r="D120" s="60">
        <v>53850</v>
      </c>
      <c r="E120" s="60">
        <v>53850</v>
      </c>
      <c r="F120" s="60">
        <v>53850</v>
      </c>
      <c r="G120" s="60">
        <v>53850</v>
      </c>
      <c r="H120" s="60">
        <v>53850</v>
      </c>
      <c r="I120" s="60">
        <v>53850</v>
      </c>
      <c r="J120" s="60">
        <v>53850</v>
      </c>
      <c r="K120" s="60">
        <v>53850</v>
      </c>
      <c r="L120" s="60">
        <v>53850</v>
      </c>
      <c r="M120" s="60">
        <v>53850</v>
      </c>
      <c r="N120" s="60">
        <v>53850</v>
      </c>
      <c r="O120" s="60">
        <v>53850</v>
      </c>
      <c r="P120" s="60">
        <v>53850</v>
      </c>
      <c r="Q120" s="60">
        <v>53850</v>
      </c>
      <c r="R120" s="60">
        <v>53850</v>
      </c>
      <c r="S120" s="60">
        <v>53850</v>
      </c>
      <c r="T120" s="60">
        <v>53850</v>
      </c>
      <c r="U120" s="60">
        <v>53850</v>
      </c>
      <c r="V120" s="60">
        <v>25965</v>
      </c>
      <c r="W120" s="728">
        <f t="shared" si="48"/>
        <v>0.48217270194986073</v>
      </c>
      <c r="X120" s="1"/>
      <c r="Y120" s="381"/>
      <c r="Z120" s="381"/>
      <c r="AC120" s="475"/>
    </row>
    <row r="121" spans="1:29" x14ac:dyDescent="0.25">
      <c r="A121" s="202" t="s">
        <v>131</v>
      </c>
      <c r="B121" s="203" t="s">
        <v>888</v>
      </c>
      <c r="C121" s="60">
        <v>94600</v>
      </c>
      <c r="D121" s="694">
        <f t="shared" ref="D121:R121" si="109">94600-160</f>
        <v>94440</v>
      </c>
      <c r="E121" s="60">
        <f t="shared" si="109"/>
        <v>94440</v>
      </c>
      <c r="F121" s="60">
        <f t="shared" si="109"/>
        <v>94440</v>
      </c>
      <c r="G121" s="60">
        <f t="shared" si="109"/>
        <v>94440</v>
      </c>
      <c r="H121" s="60">
        <f t="shared" si="109"/>
        <v>94440</v>
      </c>
      <c r="I121" s="60">
        <f t="shared" si="109"/>
        <v>94440</v>
      </c>
      <c r="J121" s="60">
        <f t="shared" si="109"/>
        <v>94440</v>
      </c>
      <c r="K121" s="60">
        <f t="shared" si="109"/>
        <v>94440</v>
      </c>
      <c r="L121" s="60">
        <f t="shared" si="109"/>
        <v>94440</v>
      </c>
      <c r="M121" s="60">
        <f t="shared" si="109"/>
        <v>94440</v>
      </c>
      <c r="N121" s="60">
        <f t="shared" si="109"/>
        <v>94440</v>
      </c>
      <c r="O121" s="60">
        <f t="shared" si="109"/>
        <v>94440</v>
      </c>
      <c r="P121" s="60">
        <f t="shared" si="109"/>
        <v>94440</v>
      </c>
      <c r="Q121" s="60">
        <f t="shared" si="109"/>
        <v>94440</v>
      </c>
      <c r="R121" s="60">
        <f t="shared" si="109"/>
        <v>94440</v>
      </c>
      <c r="S121" s="694">
        <f>94600-160+1561</f>
        <v>96001</v>
      </c>
      <c r="T121" s="60">
        <f>94600-160+1561</f>
        <v>96001</v>
      </c>
      <c r="U121" s="60">
        <f>94600-160+1561</f>
        <v>96001</v>
      </c>
      <c r="V121" s="60">
        <v>57962</v>
      </c>
      <c r="W121" s="728">
        <f t="shared" si="48"/>
        <v>0.60376454411933211</v>
      </c>
      <c r="X121" s="27">
        <f>SUM(T119:T121)</f>
        <v>186051</v>
      </c>
      <c r="Y121" s="27">
        <f>SUM(V119:V121)</f>
        <v>105468</v>
      </c>
      <c r="Z121" s="27"/>
    </row>
    <row r="122" spans="1:29" x14ac:dyDescent="0.25">
      <c r="A122" s="204" t="s">
        <v>132</v>
      </c>
      <c r="B122" s="203" t="s">
        <v>309</v>
      </c>
      <c r="C122" s="208">
        <v>1300</v>
      </c>
      <c r="D122" s="208">
        <v>1300</v>
      </c>
      <c r="E122" s="208">
        <v>1300</v>
      </c>
      <c r="F122" s="208">
        <v>1300</v>
      </c>
      <c r="G122" s="208">
        <v>1300</v>
      </c>
      <c r="H122" s="208">
        <v>1300</v>
      </c>
      <c r="I122" s="208">
        <v>1300</v>
      </c>
      <c r="J122" s="208">
        <v>1300</v>
      </c>
      <c r="K122" s="208">
        <v>1300</v>
      </c>
      <c r="L122" s="208">
        <v>1300</v>
      </c>
      <c r="M122" s="208">
        <v>1300</v>
      </c>
      <c r="N122" s="208">
        <v>1300</v>
      </c>
      <c r="O122" s="208">
        <v>1300</v>
      </c>
      <c r="P122" s="208">
        <v>1300</v>
      </c>
      <c r="Q122" s="208">
        <v>1300</v>
      </c>
      <c r="R122" s="208">
        <v>1300</v>
      </c>
      <c r="S122" s="208">
        <v>1300</v>
      </c>
      <c r="T122" s="208">
        <v>1300</v>
      </c>
      <c r="U122" s="208">
        <v>1300</v>
      </c>
      <c r="V122" s="208">
        <v>482</v>
      </c>
      <c r="W122" s="728">
        <f t="shared" si="48"/>
        <v>0.3707692307692308</v>
      </c>
      <c r="X122" s="1"/>
    </row>
    <row r="123" spans="1:29" ht="15.75" thickBot="1" x14ac:dyDescent="0.3">
      <c r="A123" s="202" t="s">
        <v>133</v>
      </c>
      <c r="B123" s="203" t="s">
        <v>207</v>
      </c>
      <c r="C123" s="208">
        <v>1300</v>
      </c>
      <c r="D123" s="723">
        <f t="shared" ref="D123:U123" si="110">1300-20</f>
        <v>1280</v>
      </c>
      <c r="E123" s="208">
        <f t="shared" si="110"/>
        <v>1280</v>
      </c>
      <c r="F123" s="208">
        <f t="shared" si="110"/>
        <v>1280</v>
      </c>
      <c r="G123" s="208">
        <f t="shared" si="110"/>
        <v>1280</v>
      </c>
      <c r="H123" s="208">
        <f t="shared" si="110"/>
        <v>1280</v>
      </c>
      <c r="I123" s="208">
        <f t="shared" si="110"/>
        <v>1280</v>
      </c>
      <c r="J123" s="208">
        <f t="shared" si="110"/>
        <v>1280</v>
      </c>
      <c r="K123" s="208">
        <f t="shared" si="110"/>
        <v>1280</v>
      </c>
      <c r="L123" s="208">
        <f t="shared" si="110"/>
        <v>1280</v>
      </c>
      <c r="M123" s="208">
        <f t="shared" si="110"/>
        <v>1280</v>
      </c>
      <c r="N123" s="208">
        <f t="shared" si="110"/>
        <v>1280</v>
      </c>
      <c r="O123" s="208">
        <f t="shared" si="110"/>
        <v>1280</v>
      </c>
      <c r="P123" s="208">
        <f t="shared" si="110"/>
        <v>1280</v>
      </c>
      <c r="Q123" s="208">
        <f t="shared" si="110"/>
        <v>1280</v>
      </c>
      <c r="R123" s="208">
        <f t="shared" si="110"/>
        <v>1280</v>
      </c>
      <c r="S123" s="208">
        <f t="shared" si="110"/>
        <v>1280</v>
      </c>
      <c r="T123" s="208">
        <f t="shared" si="110"/>
        <v>1280</v>
      </c>
      <c r="U123" s="208">
        <f t="shared" si="110"/>
        <v>1280</v>
      </c>
      <c r="V123" s="208">
        <v>475</v>
      </c>
      <c r="W123" s="728">
        <f t="shared" si="48"/>
        <v>0.37109375</v>
      </c>
      <c r="X123" s="1"/>
    </row>
    <row r="124" spans="1:29" ht="15.75" thickBot="1" x14ac:dyDescent="0.3">
      <c r="A124" s="104" t="s">
        <v>134</v>
      </c>
      <c r="B124" s="105"/>
      <c r="C124" s="108">
        <f t="shared" ref="C124:V124" si="111">SUM(C125:C129)</f>
        <v>482770</v>
      </c>
      <c r="D124" s="108">
        <f t="shared" si="111"/>
        <v>485270</v>
      </c>
      <c r="E124" s="108">
        <f t="shared" si="111"/>
        <v>485270</v>
      </c>
      <c r="F124" s="108">
        <f t="shared" si="111"/>
        <v>485270</v>
      </c>
      <c r="G124" s="108">
        <f t="shared" si="111"/>
        <v>485270</v>
      </c>
      <c r="H124" s="108">
        <f t="shared" si="111"/>
        <v>485270</v>
      </c>
      <c r="I124" s="108">
        <f t="shared" si="111"/>
        <v>485850</v>
      </c>
      <c r="J124" s="108">
        <f t="shared" si="111"/>
        <v>485850</v>
      </c>
      <c r="K124" s="108">
        <f t="shared" si="111"/>
        <v>485850</v>
      </c>
      <c r="L124" s="108">
        <f t="shared" si="111"/>
        <v>481850</v>
      </c>
      <c r="M124" s="108">
        <f t="shared" si="111"/>
        <v>481850</v>
      </c>
      <c r="N124" s="108">
        <f t="shared" si="111"/>
        <v>490190</v>
      </c>
      <c r="O124" s="108">
        <f t="shared" si="111"/>
        <v>490190</v>
      </c>
      <c r="P124" s="108">
        <f t="shared" si="111"/>
        <v>490790</v>
      </c>
      <c r="Q124" s="108">
        <f t="shared" si="111"/>
        <v>490790</v>
      </c>
      <c r="R124" s="108">
        <f t="shared" si="111"/>
        <v>490790</v>
      </c>
      <c r="S124" s="108">
        <f t="shared" si="111"/>
        <v>490790</v>
      </c>
      <c r="T124" s="108">
        <f t="shared" ref="T124:U124" si="112">SUM(T125:T129)</f>
        <v>490790</v>
      </c>
      <c r="U124" s="108">
        <f t="shared" si="112"/>
        <v>495595</v>
      </c>
      <c r="V124" s="108">
        <f t="shared" si="111"/>
        <v>303814</v>
      </c>
      <c r="W124" s="728">
        <f t="shared" si="48"/>
        <v>0.61903054259459234</v>
      </c>
      <c r="X124" s="1"/>
    </row>
    <row r="125" spans="1:29" x14ac:dyDescent="0.25">
      <c r="A125" s="192" t="s">
        <v>135</v>
      </c>
      <c r="B125" s="84" t="s">
        <v>220</v>
      </c>
      <c r="C125" s="55">
        <v>392070</v>
      </c>
      <c r="D125" s="716">
        <f t="shared" ref="D125:K125" si="113">392070-1998</f>
        <v>390072</v>
      </c>
      <c r="E125" s="55">
        <f t="shared" si="113"/>
        <v>390072</v>
      </c>
      <c r="F125" s="55">
        <f t="shared" si="113"/>
        <v>390072</v>
      </c>
      <c r="G125" s="55">
        <f t="shared" si="113"/>
        <v>390072</v>
      </c>
      <c r="H125" s="55">
        <f t="shared" si="113"/>
        <v>390072</v>
      </c>
      <c r="I125" s="55">
        <f t="shared" si="113"/>
        <v>390072</v>
      </c>
      <c r="J125" s="55">
        <f t="shared" si="113"/>
        <v>390072</v>
      </c>
      <c r="K125" s="55">
        <f t="shared" si="113"/>
        <v>390072</v>
      </c>
      <c r="L125" s="716">
        <f>392070-1998-4000</f>
        <v>386072</v>
      </c>
      <c r="M125" s="55">
        <f>392070-1998-4000</f>
        <v>386072</v>
      </c>
      <c r="N125" s="716">
        <f>392070-1998-4000+7770</f>
        <v>393842</v>
      </c>
      <c r="O125" s="55">
        <f>392070-1998-4000+7770</f>
        <v>393842</v>
      </c>
      <c r="P125" s="716">
        <f>392070-1998-4000+7770+2000-2000</f>
        <v>393842</v>
      </c>
      <c r="Q125" s="716">
        <f>392070-1998-4000+7770+2000-2000-14300+14300</f>
        <v>393842</v>
      </c>
      <c r="R125" s="55">
        <f>392070-1998-4000+7770+2000-2000-14300+14300</f>
        <v>393842</v>
      </c>
      <c r="S125" s="55">
        <f>392070-1998-4000+7770+2000-2000-14300+14300</f>
        <v>393842</v>
      </c>
      <c r="T125" s="55">
        <f>392070-1998-4000+7770+2000-2000-14300+14300</f>
        <v>393842</v>
      </c>
      <c r="U125" s="716">
        <f>392070-1998-4000+7770+2000-2000-14300+14300+4805</f>
        <v>398647</v>
      </c>
      <c r="V125" s="55">
        <v>240805</v>
      </c>
      <c r="W125" s="728">
        <f t="shared" si="48"/>
        <v>0.61142539393970174</v>
      </c>
      <c r="X125" s="1"/>
    </row>
    <row r="126" spans="1:29" x14ac:dyDescent="0.25">
      <c r="A126" s="192" t="s">
        <v>136</v>
      </c>
      <c r="B126" s="84" t="s">
        <v>137</v>
      </c>
      <c r="C126" s="55">
        <v>73400</v>
      </c>
      <c r="D126" s="716">
        <f t="shared" ref="D126:H126" si="114">73400+3781</f>
        <v>77181</v>
      </c>
      <c r="E126" s="55">
        <f t="shared" si="114"/>
        <v>77181</v>
      </c>
      <c r="F126" s="55">
        <f t="shared" si="114"/>
        <v>77181</v>
      </c>
      <c r="G126" s="55">
        <f t="shared" si="114"/>
        <v>77181</v>
      </c>
      <c r="H126" s="55">
        <f t="shared" si="114"/>
        <v>77181</v>
      </c>
      <c r="I126" s="716">
        <f t="shared" ref="I126:O126" si="115">73400+3781+580</f>
        <v>77761</v>
      </c>
      <c r="J126" s="55">
        <f t="shared" si="115"/>
        <v>77761</v>
      </c>
      <c r="K126" s="55">
        <f t="shared" si="115"/>
        <v>77761</v>
      </c>
      <c r="L126" s="55">
        <f t="shared" si="115"/>
        <v>77761</v>
      </c>
      <c r="M126" s="55">
        <f t="shared" si="115"/>
        <v>77761</v>
      </c>
      <c r="N126" s="55">
        <f t="shared" si="115"/>
        <v>77761</v>
      </c>
      <c r="O126" s="55">
        <f t="shared" si="115"/>
        <v>77761</v>
      </c>
      <c r="P126" s="716">
        <f>73400+3781+580+600</f>
        <v>78361</v>
      </c>
      <c r="Q126" s="55">
        <f t="shared" ref="Q126:U126" si="116">73400+3781+580+600</f>
        <v>78361</v>
      </c>
      <c r="R126" s="55">
        <f t="shared" si="116"/>
        <v>78361</v>
      </c>
      <c r="S126" s="55">
        <f t="shared" si="116"/>
        <v>78361</v>
      </c>
      <c r="T126" s="55">
        <f t="shared" si="116"/>
        <v>78361</v>
      </c>
      <c r="U126" s="55">
        <f t="shared" si="116"/>
        <v>78361</v>
      </c>
      <c r="V126" s="55">
        <v>50290</v>
      </c>
      <c r="W126" s="728">
        <f t="shared" si="48"/>
        <v>0.6417733311213486</v>
      </c>
      <c r="X126" s="1"/>
    </row>
    <row r="127" spans="1:29" x14ac:dyDescent="0.25">
      <c r="A127" s="117" t="s">
        <v>138</v>
      </c>
      <c r="B127" s="114" t="s">
        <v>139</v>
      </c>
      <c r="C127" s="60">
        <v>16300</v>
      </c>
      <c r="D127" s="694">
        <f t="shared" ref="D127:M127" si="117">16300+717</f>
        <v>17017</v>
      </c>
      <c r="E127" s="60">
        <f t="shared" si="117"/>
        <v>17017</v>
      </c>
      <c r="F127" s="60">
        <f t="shared" si="117"/>
        <v>17017</v>
      </c>
      <c r="G127" s="60">
        <f t="shared" si="117"/>
        <v>17017</v>
      </c>
      <c r="H127" s="60">
        <f t="shared" si="117"/>
        <v>17017</v>
      </c>
      <c r="I127" s="60">
        <f t="shared" si="117"/>
        <v>17017</v>
      </c>
      <c r="J127" s="60">
        <f t="shared" si="117"/>
        <v>17017</v>
      </c>
      <c r="K127" s="60">
        <f t="shared" si="117"/>
        <v>17017</v>
      </c>
      <c r="L127" s="60">
        <f t="shared" si="117"/>
        <v>17017</v>
      </c>
      <c r="M127" s="60">
        <f t="shared" si="117"/>
        <v>17017</v>
      </c>
      <c r="N127" s="694">
        <f>16300+717+570</f>
        <v>17587</v>
      </c>
      <c r="O127" s="60">
        <f>16300+717+570</f>
        <v>17587</v>
      </c>
      <c r="P127" s="60">
        <f>16300+717+570</f>
        <v>17587</v>
      </c>
      <c r="Q127" s="60">
        <f t="shared" ref="Q127:U127" si="118">16300+717+570</f>
        <v>17587</v>
      </c>
      <c r="R127" s="60">
        <f t="shared" si="118"/>
        <v>17587</v>
      </c>
      <c r="S127" s="60">
        <f t="shared" si="118"/>
        <v>17587</v>
      </c>
      <c r="T127" s="60">
        <f t="shared" si="118"/>
        <v>17587</v>
      </c>
      <c r="U127" s="60">
        <f t="shared" si="118"/>
        <v>17587</v>
      </c>
      <c r="V127" s="60">
        <v>12719</v>
      </c>
      <c r="W127" s="728">
        <f t="shared" si="48"/>
        <v>0.72320463979075456</v>
      </c>
      <c r="X127" s="1"/>
    </row>
    <row r="128" spans="1:29" x14ac:dyDescent="0.25">
      <c r="A128" s="117" t="s">
        <v>140</v>
      </c>
      <c r="B128" s="114" t="s">
        <v>141</v>
      </c>
      <c r="C128" s="60">
        <v>500</v>
      </c>
      <c r="D128" s="60">
        <v>500</v>
      </c>
      <c r="E128" s="60">
        <v>500</v>
      </c>
      <c r="F128" s="60">
        <v>500</v>
      </c>
      <c r="G128" s="60">
        <v>500</v>
      </c>
      <c r="H128" s="60">
        <v>500</v>
      </c>
      <c r="I128" s="60">
        <v>500</v>
      </c>
      <c r="J128" s="60">
        <v>500</v>
      </c>
      <c r="K128" s="60">
        <v>500</v>
      </c>
      <c r="L128" s="60">
        <v>500</v>
      </c>
      <c r="M128" s="60">
        <v>500</v>
      </c>
      <c r="N128" s="60">
        <v>500</v>
      </c>
      <c r="O128" s="60">
        <v>500</v>
      </c>
      <c r="P128" s="60">
        <v>500</v>
      </c>
      <c r="Q128" s="60">
        <v>500</v>
      </c>
      <c r="R128" s="60">
        <v>500</v>
      </c>
      <c r="S128" s="60">
        <v>500</v>
      </c>
      <c r="T128" s="60">
        <v>500</v>
      </c>
      <c r="U128" s="60">
        <v>500</v>
      </c>
      <c r="V128" s="60">
        <v>0</v>
      </c>
      <c r="W128" s="728">
        <f t="shared" si="48"/>
        <v>0</v>
      </c>
      <c r="X128" s="1"/>
    </row>
    <row r="129" spans="1:41" ht="15.75" thickBot="1" x14ac:dyDescent="0.3">
      <c r="A129" s="160" t="s">
        <v>142</v>
      </c>
      <c r="B129" s="161" t="s">
        <v>143</v>
      </c>
      <c r="C129" s="182">
        <v>500</v>
      </c>
      <c r="D129" s="182">
        <v>500</v>
      </c>
      <c r="E129" s="182">
        <v>500</v>
      </c>
      <c r="F129" s="182">
        <v>500</v>
      </c>
      <c r="G129" s="182">
        <v>500</v>
      </c>
      <c r="H129" s="182">
        <v>500</v>
      </c>
      <c r="I129" s="182">
        <v>500</v>
      </c>
      <c r="J129" s="182">
        <v>500</v>
      </c>
      <c r="K129" s="182">
        <v>500</v>
      </c>
      <c r="L129" s="182">
        <v>500</v>
      </c>
      <c r="M129" s="182">
        <v>500</v>
      </c>
      <c r="N129" s="182">
        <v>500</v>
      </c>
      <c r="O129" s="182">
        <v>500</v>
      </c>
      <c r="P129" s="182">
        <v>500</v>
      </c>
      <c r="Q129" s="182">
        <v>500</v>
      </c>
      <c r="R129" s="182">
        <v>500</v>
      </c>
      <c r="S129" s="182">
        <v>500</v>
      </c>
      <c r="T129" s="182">
        <v>500</v>
      </c>
      <c r="U129" s="182">
        <v>500</v>
      </c>
      <c r="V129" s="182">
        <v>0</v>
      </c>
      <c r="W129" s="728">
        <f t="shared" si="48"/>
        <v>0</v>
      </c>
      <c r="X129" s="1"/>
      <c r="Y129" s="27"/>
      <c r="Z129" s="27"/>
    </row>
    <row r="130" spans="1:41" ht="24.75" customHeight="1" thickBot="1" x14ac:dyDescent="0.3">
      <c r="A130" s="209" t="s">
        <v>144</v>
      </c>
      <c r="B130" s="172"/>
      <c r="C130" s="212">
        <f t="shared" ref="C130:V130" si="119">SUM(C80+C86+C88+C91+C95+C100+C105+C109+C115+C124)</f>
        <v>1919385</v>
      </c>
      <c r="D130" s="212">
        <f t="shared" si="119"/>
        <v>1922156</v>
      </c>
      <c r="E130" s="212">
        <f t="shared" si="119"/>
        <v>1939266</v>
      </c>
      <c r="F130" s="212">
        <f t="shared" si="119"/>
        <v>1943129</v>
      </c>
      <c r="G130" s="212">
        <f t="shared" si="119"/>
        <v>1943129</v>
      </c>
      <c r="H130" s="212">
        <f t="shared" si="119"/>
        <v>1943129</v>
      </c>
      <c r="I130" s="212">
        <f t="shared" si="119"/>
        <v>1951446</v>
      </c>
      <c r="J130" s="212">
        <f t="shared" si="119"/>
        <v>1952370</v>
      </c>
      <c r="K130" s="212">
        <f t="shared" si="119"/>
        <v>2014202</v>
      </c>
      <c r="L130" s="212">
        <f t="shared" si="119"/>
        <v>2015747</v>
      </c>
      <c r="M130" s="212">
        <f t="shared" si="119"/>
        <v>2015747</v>
      </c>
      <c r="N130" s="212">
        <f t="shared" si="119"/>
        <v>2020201</v>
      </c>
      <c r="O130" s="212">
        <f t="shared" ref="O130:S130" si="120">SUM(O80+O86+O88+O91+O95+O100+O105+O109+O115+O124)</f>
        <v>2023264</v>
      </c>
      <c r="P130" s="212">
        <f t="shared" si="120"/>
        <v>2024864</v>
      </c>
      <c r="Q130" s="212">
        <f t="shared" si="120"/>
        <v>2024864</v>
      </c>
      <c r="R130" s="212">
        <f t="shared" si="120"/>
        <v>2055566</v>
      </c>
      <c r="S130" s="212">
        <f t="shared" si="120"/>
        <v>2064744</v>
      </c>
      <c r="T130" s="212">
        <f t="shared" ref="T130:U130" si="121">SUM(T80+T86+T88+T91+T95+T100+T105+T109+T115+T124)</f>
        <v>2064744</v>
      </c>
      <c r="U130" s="212">
        <f t="shared" si="121"/>
        <v>2094879</v>
      </c>
      <c r="V130" s="212">
        <f t="shared" si="119"/>
        <v>1331641</v>
      </c>
      <c r="W130" s="728">
        <f t="shared" si="48"/>
        <v>0.64494242385496703</v>
      </c>
      <c r="X130" s="27">
        <f t="shared" ref="X130:AM130" si="122">D130-C130</f>
        <v>2771</v>
      </c>
      <c r="Y130" s="27">
        <f t="shared" si="122"/>
        <v>17110</v>
      </c>
      <c r="Z130" s="27">
        <f t="shared" si="122"/>
        <v>3863</v>
      </c>
      <c r="AA130" s="27">
        <f t="shared" si="122"/>
        <v>0</v>
      </c>
      <c r="AB130" s="27">
        <f t="shared" si="122"/>
        <v>0</v>
      </c>
      <c r="AC130" s="27">
        <f t="shared" si="122"/>
        <v>8317</v>
      </c>
      <c r="AD130" s="27">
        <f t="shared" si="122"/>
        <v>924</v>
      </c>
      <c r="AE130" s="27">
        <f t="shared" si="122"/>
        <v>61832</v>
      </c>
      <c r="AF130" s="27">
        <f t="shared" si="122"/>
        <v>1545</v>
      </c>
      <c r="AG130" s="27">
        <f t="shared" si="122"/>
        <v>0</v>
      </c>
      <c r="AH130" s="27">
        <f t="shared" si="122"/>
        <v>4454</v>
      </c>
      <c r="AI130" s="27">
        <f t="shared" si="122"/>
        <v>3063</v>
      </c>
      <c r="AJ130" s="27">
        <f t="shared" si="122"/>
        <v>1600</v>
      </c>
      <c r="AK130" s="27">
        <f t="shared" si="122"/>
        <v>0</v>
      </c>
      <c r="AL130" s="27">
        <f t="shared" si="122"/>
        <v>30702</v>
      </c>
      <c r="AM130" s="27">
        <f t="shared" si="122"/>
        <v>9178</v>
      </c>
      <c r="AN130" s="27">
        <f t="shared" ref="AN130:AO130" si="123">T130-S130</f>
        <v>0</v>
      </c>
      <c r="AO130" s="27">
        <f t="shared" si="123"/>
        <v>30135</v>
      </c>
    </row>
    <row r="131" spans="1:41" x14ac:dyDescent="0.25">
      <c r="A131" s="502" t="s">
        <v>124</v>
      </c>
      <c r="B131" s="213" t="s">
        <v>341</v>
      </c>
      <c r="C131" s="216">
        <f>C67</f>
        <v>720000</v>
      </c>
      <c r="D131" s="715">
        <f t="shared" ref="D131:R131" si="124">D67+D205</f>
        <v>722098</v>
      </c>
      <c r="E131" s="216">
        <f t="shared" si="124"/>
        <v>722098</v>
      </c>
      <c r="F131" s="715">
        <f t="shared" si="124"/>
        <v>711459</v>
      </c>
      <c r="G131" s="216">
        <f t="shared" si="124"/>
        <v>711459</v>
      </c>
      <c r="H131" s="216">
        <f t="shared" si="124"/>
        <v>711459</v>
      </c>
      <c r="I131" s="216">
        <f t="shared" si="124"/>
        <v>715098</v>
      </c>
      <c r="J131" s="216">
        <f t="shared" si="124"/>
        <v>715098</v>
      </c>
      <c r="K131" s="715">
        <f t="shared" si="124"/>
        <v>737900</v>
      </c>
      <c r="L131" s="216">
        <f t="shared" si="124"/>
        <v>737900</v>
      </c>
      <c r="M131" s="216">
        <f t="shared" si="124"/>
        <v>737900</v>
      </c>
      <c r="N131" s="216">
        <f t="shared" si="124"/>
        <v>737900</v>
      </c>
      <c r="O131" s="216">
        <f t="shared" si="124"/>
        <v>737034</v>
      </c>
      <c r="P131" s="216">
        <f t="shared" si="124"/>
        <v>737034</v>
      </c>
      <c r="Q131" s="216">
        <f t="shared" si="124"/>
        <v>737034</v>
      </c>
      <c r="R131" s="715">
        <f t="shared" si="124"/>
        <v>747613</v>
      </c>
      <c r="S131" s="715">
        <f>S67+S205-589</f>
        <v>756822</v>
      </c>
      <c r="T131" s="216">
        <f>T67+T205-589</f>
        <v>756822</v>
      </c>
      <c r="U131" s="216">
        <f>U67+U205-589</f>
        <v>756860</v>
      </c>
      <c r="V131" s="216">
        <f>V67+V205-589</f>
        <v>641751</v>
      </c>
      <c r="W131" s="728">
        <f t="shared" si="48"/>
        <v>0.84795500130810153</v>
      </c>
      <c r="X131" s="1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</row>
    <row r="132" spans="1:41" ht="15.75" thickBot="1" x14ac:dyDescent="0.3">
      <c r="A132" s="717" t="s">
        <v>124</v>
      </c>
      <c r="B132" s="718" t="s">
        <v>145</v>
      </c>
      <c r="C132" s="719">
        <f t="shared" ref="C132:V132" si="125">C69</f>
        <v>1500</v>
      </c>
      <c r="D132" s="719">
        <f t="shared" si="125"/>
        <v>1500</v>
      </c>
      <c r="E132" s="719">
        <f t="shared" si="125"/>
        <v>1500</v>
      </c>
      <c r="F132" s="719">
        <f t="shared" si="125"/>
        <v>1500</v>
      </c>
      <c r="G132" s="719">
        <f t="shared" si="125"/>
        <v>1500</v>
      </c>
      <c r="H132" s="719">
        <f t="shared" si="125"/>
        <v>1500</v>
      </c>
      <c r="I132" s="719">
        <f t="shared" si="125"/>
        <v>1500</v>
      </c>
      <c r="J132" s="719">
        <f t="shared" si="125"/>
        <v>1500</v>
      </c>
      <c r="K132" s="719">
        <f t="shared" si="125"/>
        <v>1500</v>
      </c>
      <c r="L132" s="719">
        <f t="shared" si="125"/>
        <v>1500</v>
      </c>
      <c r="M132" s="719">
        <f t="shared" si="125"/>
        <v>1500</v>
      </c>
      <c r="N132" s="719">
        <f t="shared" si="125"/>
        <v>1500</v>
      </c>
      <c r="O132" s="719">
        <f t="shared" si="125"/>
        <v>1500</v>
      </c>
      <c r="P132" s="719">
        <f t="shared" si="125"/>
        <v>1500</v>
      </c>
      <c r="Q132" s="836">
        <f t="shared" si="125"/>
        <v>500</v>
      </c>
      <c r="R132" s="719">
        <f t="shared" si="125"/>
        <v>500</v>
      </c>
      <c r="S132" s="719">
        <f t="shared" si="125"/>
        <v>500</v>
      </c>
      <c r="T132" s="719">
        <f t="shared" ref="T132:U132" si="126">T69</f>
        <v>500</v>
      </c>
      <c r="U132" s="719">
        <f t="shared" si="126"/>
        <v>500</v>
      </c>
      <c r="V132" s="719">
        <f t="shared" si="125"/>
        <v>25</v>
      </c>
      <c r="W132" s="728">
        <f t="shared" si="48"/>
        <v>0.05</v>
      </c>
      <c r="X132" s="27">
        <f>SUM(S131:S132)</f>
        <v>757322</v>
      </c>
      <c r="Y132" s="27">
        <f>SUM(V131:V132)</f>
        <v>641776</v>
      </c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</row>
    <row r="133" spans="1:41" x14ac:dyDescent="0.25">
      <c r="A133" s="226" t="s">
        <v>125</v>
      </c>
      <c r="B133" s="227" t="s">
        <v>148</v>
      </c>
      <c r="C133" s="230">
        <v>34400</v>
      </c>
      <c r="D133" s="230">
        <v>34400</v>
      </c>
      <c r="E133" s="230">
        <v>34400</v>
      </c>
      <c r="F133" s="230">
        <v>34400</v>
      </c>
      <c r="G133" s="230">
        <v>34400</v>
      </c>
      <c r="H133" s="230">
        <v>34400</v>
      </c>
      <c r="I133" s="230">
        <v>34400</v>
      </c>
      <c r="J133" s="230">
        <v>34400</v>
      </c>
      <c r="K133" s="230">
        <v>34400</v>
      </c>
      <c r="L133" s="230">
        <v>34400</v>
      </c>
      <c r="M133" s="230">
        <v>34400</v>
      </c>
      <c r="N133" s="230">
        <v>34400</v>
      </c>
      <c r="O133" s="230">
        <v>34400</v>
      </c>
      <c r="P133" s="230">
        <v>34400</v>
      </c>
      <c r="Q133" s="230">
        <v>34400</v>
      </c>
      <c r="R133" s="230">
        <v>34400</v>
      </c>
      <c r="S133" s="230">
        <v>34400</v>
      </c>
      <c r="T133" s="230">
        <v>34400</v>
      </c>
      <c r="U133" s="230">
        <v>34400</v>
      </c>
      <c r="V133" s="230">
        <v>28670</v>
      </c>
      <c r="W133" s="728">
        <f t="shared" ref="W133:W196" si="127">V133/T133</f>
        <v>0.83343023255813953</v>
      </c>
      <c r="X133" s="27"/>
    </row>
    <row r="134" spans="1:41" x14ac:dyDescent="0.25">
      <c r="A134" s="226" t="s">
        <v>125</v>
      </c>
      <c r="B134" s="227" t="s">
        <v>889</v>
      </c>
      <c r="C134" s="230">
        <v>0</v>
      </c>
      <c r="D134" s="230">
        <v>0</v>
      </c>
      <c r="E134" s="230">
        <v>0</v>
      </c>
      <c r="F134" s="230">
        <v>0</v>
      </c>
      <c r="G134" s="230">
        <v>0</v>
      </c>
      <c r="H134" s="230">
        <v>0</v>
      </c>
      <c r="I134" s="230">
        <v>0</v>
      </c>
      <c r="J134" s="230">
        <v>0</v>
      </c>
      <c r="K134" s="705">
        <v>1525</v>
      </c>
      <c r="L134" s="230">
        <v>1525</v>
      </c>
      <c r="M134" s="230">
        <v>1525</v>
      </c>
      <c r="N134" s="230">
        <v>1525</v>
      </c>
      <c r="O134" s="230">
        <v>1525</v>
      </c>
      <c r="P134" s="230">
        <v>1525</v>
      </c>
      <c r="Q134" s="230">
        <v>1525</v>
      </c>
      <c r="R134" s="230">
        <v>1525</v>
      </c>
      <c r="S134" s="230">
        <f>1525</f>
        <v>1525</v>
      </c>
      <c r="T134" s="230">
        <f>1525</f>
        <v>1525</v>
      </c>
      <c r="U134" s="230">
        <f>1525</f>
        <v>1525</v>
      </c>
      <c r="V134" s="230">
        <v>1523</v>
      </c>
      <c r="W134" s="728">
        <f t="shared" si="127"/>
        <v>0.99868852459016388</v>
      </c>
      <c r="X134" s="27"/>
    </row>
    <row r="135" spans="1:41" x14ac:dyDescent="0.25">
      <c r="A135" s="226" t="s">
        <v>125</v>
      </c>
      <c r="B135" s="227" t="s">
        <v>891</v>
      </c>
      <c r="C135" s="230">
        <v>0</v>
      </c>
      <c r="D135" s="230">
        <v>0</v>
      </c>
      <c r="E135" s="230">
        <v>0</v>
      </c>
      <c r="F135" s="230">
        <v>0</v>
      </c>
      <c r="G135" s="230">
        <v>0</v>
      </c>
      <c r="H135" s="230">
        <v>0</v>
      </c>
      <c r="I135" s="230">
        <v>0</v>
      </c>
      <c r="J135" s="230">
        <v>0</v>
      </c>
      <c r="K135" s="230">
        <v>0</v>
      </c>
      <c r="L135" s="230">
        <v>0</v>
      </c>
      <c r="M135" s="230">
        <v>0</v>
      </c>
      <c r="N135" s="230">
        <v>0</v>
      </c>
      <c r="O135" s="230">
        <v>0</v>
      </c>
      <c r="P135" s="230">
        <v>0</v>
      </c>
      <c r="Q135" s="230">
        <v>0</v>
      </c>
      <c r="R135" s="230">
        <v>0</v>
      </c>
      <c r="S135" s="705">
        <v>589</v>
      </c>
      <c r="T135" s="230">
        <v>589</v>
      </c>
      <c r="U135" s="230">
        <v>589</v>
      </c>
      <c r="V135" s="230">
        <v>589</v>
      </c>
      <c r="W135" s="728">
        <f t="shared" si="127"/>
        <v>1</v>
      </c>
      <c r="X135" s="27"/>
      <c r="Y135" s="426">
        <f>V131+V135</f>
        <v>642340</v>
      </c>
    </row>
    <row r="136" spans="1:41" ht="15.75" thickBot="1" x14ac:dyDescent="0.3">
      <c r="A136" s="217" t="s">
        <v>125</v>
      </c>
      <c r="B136" s="218" t="s">
        <v>149</v>
      </c>
      <c r="C136" s="221">
        <f t="shared" ref="C136:S136" si="128">C70</f>
        <v>3600</v>
      </c>
      <c r="D136" s="221">
        <f t="shared" si="128"/>
        <v>3600</v>
      </c>
      <c r="E136" s="221">
        <f t="shared" si="128"/>
        <v>3600</v>
      </c>
      <c r="F136" s="221">
        <f t="shared" si="128"/>
        <v>3600</v>
      </c>
      <c r="G136" s="221">
        <f t="shared" si="128"/>
        <v>3600</v>
      </c>
      <c r="H136" s="221">
        <f t="shared" si="128"/>
        <v>3600</v>
      </c>
      <c r="I136" s="221">
        <f t="shared" si="128"/>
        <v>3600</v>
      </c>
      <c r="J136" s="221">
        <f t="shared" si="128"/>
        <v>3600</v>
      </c>
      <c r="K136" s="221">
        <f t="shared" si="128"/>
        <v>3600</v>
      </c>
      <c r="L136" s="221">
        <f t="shared" si="128"/>
        <v>3600</v>
      </c>
      <c r="M136" s="221">
        <f t="shared" si="128"/>
        <v>3600</v>
      </c>
      <c r="N136" s="221">
        <f t="shared" si="128"/>
        <v>3600</v>
      </c>
      <c r="O136" s="221">
        <f t="shared" si="128"/>
        <v>3600</v>
      </c>
      <c r="P136" s="221">
        <f t="shared" si="128"/>
        <v>3600</v>
      </c>
      <c r="Q136" s="221">
        <f t="shared" si="128"/>
        <v>3600</v>
      </c>
      <c r="R136" s="221">
        <f t="shared" si="128"/>
        <v>3600</v>
      </c>
      <c r="S136" s="221">
        <f t="shared" si="128"/>
        <v>3600</v>
      </c>
      <c r="T136" s="221">
        <f t="shared" ref="T136:U136" si="129">T70</f>
        <v>3600</v>
      </c>
      <c r="U136" s="221">
        <f t="shared" si="129"/>
        <v>3600</v>
      </c>
      <c r="V136" s="221">
        <v>2870</v>
      </c>
      <c r="W136" s="728">
        <f t="shared" si="127"/>
        <v>0.79722222222222228</v>
      </c>
      <c r="X136" s="27">
        <f>SUM(S133:S136)</f>
        <v>40114</v>
      </c>
      <c r="Y136" s="27">
        <f>SUM(V133:V136)</f>
        <v>33652</v>
      </c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</row>
    <row r="137" spans="1:41" ht="21.75" customHeight="1" thickBot="1" x14ac:dyDescent="0.3">
      <c r="A137" s="903" t="s">
        <v>150</v>
      </c>
      <c r="B137" s="904"/>
      <c r="C137" s="233">
        <f t="shared" ref="C137:V137" si="130">SUM(C131:C136)</f>
        <v>759500</v>
      </c>
      <c r="D137" s="233">
        <f t="shared" si="130"/>
        <v>761598</v>
      </c>
      <c r="E137" s="233">
        <f t="shared" si="130"/>
        <v>761598</v>
      </c>
      <c r="F137" s="233">
        <f t="shared" si="130"/>
        <v>750959</v>
      </c>
      <c r="G137" s="233">
        <f t="shared" si="130"/>
        <v>750959</v>
      </c>
      <c r="H137" s="233">
        <f t="shared" si="130"/>
        <v>750959</v>
      </c>
      <c r="I137" s="233">
        <f t="shared" si="130"/>
        <v>754598</v>
      </c>
      <c r="J137" s="233">
        <f t="shared" si="130"/>
        <v>754598</v>
      </c>
      <c r="K137" s="233">
        <f t="shared" si="130"/>
        <v>778925</v>
      </c>
      <c r="L137" s="233">
        <f t="shared" si="130"/>
        <v>778925</v>
      </c>
      <c r="M137" s="233">
        <f t="shared" si="130"/>
        <v>778925</v>
      </c>
      <c r="N137" s="233">
        <f t="shared" si="130"/>
        <v>778925</v>
      </c>
      <c r="O137" s="233">
        <f t="shared" si="130"/>
        <v>778059</v>
      </c>
      <c r="P137" s="233">
        <f t="shared" si="130"/>
        <v>778059</v>
      </c>
      <c r="Q137" s="233">
        <f t="shared" si="130"/>
        <v>777059</v>
      </c>
      <c r="R137" s="233">
        <f t="shared" si="130"/>
        <v>787638</v>
      </c>
      <c r="S137" s="233">
        <f t="shared" si="130"/>
        <v>797436</v>
      </c>
      <c r="T137" s="233">
        <f t="shared" ref="T137:U137" si="131">SUM(T131:T136)</f>
        <v>797436</v>
      </c>
      <c r="U137" s="233">
        <f t="shared" si="131"/>
        <v>797474</v>
      </c>
      <c r="V137" s="233">
        <f t="shared" si="130"/>
        <v>675428</v>
      </c>
      <c r="W137" s="728">
        <f t="shared" si="127"/>
        <v>0.84699963382641363</v>
      </c>
      <c r="X137" s="27">
        <f t="shared" ref="X137:AM137" si="132">D137-C137</f>
        <v>2098</v>
      </c>
      <c r="Y137" s="27">
        <f t="shared" si="132"/>
        <v>0</v>
      </c>
      <c r="Z137" s="27">
        <f t="shared" si="132"/>
        <v>-10639</v>
      </c>
      <c r="AA137" s="27">
        <f t="shared" si="132"/>
        <v>0</v>
      </c>
      <c r="AB137" s="27">
        <f t="shared" si="132"/>
        <v>0</v>
      </c>
      <c r="AC137" s="27">
        <f t="shared" si="132"/>
        <v>3639</v>
      </c>
      <c r="AD137" s="27">
        <f t="shared" si="132"/>
        <v>0</v>
      </c>
      <c r="AE137" s="27">
        <f t="shared" si="132"/>
        <v>24327</v>
      </c>
      <c r="AF137" s="27">
        <f t="shared" si="132"/>
        <v>0</v>
      </c>
      <c r="AG137" s="27">
        <f t="shared" si="132"/>
        <v>0</v>
      </c>
      <c r="AH137" s="27">
        <f t="shared" si="132"/>
        <v>0</v>
      </c>
      <c r="AI137" s="27">
        <f t="shared" si="132"/>
        <v>-866</v>
      </c>
      <c r="AJ137" s="27">
        <f t="shared" si="132"/>
        <v>0</v>
      </c>
      <c r="AK137" s="27">
        <f t="shared" si="132"/>
        <v>-1000</v>
      </c>
      <c r="AL137" s="27">
        <f t="shared" si="132"/>
        <v>10579</v>
      </c>
      <c r="AM137" s="27">
        <f t="shared" si="132"/>
        <v>9798</v>
      </c>
      <c r="AN137" s="27">
        <f t="shared" ref="AN137:AO137" si="133">T137-S137</f>
        <v>0</v>
      </c>
      <c r="AO137" s="27">
        <f t="shared" si="133"/>
        <v>38</v>
      </c>
    </row>
    <row r="138" spans="1:41" x14ac:dyDescent="0.25">
      <c r="A138" s="234" t="s">
        <v>125</v>
      </c>
      <c r="B138" s="797" t="s">
        <v>151</v>
      </c>
      <c r="C138" s="238">
        <v>298000</v>
      </c>
      <c r="D138" s="238">
        <v>298000</v>
      </c>
      <c r="E138" s="238">
        <v>298000</v>
      </c>
      <c r="F138" s="238">
        <v>298000</v>
      </c>
      <c r="G138" s="238">
        <v>298000</v>
      </c>
      <c r="H138" s="238">
        <v>298000</v>
      </c>
      <c r="I138" s="238">
        <v>298000</v>
      </c>
      <c r="J138" s="238">
        <v>298000</v>
      </c>
      <c r="K138" s="238">
        <v>298000</v>
      </c>
      <c r="L138" s="238">
        <v>298000</v>
      </c>
      <c r="M138" s="238">
        <v>298000</v>
      </c>
      <c r="N138" s="238">
        <v>298000</v>
      </c>
      <c r="O138" s="238">
        <v>298000</v>
      </c>
      <c r="P138" s="238">
        <v>298000</v>
      </c>
      <c r="Q138" s="238">
        <v>298000</v>
      </c>
      <c r="R138" s="238">
        <v>298000</v>
      </c>
      <c r="S138" s="238">
        <v>298000</v>
      </c>
      <c r="T138" s="238">
        <v>298000</v>
      </c>
      <c r="U138" s="238">
        <v>298000</v>
      </c>
      <c r="V138" s="238">
        <v>248330</v>
      </c>
      <c r="W138" s="728">
        <f t="shared" si="127"/>
        <v>0.83332214765100676</v>
      </c>
      <c r="X138" s="1"/>
    </row>
    <row r="139" spans="1:41" x14ac:dyDescent="0.25">
      <c r="A139" s="239" t="s">
        <v>125</v>
      </c>
      <c r="B139" s="240" t="s">
        <v>890</v>
      </c>
      <c r="C139" s="89">
        <v>0</v>
      </c>
      <c r="D139" s="89">
        <v>0</v>
      </c>
      <c r="E139" s="89"/>
      <c r="F139" s="89">
        <v>0</v>
      </c>
      <c r="G139" s="89">
        <v>0</v>
      </c>
      <c r="H139" s="89">
        <v>0</v>
      </c>
      <c r="I139" s="89">
        <v>0</v>
      </c>
      <c r="J139" s="89">
        <v>0</v>
      </c>
      <c r="K139" s="705">
        <v>11670</v>
      </c>
      <c r="L139" s="89">
        <v>11670</v>
      </c>
      <c r="M139" s="89">
        <v>11670</v>
      </c>
      <c r="N139" s="89">
        <f>11670-55</f>
        <v>11615</v>
      </c>
      <c r="O139" s="89">
        <f>11670-55</f>
        <v>11615</v>
      </c>
      <c r="P139" s="89">
        <f>11670-55</f>
        <v>11615</v>
      </c>
      <c r="Q139" s="89">
        <f t="shared" ref="Q139:U139" si="134">11670-55</f>
        <v>11615</v>
      </c>
      <c r="R139" s="89">
        <f t="shared" si="134"/>
        <v>11615</v>
      </c>
      <c r="S139" s="89">
        <f t="shared" si="134"/>
        <v>11615</v>
      </c>
      <c r="T139" s="89">
        <f t="shared" si="134"/>
        <v>11615</v>
      </c>
      <c r="U139" s="89">
        <f t="shared" si="134"/>
        <v>11615</v>
      </c>
      <c r="V139" s="89">
        <v>11614</v>
      </c>
      <c r="W139" s="728">
        <f t="shared" si="127"/>
        <v>0.9999139044339217</v>
      </c>
      <c r="X139" s="1"/>
    </row>
    <row r="140" spans="1:41" x14ac:dyDescent="0.25">
      <c r="A140" s="239" t="s">
        <v>125</v>
      </c>
      <c r="B140" s="240" t="s">
        <v>892</v>
      </c>
      <c r="C140" s="89">
        <v>0</v>
      </c>
      <c r="D140" s="89">
        <v>0</v>
      </c>
      <c r="E140" s="89">
        <v>0</v>
      </c>
      <c r="F140" s="89">
        <v>0</v>
      </c>
      <c r="G140" s="89">
        <v>0</v>
      </c>
      <c r="H140" s="89">
        <v>0</v>
      </c>
      <c r="I140" s="89">
        <v>0</v>
      </c>
      <c r="J140" s="89">
        <v>0</v>
      </c>
      <c r="K140" s="89">
        <v>0</v>
      </c>
      <c r="L140" s="89">
        <v>0</v>
      </c>
      <c r="M140" s="89">
        <v>0</v>
      </c>
      <c r="N140" s="89">
        <v>0</v>
      </c>
      <c r="O140" s="89">
        <v>0</v>
      </c>
      <c r="P140" s="89">
        <v>0</v>
      </c>
      <c r="Q140" s="89">
        <v>0</v>
      </c>
      <c r="R140" s="89">
        <v>0</v>
      </c>
      <c r="S140" s="705">
        <f>S66</f>
        <v>5872</v>
      </c>
      <c r="T140" s="89">
        <f>T66</f>
        <v>5872</v>
      </c>
      <c r="U140" s="89">
        <f>U66</f>
        <v>5872</v>
      </c>
      <c r="V140" s="89">
        <v>5872</v>
      </c>
      <c r="W140" s="728">
        <f t="shared" si="127"/>
        <v>1</v>
      </c>
      <c r="X140" s="1"/>
    </row>
    <row r="141" spans="1:41" ht="15.75" thickBot="1" x14ac:dyDescent="0.3">
      <c r="A141" s="239" t="s">
        <v>125</v>
      </c>
      <c r="B141" s="240" t="s">
        <v>152</v>
      </c>
      <c r="C141" s="89">
        <f t="shared" ref="C141:V141" si="135">C72</f>
        <v>13600</v>
      </c>
      <c r="D141" s="89">
        <f t="shared" si="135"/>
        <v>13600</v>
      </c>
      <c r="E141" s="89">
        <f t="shared" si="135"/>
        <v>13600</v>
      </c>
      <c r="F141" s="89">
        <f t="shared" si="135"/>
        <v>13600</v>
      </c>
      <c r="G141" s="89">
        <f t="shared" si="135"/>
        <v>13600</v>
      </c>
      <c r="H141" s="89">
        <f t="shared" si="135"/>
        <v>13600</v>
      </c>
      <c r="I141" s="89">
        <f t="shared" si="135"/>
        <v>13600</v>
      </c>
      <c r="J141" s="89">
        <f t="shared" si="135"/>
        <v>13600</v>
      </c>
      <c r="K141" s="89">
        <f t="shared" si="135"/>
        <v>13600</v>
      </c>
      <c r="L141" s="89">
        <f t="shared" si="135"/>
        <v>13600</v>
      </c>
      <c r="M141" s="89">
        <f t="shared" si="135"/>
        <v>13600</v>
      </c>
      <c r="N141" s="89">
        <f t="shared" si="135"/>
        <v>13600</v>
      </c>
      <c r="O141" s="89">
        <f t="shared" si="135"/>
        <v>13600</v>
      </c>
      <c r="P141" s="89">
        <f t="shared" si="135"/>
        <v>13600</v>
      </c>
      <c r="Q141" s="89">
        <f t="shared" si="135"/>
        <v>13600</v>
      </c>
      <c r="R141" s="89">
        <f t="shared" si="135"/>
        <v>13600</v>
      </c>
      <c r="S141" s="89">
        <f t="shared" si="135"/>
        <v>13600</v>
      </c>
      <c r="T141" s="89">
        <f t="shared" ref="T141:U141" si="136">T72</f>
        <v>13600</v>
      </c>
      <c r="U141" s="89">
        <f t="shared" si="136"/>
        <v>13600</v>
      </c>
      <c r="V141" s="89">
        <f t="shared" si="135"/>
        <v>13175</v>
      </c>
      <c r="W141" s="728">
        <f t="shared" si="127"/>
        <v>0.96875</v>
      </c>
      <c r="X141" s="1"/>
    </row>
    <row r="142" spans="1:41" ht="21.6" customHeight="1" thickBot="1" x14ac:dyDescent="0.3">
      <c r="A142" s="886" t="s">
        <v>153</v>
      </c>
      <c r="B142" s="887"/>
      <c r="C142" s="245">
        <f t="shared" ref="C142:V142" si="137">SUM(C138:C141)</f>
        <v>311600</v>
      </c>
      <c r="D142" s="245">
        <f t="shared" si="137"/>
        <v>311600</v>
      </c>
      <c r="E142" s="245">
        <f t="shared" si="137"/>
        <v>311600</v>
      </c>
      <c r="F142" s="245">
        <f t="shared" si="137"/>
        <v>311600</v>
      </c>
      <c r="G142" s="245">
        <f t="shared" si="137"/>
        <v>311600</v>
      </c>
      <c r="H142" s="245">
        <f t="shared" si="137"/>
        <v>311600</v>
      </c>
      <c r="I142" s="245">
        <f t="shared" si="137"/>
        <v>311600</v>
      </c>
      <c r="J142" s="245">
        <f t="shared" si="137"/>
        <v>311600</v>
      </c>
      <c r="K142" s="245">
        <f t="shared" si="137"/>
        <v>323270</v>
      </c>
      <c r="L142" s="245">
        <f t="shared" si="137"/>
        <v>323270</v>
      </c>
      <c r="M142" s="245">
        <f t="shared" si="137"/>
        <v>323270</v>
      </c>
      <c r="N142" s="245">
        <f t="shared" si="137"/>
        <v>323215</v>
      </c>
      <c r="O142" s="245">
        <f t="shared" si="137"/>
        <v>323215</v>
      </c>
      <c r="P142" s="245">
        <f t="shared" si="137"/>
        <v>323215</v>
      </c>
      <c r="Q142" s="245">
        <f t="shared" si="137"/>
        <v>323215</v>
      </c>
      <c r="R142" s="245">
        <f t="shared" si="137"/>
        <v>323215</v>
      </c>
      <c r="S142" s="245">
        <f t="shared" si="137"/>
        <v>329087</v>
      </c>
      <c r="T142" s="245">
        <f t="shared" ref="T142:U142" si="138">SUM(T138:T141)</f>
        <v>329087</v>
      </c>
      <c r="U142" s="245">
        <f t="shared" si="138"/>
        <v>329087</v>
      </c>
      <c r="V142" s="245">
        <f t="shared" si="137"/>
        <v>278991</v>
      </c>
      <c r="W142" s="728">
        <f t="shared" si="127"/>
        <v>0.84777277741144441</v>
      </c>
      <c r="X142" s="27">
        <f t="shared" ref="X142:AM144" si="139">D142-C142</f>
        <v>0</v>
      </c>
      <c r="Y142" s="27">
        <f t="shared" si="139"/>
        <v>0</v>
      </c>
      <c r="Z142" s="27">
        <f t="shared" si="139"/>
        <v>0</v>
      </c>
      <c r="AA142" s="27">
        <f t="shared" si="139"/>
        <v>0</v>
      </c>
      <c r="AB142" s="27">
        <f t="shared" si="139"/>
        <v>0</v>
      </c>
      <c r="AC142" s="27">
        <f t="shared" si="139"/>
        <v>0</v>
      </c>
      <c r="AD142" s="27">
        <f t="shared" si="139"/>
        <v>0</v>
      </c>
      <c r="AE142" s="27">
        <f t="shared" si="139"/>
        <v>11670</v>
      </c>
      <c r="AF142" s="27">
        <f t="shared" si="139"/>
        <v>0</v>
      </c>
      <c r="AG142" s="27">
        <f t="shared" si="139"/>
        <v>0</v>
      </c>
      <c r="AH142" s="27">
        <f t="shared" si="139"/>
        <v>-55</v>
      </c>
      <c r="AI142" s="27">
        <f t="shared" si="139"/>
        <v>0</v>
      </c>
      <c r="AJ142" s="27">
        <f t="shared" si="139"/>
        <v>0</v>
      </c>
      <c r="AK142" s="27">
        <f t="shared" si="139"/>
        <v>0</v>
      </c>
      <c r="AL142" s="27">
        <f t="shared" si="139"/>
        <v>0</v>
      </c>
      <c r="AM142" s="27">
        <f t="shared" si="139"/>
        <v>5872</v>
      </c>
      <c r="AN142" s="27">
        <f t="shared" ref="AN142:AO144" si="140">T142-S142</f>
        <v>0</v>
      </c>
      <c r="AO142" s="27">
        <f t="shared" si="140"/>
        <v>0</v>
      </c>
    </row>
    <row r="143" spans="1:41" ht="22.5" customHeight="1" thickBot="1" x14ac:dyDescent="0.3">
      <c r="A143" s="872" t="s">
        <v>154</v>
      </c>
      <c r="B143" s="873"/>
      <c r="C143" s="248">
        <f t="shared" ref="C143:V143" si="141">C137+C142</f>
        <v>1071100</v>
      </c>
      <c r="D143" s="248">
        <f t="shared" si="141"/>
        <v>1073198</v>
      </c>
      <c r="E143" s="248">
        <f t="shared" si="141"/>
        <v>1073198</v>
      </c>
      <c r="F143" s="248">
        <f t="shared" si="141"/>
        <v>1062559</v>
      </c>
      <c r="G143" s="248">
        <f t="shared" si="141"/>
        <v>1062559</v>
      </c>
      <c r="H143" s="248">
        <f t="shared" si="141"/>
        <v>1062559</v>
      </c>
      <c r="I143" s="248">
        <f t="shared" si="141"/>
        <v>1066198</v>
      </c>
      <c r="J143" s="248">
        <f t="shared" si="141"/>
        <v>1066198</v>
      </c>
      <c r="K143" s="248">
        <f t="shared" si="141"/>
        <v>1102195</v>
      </c>
      <c r="L143" s="248">
        <f t="shared" si="141"/>
        <v>1102195</v>
      </c>
      <c r="M143" s="248">
        <f t="shared" si="141"/>
        <v>1102195</v>
      </c>
      <c r="N143" s="248">
        <f t="shared" si="141"/>
        <v>1102140</v>
      </c>
      <c r="O143" s="248">
        <f t="shared" si="141"/>
        <v>1101274</v>
      </c>
      <c r="P143" s="248">
        <f t="shared" si="141"/>
        <v>1101274</v>
      </c>
      <c r="Q143" s="248">
        <f t="shared" si="141"/>
        <v>1100274</v>
      </c>
      <c r="R143" s="248">
        <f t="shared" si="141"/>
        <v>1110853</v>
      </c>
      <c r="S143" s="248">
        <f t="shared" si="141"/>
        <v>1126523</v>
      </c>
      <c r="T143" s="248">
        <f t="shared" ref="T143:U143" si="142">T137+T142</f>
        <v>1126523</v>
      </c>
      <c r="U143" s="248">
        <f t="shared" si="142"/>
        <v>1126561</v>
      </c>
      <c r="V143" s="248">
        <f t="shared" si="141"/>
        <v>954419</v>
      </c>
      <c r="W143" s="728">
        <f t="shared" si="127"/>
        <v>0.84722548940412223</v>
      </c>
      <c r="X143" s="27">
        <f t="shared" si="139"/>
        <v>2098</v>
      </c>
      <c r="Y143" s="27">
        <f t="shared" si="139"/>
        <v>0</v>
      </c>
      <c r="Z143" s="27">
        <f t="shared" si="139"/>
        <v>-10639</v>
      </c>
      <c r="AA143" s="27">
        <f t="shared" si="139"/>
        <v>0</v>
      </c>
      <c r="AB143" s="27">
        <f t="shared" si="139"/>
        <v>0</v>
      </c>
      <c r="AC143" s="27">
        <f t="shared" si="139"/>
        <v>3639</v>
      </c>
      <c r="AD143" s="27">
        <f t="shared" si="139"/>
        <v>0</v>
      </c>
      <c r="AE143" s="27">
        <f t="shared" si="139"/>
        <v>35997</v>
      </c>
      <c r="AF143" s="27">
        <f t="shared" si="139"/>
        <v>0</v>
      </c>
      <c r="AG143" s="27">
        <f t="shared" si="139"/>
        <v>0</v>
      </c>
      <c r="AH143" s="27">
        <f t="shared" si="139"/>
        <v>-55</v>
      </c>
      <c r="AI143" s="27">
        <f t="shared" si="139"/>
        <v>-866</v>
      </c>
      <c r="AJ143" s="27">
        <f t="shared" si="139"/>
        <v>0</v>
      </c>
      <c r="AK143" s="27">
        <f t="shared" si="139"/>
        <v>-1000</v>
      </c>
      <c r="AL143" s="27">
        <f t="shared" si="139"/>
        <v>10579</v>
      </c>
      <c r="AM143" s="27">
        <f t="shared" si="139"/>
        <v>15670</v>
      </c>
      <c r="AN143" s="27">
        <f t="shared" si="140"/>
        <v>0</v>
      </c>
      <c r="AO143" s="27">
        <f t="shared" si="140"/>
        <v>38</v>
      </c>
    </row>
    <row r="144" spans="1:41" ht="27.75" customHeight="1" thickBot="1" x14ac:dyDescent="0.3">
      <c r="A144" s="249" t="s">
        <v>155</v>
      </c>
      <c r="B144" s="140"/>
      <c r="C144" s="252">
        <f t="shared" ref="C144:V144" si="143">C130+C143</f>
        <v>2990485</v>
      </c>
      <c r="D144" s="252">
        <f t="shared" si="143"/>
        <v>2995354</v>
      </c>
      <c r="E144" s="252">
        <f t="shared" si="143"/>
        <v>3012464</v>
      </c>
      <c r="F144" s="252">
        <f t="shared" si="143"/>
        <v>3005688</v>
      </c>
      <c r="G144" s="252">
        <f t="shared" si="143"/>
        <v>3005688</v>
      </c>
      <c r="H144" s="252">
        <f t="shared" si="143"/>
        <v>3005688</v>
      </c>
      <c r="I144" s="252">
        <f t="shared" si="143"/>
        <v>3017644</v>
      </c>
      <c r="J144" s="252">
        <f t="shared" si="143"/>
        <v>3018568</v>
      </c>
      <c r="K144" s="252">
        <f t="shared" si="143"/>
        <v>3116397</v>
      </c>
      <c r="L144" s="252">
        <f t="shared" si="143"/>
        <v>3117942</v>
      </c>
      <c r="M144" s="252">
        <f t="shared" si="143"/>
        <v>3117942</v>
      </c>
      <c r="N144" s="252">
        <f t="shared" si="143"/>
        <v>3122341</v>
      </c>
      <c r="O144" s="252">
        <f t="shared" si="143"/>
        <v>3124538</v>
      </c>
      <c r="P144" s="252">
        <f t="shared" si="143"/>
        <v>3126138</v>
      </c>
      <c r="Q144" s="252">
        <f t="shared" si="143"/>
        <v>3125138</v>
      </c>
      <c r="R144" s="252">
        <f t="shared" si="143"/>
        <v>3166419</v>
      </c>
      <c r="S144" s="252">
        <f t="shared" si="143"/>
        <v>3191267</v>
      </c>
      <c r="T144" s="252">
        <f t="shared" ref="T144:U144" si="144">T130+T143</f>
        <v>3191267</v>
      </c>
      <c r="U144" s="252">
        <f t="shared" si="144"/>
        <v>3221440</v>
      </c>
      <c r="V144" s="252">
        <f t="shared" si="143"/>
        <v>2286060</v>
      </c>
      <c r="W144" s="728">
        <f t="shared" si="127"/>
        <v>0.71634871040248282</v>
      </c>
      <c r="X144" s="27">
        <f t="shared" si="139"/>
        <v>4869</v>
      </c>
      <c r="Y144" s="27">
        <f t="shared" si="139"/>
        <v>17110</v>
      </c>
      <c r="Z144" s="27">
        <f t="shared" si="139"/>
        <v>-6776</v>
      </c>
      <c r="AA144" s="27">
        <f t="shared" si="139"/>
        <v>0</v>
      </c>
      <c r="AB144" s="27">
        <f t="shared" si="139"/>
        <v>0</v>
      </c>
      <c r="AC144" s="27">
        <f t="shared" si="139"/>
        <v>11956</v>
      </c>
      <c r="AD144" s="27">
        <f t="shared" si="139"/>
        <v>924</v>
      </c>
      <c r="AE144" s="27">
        <f t="shared" si="139"/>
        <v>97829</v>
      </c>
      <c r="AF144" s="27">
        <f t="shared" si="139"/>
        <v>1545</v>
      </c>
      <c r="AG144" s="27">
        <f t="shared" si="139"/>
        <v>0</v>
      </c>
      <c r="AH144" s="27">
        <f t="shared" si="139"/>
        <v>4399</v>
      </c>
      <c r="AI144" s="27">
        <f t="shared" si="139"/>
        <v>2197</v>
      </c>
      <c r="AJ144" s="27">
        <f t="shared" si="139"/>
        <v>1600</v>
      </c>
      <c r="AK144" s="27">
        <f t="shared" si="139"/>
        <v>-1000</v>
      </c>
      <c r="AL144" s="27">
        <f t="shared" si="139"/>
        <v>41281</v>
      </c>
      <c r="AM144" s="27">
        <f t="shared" si="139"/>
        <v>24848</v>
      </c>
      <c r="AN144" s="27">
        <f t="shared" si="140"/>
        <v>0</v>
      </c>
      <c r="AO144" s="27">
        <f t="shared" si="140"/>
        <v>30173</v>
      </c>
    </row>
    <row r="145" spans="1:3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7">
        <f>K144-J144</f>
        <v>97829</v>
      </c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728"/>
      <c r="X145" s="1"/>
    </row>
    <row r="146" spans="1:3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728"/>
      <c r="X146" s="1"/>
    </row>
    <row r="147" spans="1:39" ht="26.25" customHeight="1" thickBot="1" x14ac:dyDescent="0.3">
      <c r="A147" s="874" t="s">
        <v>156</v>
      </c>
      <c r="B147" s="875"/>
      <c r="C147" s="875"/>
      <c r="D147" s="875"/>
      <c r="E147" s="875"/>
      <c r="F147" s="875"/>
      <c r="G147" s="875"/>
      <c r="H147" s="875"/>
      <c r="I147" s="875"/>
      <c r="J147" s="875"/>
      <c r="K147" s="875"/>
      <c r="L147" s="875"/>
      <c r="M147" s="875"/>
      <c r="N147" s="875"/>
      <c r="O147" s="875"/>
      <c r="P147" s="875"/>
      <c r="Q147" s="875"/>
      <c r="R147" s="875"/>
      <c r="S147" s="875"/>
      <c r="T147" s="875"/>
      <c r="U147" s="875"/>
      <c r="V147" s="875"/>
      <c r="W147" s="728"/>
      <c r="X147" s="1"/>
    </row>
    <row r="148" spans="1:39" ht="38.25" customHeight="1" thickBot="1" x14ac:dyDescent="0.3">
      <c r="A148" s="876" t="s">
        <v>1</v>
      </c>
      <c r="B148" s="877"/>
      <c r="C148" s="387" t="s">
        <v>467</v>
      </c>
      <c r="D148" s="387" t="s">
        <v>465</v>
      </c>
      <c r="E148" s="387" t="s">
        <v>483</v>
      </c>
      <c r="F148" s="387" t="s">
        <v>500</v>
      </c>
      <c r="G148" s="387" t="s">
        <v>533</v>
      </c>
      <c r="H148" s="387" t="s">
        <v>578</v>
      </c>
      <c r="I148" s="387" t="s">
        <v>610</v>
      </c>
      <c r="J148" s="387" t="s">
        <v>579</v>
      </c>
      <c r="K148" s="387" t="s">
        <v>646</v>
      </c>
      <c r="L148" s="387" t="s">
        <v>637</v>
      </c>
      <c r="M148" s="387" t="s">
        <v>670</v>
      </c>
      <c r="N148" s="387" t="s">
        <v>680</v>
      </c>
      <c r="O148" s="387" t="s">
        <v>749</v>
      </c>
      <c r="P148" s="387" t="s">
        <v>774</v>
      </c>
      <c r="Q148" s="387" t="s">
        <v>783</v>
      </c>
      <c r="R148" s="387" t="s">
        <v>784</v>
      </c>
      <c r="S148" s="387" t="s">
        <v>885</v>
      </c>
      <c r="T148" s="387" t="s">
        <v>894</v>
      </c>
      <c r="U148" s="387" t="s">
        <v>913</v>
      </c>
      <c r="V148" s="387" t="s">
        <v>893</v>
      </c>
      <c r="W148" s="728"/>
      <c r="X148" s="1"/>
    </row>
    <row r="149" spans="1:39" ht="25.5" customHeight="1" thickBot="1" x14ac:dyDescent="0.3">
      <c r="A149" s="878" t="s">
        <v>157</v>
      </c>
      <c r="B149" s="879"/>
      <c r="C149" s="253">
        <f t="shared" ref="C149:V149" si="145">SUM(C150:C168)</f>
        <v>2593450</v>
      </c>
      <c r="D149" s="253">
        <f t="shared" si="145"/>
        <v>2523450</v>
      </c>
      <c r="E149" s="253">
        <f t="shared" si="145"/>
        <v>2511270</v>
      </c>
      <c r="F149" s="253">
        <f t="shared" si="145"/>
        <v>2511270</v>
      </c>
      <c r="G149" s="253">
        <f t="shared" si="145"/>
        <v>2541070</v>
      </c>
      <c r="H149" s="253">
        <f t="shared" si="145"/>
        <v>2541070</v>
      </c>
      <c r="I149" s="253">
        <f t="shared" si="145"/>
        <v>2541070</v>
      </c>
      <c r="J149" s="253">
        <f t="shared" si="145"/>
        <v>2541070</v>
      </c>
      <c r="K149" s="253">
        <f t="shared" si="145"/>
        <v>2541070</v>
      </c>
      <c r="L149" s="253">
        <f t="shared" si="145"/>
        <v>2614470</v>
      </c>
      <c r="M149" s="253">
        <f t="shared" si="145"/>
        <v>2714670</v>
      </c>
      <c r="N149" s="253">
        <f t="shared" si="145"/>
        <v>2714670</v>
      </c>
      <c r="O149" s="253">
        <f t="shared" si="145"/>
        <v>2809670</v>
      </c>
      <c r="P149" s="253">
        <f t="shared" si="145"/>
        <v>2809670</v>
      </c>
      <c r="Q149" s="253">
        <f t="shared" si="145"/>
        <v>3949970</v>
      </c>
      <c r="R149" s="253">
        <f t="shared" si="145"/>
        <v>3949970</v>
      </c>
      <c r="S149" s="253">
        <f t="shared" si="145"/>
        <v>3949970</v>
      </c>
      <c r="T149" s="253">
        <f t="shared" ref="T149:U149" si="146">SUM(T150:T168)</f>
        <v>3949970</v>
      </c>
      <c r="U149" s="253">
        <f t="shared" si="146"/>
        <v>3949970</v>
      </c>
      <c r="V149" s="253">
        <f t="shared" si="145"/>
        <v>406018.73</v>
      </c>
      <c r="W149" s="728">
        <f t="shared" si="127"/>
        <v>0.10279033258480444</v>
      </c>
      <c r="X149" s="27">
        <f t="shared" ref="X149:AM149" si="147">D149-C149</f>
        <v>-70000</v>
      </c>
      <c r="Y149" s="27">
        <f t="shared" si="147"/>
        <v>-12180</v>
      </c>
      <c r="Z149" s="27">
        <f t="shared" si="147"/>
        <v>0</v>
      </c>
      <c r="AA149" s="27">
        <f t="shared" si="147"/>
        <v>29800</v>
      </c>
      <c r="AB149" s="27">
        <f t="shared" si="147"/>
        <v>0</v>
      </c>
      <c r="AC149" s="27">
        <f t="shared" si="147"/>
        <v>0</v>
      </c>
      <c r="AD149" s="27">
        <f t="shared" si="147"/>
        <v>0</v>
      </c>
      <c r="AE149" s="27">
        <f t="shared" si="147"/>
        <v>0</v>
      </c>
      <c r="AF149" s="27">
        <f t="shared" si="147"/>
        <v>73400</v>
      </c>
      <c r="AG149" s="27">
        <f t="shared" si="147"/>
        <v>100200</v>
      </c>
      <c r="AH149" s="27">
        <f t="shared" si="147"/>
        <v>0</v>
      </c>
      <c r="AI149" s="27">
        <f t="shared" si="147"/>
        <v>95000</v>
      </c>
      <c r="AJ149" s="27">
        <f t="shared" si="147"/>
        <v>0</v>
      </c>
      <c r="AK149" s="27">
        <f t="shared" si="147"/>
        <v>1140300</v>
      </c>
      <c r="AL149" s="27">
        <f t="shared" si="147"/>
        <v>0</v>
      </c>
      <c r="AM149" s="27">
        <f t="shared" si="147"/>
        <v>0</v>
      </c>
    </row>
    <row r="150" spans="1:39" ht="15.75" thickBot="1" x14ac:dyDescent="0.3">
      <c r="A150" s="77">
        <v>233</v>
      </c>
      <c r="B150" s="311" t="s">
        <v>158</v>
      </c>
      <c r="C150" s="255">
        <v>3000</v>
      </c>
      <c r="D150" s="255">
        <v>3000</v>
      </c>
      <c r="E150" s="255">
        <v>3000</v>
      </c>
      <c r="F150" s="255">
        <v>3000</v>
      </c>
      <c r="G150" s="255">
        <v>3000</v>
      </c>
      <c r="H150" s="255">
        <v>3000</v>
      </c>
      <c r="I150" s="255">
        <v>3000</v>
      </c>
      <c r="J150" s="255">
        <v>3000</v>
      </c>
      <c r="K150" s="255">
        <v>3000</v>
      </c>
      <c r="L150" s="255">
        <v>3000</v>
      </c>
      <c r="M150" s="255">
        <v>3000</v>
      </c>
      <c r="N150" s="255">
        <v>3000</v>
      </c>
      <c r="O150" s="255">
        <v>3000</v>
      </c>
      <c r="P150" s="255">
        <v>3000</v>
      </c>
      <c r="Q150" s="255">
        <v>3000</v>
      </c>
      <c r="R150" s="255">
        <v>3000</v>
      </c>
      <c r="S150" s="255">
        <v>3000</v>
      </c>
      <c r="T150" s="255">
        <v>3000</v>
      </c>
      <c r="U150" s="255">
        <v>3000</v>
      </c>
      <c r="V150" s="255">
        <v>0</v>
      </c>
      <c r="W150" s="728">
        <f t="shared" si="127"/>
        <v>0</v>
      </c>
      <c r="X150" s="1"/>
    </row>
    <row r="151" spans="1:39" x14ac:dyDescent="0.25">
      <c r="A151" s="261">
        <v>322</v>
      </c>
      <c r="B151" s="264" t="s">
        <v>356</v>
      </c>
      <c r="C151" s="260">
        <v>145000</v>
      </c>
      <c r="D151" s="260">
        <v>145000</v>
      </c>
      <c r="E151" s="260">
        <v>145000</v>
      </c>
      <c r="F151" s="260">
        <v>145000</v>
      </c>
      <c r="G151" s="260">
        <v>145000</v>
      </c>
      <c r="H151" s="260">
        <v>145000</v>
      </c>
      <c r="I151" s="260">
        <v>145000</v>
      </c>
      <c r="J151" s="260">
        <v>145000</v>
      </c>
      <c r="K151" s="260">
        <v>145000</v>
      </c>
      <c r="L151" s="260">
        <v>145000</v>
      </c>
      <c r="M151" s="260">
        <v>145000</v>
      </c>
      <c r="N151" s="260">
        <v>145000</v>
      </c>
      <c r="O151" s="260">
        <v>145000</v>
      </c>
      <c r="P151" s="260">
        <v>145000</v>
      </c>
      <c r="Q151" s="260">
        <v>145000</v>
      </c>
      <c r="R151" s="260">
        <v>145000</v>
      </c>
      <c r="S151" s="260">
        <v>145000</v>
      </c>
      <c r="T151" s="260">
        <v>145000</v>
      </c>
      <c r="U151" s="260">
        <v>145000</v>
      </c>
      <c r="V151" s="699">
        <v>0</v>
      </c>
      <c r="W151" s="728">
        <f t="shared" si="127"/>
        <v>0</v>
      </c>
      <c r="X151" s="1"/>
    </row>
    <row r="152" spans="1:39" x14ac:dyDescent="0.25">
      <c r="A152" s="261">
        <v>322</v>
      </c>
      <c r="B152" s="76" t="s">
        <v>355</v>
      </c>
      <c r="C152" s="263">
        <v>430000</v>
      </c>
      <c r="D152" s="263">
        <v>430000</v>
      </c>
      <c r="E152" s="263">
        <v>430000</v>
      </c>
      <c r="F152" s="263">
        <v>430000</v>
      </c>
      <c r="G152" s="263">
        <v>430000</v>
      </c>
      <c r="H152" s="263">
        <v>430000</v>
      </c>
      <c r="I152" s="263">
        <v>430000</v>
      </c>
      <c r="J152" s="263">
        <v>430000</v>
      </c>
      <c r="K152" s="263">
        <v>430000</v>
      </c>
      <c r="L152" s="263">
        <v>430000</v>
      </c>
      <c r="M152" s="263">
        <v>430000</v>
      </c>
      <c r="N152" s="263">
        <v>430000</v>
      </c>
      <c r="O152" s="263">
        <v>430000</v>
      </c>
      <c r="P152" s="263">
        <v>430000</v>
      </c>
      <c r="Q152" s="263">
        <v>430000</v>
      </c>
      <c r="R152" s="263">
        <v>430000</v>
      </c>
      <c r="S152" s="263">
        <v>430000</v>
      </c>
      <c r="T152" s="263">
        <v>430000</v>
      </c>
      <c r="U152" s="263">
        <v>430000</v>
      </c>
      <c r="V152" s="263">
        <v>238643.73</v>
      </c>
      <c r="W152" s="728">
        <f t="shared" si="127"/>
        <v>0.55498541860465123</v>
      </c>
      <c r="X152" s="1"/>
    </row>
    <row r="153" spans="1:39" x14ac:dyDescent="0.25">
      <c r="A153" s="261">
        <v>322</v>
      </c>
      <c r="B153" s="84" t="s">
        <v>348</v>
      </c>
      <c r="C153" s="263">
        <v>138200</v>
      </c>
      <c r="D153" s="263">
        <v>138200</v>
      </c>
      <c r="E153" s="263">
        <v>138200</v>
      </c>
      <c r="F153" s="263">
        <v>138200</v>
      </c>
      <c r="G153" s="263">
        <v>138200</v>
      </c>
      <c r="H153" s="263">
        <v>138200</v>
      </c>
      <c r="I153" s="263">
        <v>138200</v>
      </c>
      <c r="J153" s="263">
        <v>138200</v>
      </c>
      <c r="K153" s="263">
        <v>138200</v>
      </c>
      <c r="L153" s="263">
        <v>138200</v>
      </c>
      <c r="M153" s="263">
        <v>138200</v>
      </c>
      <c r="N153" s="263">
        <v>138200</v>
      </c>
      <c r="O153" s="263">
        <v>138200</v>
      </c>
      <c r="P153" s="263">
        <v>138200</v>
      </c>
      <c r="Q153" s="263">
        <v>138200</v>
      </c>
      <c r="R153" s="263">
        <v>138200</v>
      </c>
      <c r="S153" s="263">
        <v>138200</v>
      </c>
      <c r="T153" s="263">
        <v>138200</v>
      </c>
      <c r="U153" s="263">
        <v>138200</v>
      </c>
      <c r="V153" s="260">
        <v>0</v>
      </c>
      <c r="W153" s="728">
        <f t="shared" si="127"/>
        <v>0</v>
      </c>
      <c r="X153" s="1"/>
    </row>
    <row r="154" spans="1:39" x14ac:dyDescent="0.25">
      <c r="A154" s="261">
        <v>322</v>
      </c>
      <c r="B154" s="76" t="s">
        <v>353</v>
      </c>
      <c r="C154" s="263">
        <v>1146000</v>
      </c>
      <c r="D154" s="263">
        <v>1146000</v>
      </c>
      <c r="E154" s="263">
        <v>1146000</v>
      </c>
      <c r="F154" s="263">
        <v>1146000</v>
      </c>
      <c r="G154" s="263">
        <v>1146000</v>
      </c>
      <c r="H154" s="263">
        <v>1146000</v>
      </c>
      <c r="I154" s="263">
        <v>1146000</v>
      </c>
      <c r="J154" s="263">
        <v>1146000</v>
      </c>
      <c r="K154" s="263">
        <v>1146000</v>
      </c>
      <c r="L154" s="263">
        <v>1146000</v>
      </c>
      <c r="M154" s="812">
        <f>1146000+200</f>
        <v>1146200</v>
      </c>
      <c r="N154" s="263">
        <f>1146000+200</f>
        <v>1146200</v>
      </c>
      <c r="O154" s="263">
        <f>1146000+200</f>
        <v>1146200</v>
      </c>
      <c r="P154" s="263">
        <f>1146000+200</f>
        <v>1146200</v>
      </c>
      <c r="Q154" s="263">
        <f t="shared" ref="Q154:U154" si="148">1146000+200</f>
        <v>1146200</v>
      </c>
      <c r="R154" s="263">
        <f t="shared" si="148"/>
        <v>1146200</v>
      </c>
      <c r="S154" s="263">
        <f t="shared" si="148"/>
        <v>1146200</v>
      </c>
      <c r="T154" s="263">
        <f t="shared" si="148"/>
        <v>1146200</v>
      </c>
      <c r="U154" s="263">
        <f t="shared" si="148"/>
        <v>1146200</v>
      </c>
      <c r="V154" s="260">
        <v>0</v>
      </c>
      <c r="W154" s="728">
        <f t="shared" si="127"/>
        <v>0</v>
      </c>
      <c r="X154" s="1"/>
    </row>
    <row r="155" spans="1:39" x14ac:dyDescent="0.25">
      <c r="A155" s="258">
        <v>322</v>
      </c>
      <c r="B155" s="72" t="s">
        <v>352</v>
      </c>
      <c r="C155" s="260">
        <v>379400</v>
      </c>
      <c r="D155" s="260">
        <v>379400</v>
      </c>
      <c r="E155" s="763">
        <f t="shared" ref="E155:U155" si="149">379400+680</f>
        <v>380080</v>
      </c>
      <c r="F155" s="260">
        <f t="shared" si="149"/>
        <v>380080</v>
      </c>
      <c r="G155" s="260">
        <f t="shared" si="149"/>
        <v>380080</v>
      </c>
      <c r="H155" s="260">
        <f t="shared" si="149"/>
        <v>380080</v>
      </c>
      <c r="I155" s="260">
        <f t="shared" si="149"/>
        <v>380080</v>
      </c>
      <c r="J155" s="260">
        <f t="shared" si="149"/>
        <v>380080</v>
      </c>
      <c r="K155" s="260">
        <f t="shared" si="149"/>
        <v>380080</v>
      </c>
      <c r="L155" s="260">
        <f t="shared" si="149"/>
        <v>380080</v>
      </c>
      <c r="M155" s="260">
        <f t="shared" si="149"/>
        <v>380080</v>
      </c>
      <c r="N155" s="260">
        <f t="shared" si="149"/>
        <v>380080</v>
      </c>
      <c r="O155" s="260">
        <f t="shared" si="149"/>
        <v>380080</v>
      </c>
      <c r="P155" s="260">
        <f t="shared" si="149"/>
        <v>380080</v>
      </c>
      <c r="Q155" s="260">
        <f t="shared" si="149"/>
        <v>380080</v>
      </c>
      <c r="R155" s="260">
        <f t="shared" si="149"/>
        <v>380080</v>
      </c>
      <c r="S155" s="260">
        <f t="shared" si="149"/>
        <v>380080</v>
      </c>
      <c r="T155" s="260">
        <f t="shared" si="149"/>
        <v>380080</v>
      </c>
      <c r="U155" s="260">
        <f t="shared" si="149"/>
        <v>380080</v>
      </c>
      <c r="V155" s="260">
        <v>0</v>
      </c>
      <c r="W155" s="728">
        <f t="shared" si="127"/>
        <v>0</v>
      </c>
      <c r="X155" s="1"/>
    </row>
    <row r="156" spans="1:39" x14ac:dyDescent="0.25">
      <c r="A156" s="258">
        <v>322</v>
      </c>
      <c r="B156" s="72" t="s">
        <v>351</v>
      </c>
      <c r="C156" s="257">
        <v>50000</v>
      </c>
      <c r="D156" s="257">
        <v>50000</v>
      </c>
      <c r="E156" s="257">
        <v>50000</v>
      </c>
      <c r="F156" s="257">
        <v>50000</v>
      </c>
      <c r="G156" s="257">
        <v>50000</v>
      </c>
      <c r="H156" s="257">
        <v>50000</v>
      </c>
      <c r="I156" s="257">
        <v>50000</v>
      </c>
      <c r="J156" s="257">
        <v>50000</v>
      </c>
      <c r="K156" s="257">
        <v>50000</v>
      </c>
      <c r="L156" s="257">
        <v>50000</v>
      </c>
      <c r="M156" s="257">
        <v>50000</v>
      </c>
      <c r="N156" s="257">
        <v>50000</v>
      </c>
      <c r="O156" s="257">
        <v>50000</v>
      </c>
      <c r="P156" s="257">
        <v>50000</v>
      </c>
      <c r="Q156" s="257">
        <v>50000</v>
      </c>
      <c r="R156" s="257">
        <v>50000</v>
      </c>
      <c r="S156" s="257">
        <v>50000</v>
      </c>
      <c r="T156" s="257">
        <v>50000</v>
      </c>
      <c r="U156" s="257">
        <v>50000</v>
      </c>
      <c r="V156" s="260">
        <v>0</v>
      </c>
      <c r="W156" s="728">
        <f t="shared" si="127"/>
        <v>0</v>
      </c>
      <c r="X156" s="1"/>
    </row>
    <row r="157" spans="1:39" x14ac:dyDescent="0.25">
      <c r="A157" s="258">
        <v>322</v>
      </c>
      <c r="B157" s="114" t="s">
        <v>349</v>
      </c>
      <c r="C157" s="257">
        <v>196500</v>
      </c>
      <c r="D157" s="257">
        <v>196500</v>
      </c>
      <c r="E157" s="688">
        <f t="shared" ref="E157:U157" si="150">196500-12860</f>
        <v>183640</v>
      </c>
      <c r="F157" s="257">
        <f t="shared" si="150"/>
        <v>183640</v>
      </c>
      <c r="G157" s="257">
        <f t="shared" si="150"/>
        <v>183640</v>
      </c>
      <c r="H157" s="257">
        <f t="shared" si="150"/>
        <v>183640</v>
      </c>
      <c r="I157" s="257">
        <f t="shared" si="150"/>
        <v>183640</v>
      </c>
      <c r="J157" s="257">
        <f t="shared" si="150"/>
        <v>183640</v>
      </c>
      <c r="K157" s="257">
        <f t="shared" si="150"/>
        <v>183640</v>
      </c>
      <c r="L157" s="257">
        <f t="shared" si="150"/>
        <v>183640</v>
      </c>
      <c r="M157" s="257">
        <f t="shared" si="150"/>
        <v>183640</v>
      </c>
      <c r="N157" s="257">
        <f t="shared" si="150"/>
        <v>183640</v>
      </c>
      <c r="O157" s="257">
        <f t="shared" si="150"/>
        <v>183640</v>
      </c>
      <c r="P157" s="257">
        <f t="shared" si="150"/>
        <v>183640</v>
      </c>
      <c r="Q157" s="257">
        <f t="shared" si="150"/>
        <v>183640</v>
      </c>
      <c r="R157" s="257">
        <f t="shared" si="150"/>
        <v>183640</v>
      </c>
      <c r="S157" s="257">
        <f t="shared" si="150"/>
        <v>183640</v>
      </c>
      <c r="T157" s="257">
        <f t="shared" si="150"/>
        <v>183640</v>
      </c>
      <c r="U157" s="257">
        <f t="shared" si="150"/>
        <v>183640</v>
      </c>
      <c r="V157" s="260">
        <v>72375</v>
      </c>
      <c r="W157" s="728">
        <f t="shared" si="127"/>
        <v>0.39411348290132869</v>
      </c>
      <c r="X157" s="1"/>
    </row>
    <row r="158" spans="1:39" x14ac:dyDescent="0.25">
      <c r="A158" s="258">
        <v>322</v>
      </c>
      <c r="B158" s="114" t="s">
        <v>635</v>
      </c>
      <c r="C158" s="257">
        <v>0</v>
      </c>
      <c r="D158" s="257">
        <v>0</v>
      </c>
      <c r="E158" s="257">
        <v>0</v>
      </c>
      <c r="F158" s="257">
        <v>0</v>
      </c>
      <c r="G158" s="688">
        <v>29800</v>
      </c>
      <c r="H158" s="257">
        <v>29800</v>
      </c>
      <c r="I158" s="257">
        <v>29800</v>
      </c>
      <c r="J158" s="257">
        <v>29800</v>
      </c>
      <c r="K158" s="257">
        <v>29800</v>
      </c>
      <c r="L158" s="257">
        <v>29800</v>
      </c>
      <c r="M158" s="257">
        <v>29800</v>
      </c>
      <c r="N158" s="257">
        <v>29800</v>
      </c>
      <c r="O158" s="257">
        <v>29800</v>
      </c>
      <c r="P158" s="257">
        <v>29800</v>
      </c>
      <c r="Q158" s="257">
        <v>29800</v>
      </c>
      <c r="R158" s="257">
        <v>29800</v>
      </c>
      <c r="S158" s="257">
        <v>29800</v>
      </c>
      <c r="T158" s="257">
        <v>29800</v>
      </c>
      <c r="U158" s="257">
        <v>29800</v>
      </c>
      <c r="V158" s="260">
        <v>0</v>
      </c>
      <c r="W158" s="728">
        <f t="shared" si="127"/>
        <v>0</v>
      </c>
      <c r="X158" s="1"/>
    </row>
    <row r="159" spans="1:39" x14ac:dyDescent="0.25">
      <c r="A159" s="83">
        <v>322</v>
      </c>
      <c r="B159" s="522" t="s">
        <v>638</v>
      </c>
      <c r="C159" s="257">
        <v>0</v>
      </c>
      <c r="D159" s="257">
        <v>0</v>
      </c>
      <c r="E159" s="257">
        <v>0</v>
      </c>
      <c r="F159" s="257">
        <v>0</v>
      </c>
      <c r="G159" s="257">
        <v>0</v>
      </c>
      <c r="H159" s="257">
        <v>0</v>
      </c>
      <c r="I159" s="257">
        <v>0</v>
      </c>
      <c r="J159" s="257">
        <v>0</v>
      </c>
      <c r="K159" s="257">
        <v>0</v>
      </c>
      <c r="L159" s="688">
        <v>73400</v>
      </c>
      <c r="M159" s="257">
        <v>73400</v>
      </c>
      <c r="N159" s="257">
        <v>73400</v>
      </c>
      <c r="O159" s="257">
        <v>73400</v>
      </c>
      <c r="P159" s="257">
        <v>73400</v>
      </c>
      <c r="Q159" s="257">
        <v>73400</v>
      </c>
      <c r="R159" s="257">
        <v>73400</v>
      </c>
      <c r="S159" s="257">
        <v>73400</v>
      </c>
      <c r="T159" s="257">
        <v>73400</v>
      </c>
      <c r="U159" s="257">
        <v>73400</v>
      </c>
      <c r="V159" s="260">
        <v>0</v>
      </c>
      <c r="W159" s="728">
        <f t="shared" si="127"/>
        <v>0</v>
      </c>
      <c r="X159" s="1"/>
    </row>
    <row r="160" spans="1:39" x14ac:dyDescent="0.25">
      <c r="A160" s="258">
        <v>322</v>
      </c>
      <c r="B160" s="522" t="s">
        <v>681</v>
      </c>
      <c r="C160" s="257">
        <v>0</v>
      </c>
      <c r="D160" s="257">
        <v>0</v>
      </c>
      <c r="E160" s="257">
        <v>0</v>
      </c>
      <c r="F160" s="257">
        <v>0</v>
      </c>
      <c r="G160" s="257">
        <v>0</v>
      </c>
      <c r="H160" s="257">
        <v>0</v>
      </c>
      <c r="I160" s="257">
        <v>0</v>
      </c>
      <c r="J160" s="257">
        <v>0</v>
      </c>
      <c r="K160" s="257">
        <v>0</v>
      </c>
      <c r="L160" s="257">
        <v>0</v>
      </c>
      <c r="M160" s="688">
        <v>100000</v>
      </c>
      <c r="N160" s="257">
        <v>100000</v>
      </c>
      <c r="O160" s="257">
        <v>100000</v>
      </c>
      <c r="P160" s="257">
        <v>100000</v>
      </c>
      <c r="Q160" s="257">
        <v>100000</v>
      </c>
      <c r="R160" s="257">
        <v>100000</v>
      </c>
      <c r="S160" s="257">
        <v>100000</v>
      </c>
      <c r="T160" s="257">
        <v>100000</v>
      </c>
      <c r="U160" s="257">
        <v>100000</v>
      </c>
      <c r="V160" s="260">
        <v>0</v>
      </c>
      <c r="W160" s="728">
        <f t="shared" si="127"/>
        <v>0</v>
      </c>
      <c r="X160" s="1"/>
    </row>
    <row r="161" spans="1:39" x14ac:dyDescent="0.25">
      <c r="A161" s="258">
        <v>322</v>
      </c>
      <c r="B161" s="522" t="s">
        <v>842</v>
      </c>
      <c r="C161" s="257">
        <v>0</v>
      </c>
      <c r="D161" s="257">
        <v>0</v>
      </c>
      <c r="E161" s="257">
        <v>0</v>
      </c>
      <c r="F161" s="257">
        <v>0</v>
      </c>
      <c r="G161" s="257">
        <v>0</v>
      </c>
      <c r="H161" s="257">
        <v>0</v>
      </c>
      <c r="I161" s="257">
        <v>0</v>
      </c>
      <c r="J161" s="257">
        <v>0</v>
      </c>
      <c r="K161" s="257">
        <v>0</v>
      </c>
      <c r="L161" s="257">
        <v>0</v>
      </c>
      <c r="M161" s="257">
        <v>0</v>
      </c>
      <c r="N161" s="257">
        <v>0</v>
      </c>
      <c r="O161" s="688">
        <v>95000</v>
      </c>
      <c r="P161" s="257">
        <v>95000</v>
      </c>
      <c r="Q161" s="257">
        <v>95000</v>
      </c>
      <c r="R161" s="257">
        <v>95000</v>
      </c>
      <c r="S161" s="257">
        <v>95000</v>
      </c>
      <c r="T161" s="257">
        <v>95000</v>
      </c>
      <c r="U161" s="257">
        <v>95000</v>
      </c>
      <c r="V161" s="260">
        <v>95000</v>
      </c>
      <c r="W161" s="728">
        <f t="shared" si="127"/>
        <v>1</v>
      </c>
      <c r="X161" s="1"/>
    </row>
    <row r="162" spans="1:39" x14ac:dyDescent="0.25">
      <c r="A162" s="258">
        <v>322</v>
      </c>
      <c r="B162" s="264" t="s">
        <v>286</v>
      </c>
      <c r="C162" s="260">
        <v>70000</v>
      </c>
      <c r="D162" s="260">
        <f t="shared" ref="D162:P162" si="151">70000-70000</f>
        <v>0</v>
      </c>
      <c r="E162" s="260">
        <f t="shared" si="151"/>
        <v>0</v>
      </c>
      <c r="F162" s="260">
        <f t="shared" si="151"/>
        <v>0</v>
      </c>
      <c r="G162" s="260">
        <f t="shared" si="151"/>
        <v>0</v>
      </c>
      <c r="H162" s="260">
        <f t="shared" si="151"/>
        <v>0</v>
      </c>
      <c r="I162" s="260">
        <f t="shared" si="151"/>
        <v>0</v>
      </c>
      <c r="J162" s="260">
        <f t="shared" si="151"/>
        <v>0</v>
      </c>
      <c r="K162" s="260">
        <f t="shared" si="151"/>
        <v>0</v>
      </c>
      <c r="L162" s="260">
        <f t="shared" si="151"/>
        <v>0</v>
      </c>
      <c r="M162" s="260">
        <f t="shared" si="151"/>
        <v>0</v>
      </c>
      <c r="N162" s="260">
        <f t="shared" si="151"/>
        <v>0</v>
      </c>
      <c r="O162" s="260">
        <f t="shared" si="151"/>
        <v>0</v>
      </c>
      <c r="P162" s="260">
        <f t="shared" si="151"/>
        <v>0</v>
      </c>
      <c r="Q162" s="260">
        <v>0</v>
      </c>
      <c r="R162" s="260">
        <v>0</v>
      </c>
      <c r="S162" s="260">
        <v>0</v>
      </c>
      <c r="T162" s="260">
        <v>0</v>
      </c>
      <c r="U162" s="260">
        <v>0</v>
      </c>
      <c r="V162" s="260">
        <v>0</v>
      </c>
      <c r="W162" s="728">
        <v>0</v>
      </c>
      <c r="X162" s="1"/>
    </row>
    <row r="163" spans="1:39" x14ac:dyDescent="0.25">
      <c r="A163" s="261">
        <v>322</v>
      </c>
      <c r="B163" s="76" t="s">
        <v>787</v>
      </c>
      <c r="C163" s="263">
        <v>0</v>
      </c>
      <c r="D163" s="263">
        <v>0</v>
      </c>
      <c r="E163" s="263">
        <v>0</v>
      </c>
      <c r="F163" s="263">
        <v>0</v>
      </c>
      <c r="G163" s="263">
        <v>0</v>
      </c>
      <c r="H163" s="263">
        <v>0</v>
      </c>
      <c r="I163" s="263">
        <v>0</v>
      </c>
      <c r="J163" s="263">
        <v>0</v>
      </c>
      <c r="K163" s="263">
        <v>0</v>
      </c>
      <c r="L163" s="263">
        <v>0</v>
      </c>
      <c r="M163" s="263">
        <v>0</v>
      </c>
      <c r="N163" s="263">
        <v>0</v>
      </c>
      <c r="O163" s="263">
        <v>0</v>
      </c>
      <c r="P163" s="263">
        <v>0</v>
      </c>
      <c r="Q163" s="812">
        <v>831300</v>
      </c>
      <c r="R163" s="263">
        <v>831300</v>
      </c>
      <c r="S163" s="263">
        <v>831300</v>
      </c>
      <c r="T163" s="263">
        <v>831300</v>
      </c>
      <c r="U163" s="263">
        <v>831300</v>
      </c>
      <c r="V163" s="260">
        <v>0</v>
      </c>
      <c r="W163" s="728">
        <f t="shared" si="127"/>
        <v>0</v>
      </c>
      <c r="X163" s="1"/>
    </row>
    <row r="164" spans="1:39" x14ac:dyDescent="0.25">
      <c r="A164" s="258">
        <v>322</v>
      </c>
      <c r="B164" s="522" t="s">
        <v>841</v>
      </c>
      <c r="C164" s="260">
        <v>0</v>
      </c>
      <c r="D164" s="260">
        <v>0</v>
      </c>
      <c r="E164" s="260">
        <v>0</v>
      </c>
      <c r="F164" s="260">
        <v>0</v>
      </c>
      <c r="G164" s="260">
        <v>0</v>
      </c>
      <c r="H164" s="260">
        <v>0</v>
      </c>
      <c r="I164" s="260">
        <v>0</v>
      </c>
      <c r="J164" s="260">
        <v>0</v>
      </c>
      <c r="K164" s="260">
        <v>0</v>
      </c>
      <c r="L164" s="260">
        <v>0</v>
      </c>
      <c r="M164" s="260">
        <v>0</v>
      </c>
      <c r="N164" s="260">
        <v>0</v>
      </c>
      <c r="O164" s="260">
        <v>0</v>
      </c>
      <c r="P164" s="260">
        <v>0</v>
      </c>
      <c r="Q164" s="688">
        <v>30000</v>
      </c>
      <c r="R164" s="257">
        <v>30000</v>
      </c>
      <c r="S164" s="257">
        <v>30000</v>
      </c>
      <c r="T164" s="257">
        <v>30000</v>
      </c>
      <c r="U164" s="257">
        <v>30000</v>
      </c>
      <c r="V164" s="260">
        <v>0</v>
      </c>
      <c r="W164" s="728">
        <f t="shared" si="127"/>
        <v>0</v>
      </c>
      <c r="X164" s="1"/>
    </row>
    <row r="165" spans="1:39" x14ac:dyDescent="0.25">
      <c r="A165" s="258">
        <v>322</v>
      </c>
      <c r="B165" s="264" t="s">
        <v>286</v>
      </c>
      <c r="C165" s="260">
        <v>0</v>
      </c>
      <c r="D165" s="260">
        <v>0</v>
      </c>
      <c r="E165" s="260">
        <v>0</v>
      </c>
      <c r="F165" s="260">
        <v>0</v>
      </c>
      <c r="G165" s="260">
        <v>0</v>
      </c>
      <c r="H165" s="260">
        <v>0</v>
      </c>
      <c r="I165" s="260">
        <v>0</v>
      </c>
      <c r="J165" s="260">
        <v>0</v>
      </c>
      <c r="K165" s="260">
        <v>0</v>
      </c>
      <c r="L165" s="260">
        <v>0</v>
      </c>
      <c r="M165" s="260">
        <v>0</v>
      </c>
      <c r="N165" s="260">
        <v>0</v>
      </c>
      <c r="O165" s="260">
        <v>0</v>
      </c>
      <c r="P165" s="260">
        <v>0</v>
      </c>
      <c r="Q165" s="688">
        <v>70000</v>
      </c>
      <c r="R165" s="257">
        <v>70000</v>
      </c>
      <c r="S165" s="257">
        <v>70000</v>
      </c>
      <c r="T165" s="257">
        <v>70000</v>
      </c>
      <c r="U165" s="257">
        <v>70000</v>
      </c>
      <c r="V165" s="260">
        <v>0</v>
      </c>
      <c r="W165" s="728">
        <f t="shared" si="127"/>
        <v>0</v>
      </c>
    </row>
    <row r="166" spans="1:39" x14ac:dyDescent="0.25">
      <c r="A166" s="506">
        <v>322</v>
      </c>
      <c r="B166" s="522" t="s">
        <v>287</v>
      </c>
      <c r="C166" s="257">
        <f t="shared" ref="C166:U166" si="152">140750-105400</f>
        <v>35350</v>
      </c>
      <c r="D166" s="257">
        <f t="shared" si="152"/>
        <v>35350</v>
      </c>
      <c r="E166" s="257">
        <f t="shared" si="152"/>
        <v>35350</v>
      </c>
      <c r="F166" s="257">
        <f t="shared" si="152"/>
        <v>35350</v>
      </c>
      <c r="G166" s="257">
        <f t="shared" si="152"/>
        <v>35350</v>
      </c>
      <c r="H166" s="257">
        <f t="shared" si="152"/>
        <v>35350</v>
      </c>
      <c r="I166" s="257">
        <f t="shared" si="152"/>
        <v>35350</v>
      </c>
      <c r="J166" s="257">
        <f t="shared" si="152"/>
        <v>35350</v>
      </c>
      <c r="K166" s="257">
        <f t="shared" si="152"/>
        <v>35350</v>
      </c>
      <c r="L166" s="257">
        <f t="shared" si="152"/>
        <v>35350</v>
      </c>
      <c r="M166" s="257">
        <f t="shared" si="152"/>
        <v>35350</v>
      </c>
      <c r="N166" s="257">
        <f t="shared" si="152"/>
        <v>35350</v>
      </c>
      <c r="O166" s="257">
        <f t="shared" si="152"/>
        <v>35350</v>
      </c>
      <c r="P166" s="257">
        <f t="shared" si="152"/>
        <v>35350</v>
      </c>
      <c r="Q166" s="257">
        <f t="shared" si="152"/>
        <v>35350</v>
      </c>
      <c r="R166" s="257">
        <f t="shared" si="152"/>
        <v>35350</v>
      </c>
      <c r="S166" s="257">
        <f t="shared" si="152"/>
        <v>35350</v>
      </c>
      <c r="T166" s="257">
        <f t="shared" si="152"/>
        <v>35350</v>
      </c>
      <c r="U166" s="257">
        <f t="shared" si="152"/>
        <v>35350</v>
      </c>
      <c r="V166" s="260">
        <v>0</v>
      </c>
      <c r="W166" s="728">
        <f t="shared" si="127"/>
        <v>0</v>
      </c>
      <c r="X166" s="27"/>
      <c r="Y166" s="27"/>
      <c r="Z166" s="27"/>
    </row>
    <row r="167" spans="1:39" x14ac:dyDescent="0.25">
      <c r="A167" s="258">
        <v>322</v>
      </c>
      <c r="B167" s="114" t="s">
        <v>840</v>
      </c>
      <c r="C167" s="257">
        <v>0</v>
      </c>
      <c r="D167" s="257">
        <v>0</v>
      </c>
      <c r="E167" s="257">
        <v>0</v>
      </c>
      <c r="F167" s="257">
        <v>0</v>
      </c>
      <c r="G167" s="257">
        <v>0</v>
      </c>
      <c r="H167" s="257">
        <v>0</v>
      </c>
      <c r="I167" s="257">
        <v>0</v>
      </c>
      <c r="J167" s="257">
        <v>0</v>
      </c>
      <c r="K167" s="257">
        <v>0</v>
      </c>
      <c r="L167" s="257">
        <v>0</v>
      </c>
      <c r="M167" s="257">
        <v>0</v>
      </c>
      <c r="N167" s="257">
        <v>0</v>
      </c>
      <c r="O167" s="257">
        <v>0</v>
      </c>
      <c r="P167" s="257">
        <v>0</v>
      </c>
      <c r="Q167" s="688">
        <v>9000</v>
      </c>
      <c r="R167" s="257">
        <v>9000</v>
      </c>
      <c r="S167" s="257">
        <v>9000</v>
      </c>
      <c r="T167" s="257">
        <v>9000</v>
      </c>
      <c r="U167" s="257">
        <v>9000</v>
      </c>
      <c r="V167" s="260">
        <v>0</v>
      </c>
      <c r="W167" s="728">
        <f t="shared" si="127"/>
        <v>0</v>
      </c>
      <c r="X167" s="1"/>
    </row>
    <row r="168" spans="1:39" ht="15.75" thickBot="1" x14ac:dyDescent="0.3">
      <c r="A168" s="258">
        <v>322</v>
      </c>
      <c r="B168" s="84" t="s">
        <v>809</v>
      </c>
      <c r="C168" s="257">
        <v>0</v>
      </c>
      <c r="D168" s="257">
        <v>0</v>
      </c>
      <c r="E168" s="257">
        <v>0</v>
      </c>
      <c r="F168" s="257">
        <v>0</v>
      </c>
      <c r="G168" s="257">
        <v>0</v>
      </c>
      <c r="H168" s="257">
        <v>0</v>
      </c>
      <c r="I168" s="257">
        <v>0</v>
      </c>
      <c r="J168" s="257">
        <v>0</v>
      </c>
      <c r="K168" s="257">
        <v>0</v>
      </c>
      <c r="L168" s="257">
        <v>0</v>
      </c>
      <c r="M168" s="257">
        <v>0</v>
      </c>
      <c r="N168" s="257">
        <v>0</v>
      </c>
      <c r="O168" s="257">
        <v>0</v>
      </c>
      <c r="P168" s="257">
        <v>0</v>
      </c>
      <c r="Q168" s="688">
        <v>200000</v>
      </c>
      <c r="R168" s="257">
        <v>200000</v>
      </c>
      <c r="S168" s="257">
        <v>200000</v>
      </c>
      <c r="T168" s="257">
        <v>200000</v>
      </c>
      <c r="U168" s="257">
        <v>200000</v>
      </c>
      <c r="V168" s="260">
        <v>0</v>
      </c>
      <c r="W168" s="728">
        <f t="shared" si="127"/>
        <v>0</v>
      </c>
      <c r="X168" s="27">
        <f>SUM(R151:R168)</f>
        <v>3946970</v>
      </c>
      <c r="Y168" s="27">
        <f>SUM(V151:V168)</f>
        <v>406018.73</v>
      </c>
    </row>
    <row r="169" spans="1:39" ht="25.5" customHeight="1" thickBot="1" x14ac:dyDescent="0.3">
      <c r="A169" s="878" t="s">
        <v>161</v>
      </c>
      <c r="B169" s="879"/>
      <c r="C169" s="253">
        <f t="shared" ref="C169:V169" si="153">SUM(C170:C197)</f>
        <v>3144736</v>
      </c>
      <c r="D169" s="253">
        <f t="shared" si="153"/>
        <v>3137146</v>
      </c>
      <c r="E169" s="253">
        <f t="shared" si="153"/>
        <v>3124966</v>
      </c>
      <c r="F169" s="253">
        <f t="shared" si="153"/>
        <v>3124966</v>
      </c>
      <c r="G169" s="253">
        <f t="shared" si="153"/>
        <v>3154766</v>
      </c>
      <c r="H169" s="253">
        <f t="shared" si="153"/>
        <v>3154766</v>
      </c>
      <c r="I169" s="253">
        <f t="shared" si="153"/>
        <v>3154766</v>
      </c>
      <c r="J169" s="253">
        <f t="shared" si="153"/>
        <v>3154766</v>
      </c>
      <c r="K169" s="253">
        <f t="shared" si="153"/>
        <v>3154766</v>
      </c>
      <c r="L169" s="253">
        <f t="shared" si="153"/>
        <v>3228166</v>
      </c>
      <c r="M169" s="253">
        <f t="shared" si="153"/>
        <v>3633366</v>
      </c>
      <c r="N169" s="253">
        <f t="shared" si="153"/>
        <v>3633366</v>
      </c>
      <c r="O169" s="253">
        <f t="shared" si="153"/>
        <v>3728366</v>
      </c>
      <c r="P169" s="253">
        <f t="shared" si="153"/>
        <v>3728366</v>
      </c>
      <c r="Q169" s="253">
        <f t="shared" si="153"/>
        <v>4868666</v>
      </c>
      <c r="R169" s="253">
        <f t="shared" si="153"/>
        <v>4868666</v>
      </c>
      <c r="S169" s="253">
        <f t="shared" si="153"/>
        <v>4868666</v>
      </c>
      <c r="T169" s="253">
        <f t="shared" ref="T169:U169" si="154">SUM(T170:T197)</f>
        <v>4868666</v>
      </c>
      <c r="U169" s="253">
        <f t="shared" si="154"/>
        <v>4868666</v>
      </c>
      <c r="V169" s="253">
        <f t="shared" si="153"/>
        <v>686717</v>
      </c>
      <c r="W169" s="728">
        <f t="shared" si="127"/>
        <v>0.14104828714888226</v>
      </c>
      <c r="X169" s="27">
        <f t="shared" ref="X169:AM169" si="155">D169-C169</f>
        <v>-7590</v>
      </c>
      <c r="Y169" s="27">
        <f t="shared" si="155"/>
        <v>-12180</v>
      </c>
      <c r="Z169" s="27">
        <f t="shared" si="155"/>
        <v>0</v>
      </c>
      <c r="AA169" s="27">
        <f t="shared" si="155"/>
        <v>29800</v>
      </c>
      <c r="AB169" s="27">
        <f t="shared" si="155"/>
        <v>0</v>
      </c>
      <c r="AC169" s="27">
        <f t="shared" si="155"/>
        <v>0</v>
      </c>
      <c r="AD169" s="27">
        <f t="shared" si="155"/>
        <v>0</v>
      </c>
      <c r="AE169" s="27">
        <f t="shared" si="155"/>
        <v>0</v>
      </c>
      <c r="AF169" s="27">
        <f t="shared" si="155"/>
        <v>73400</v>
      </c>
      <c r="AG169" s="27">
        <f t="shared" si="155"/>
        <v>405200</v>
      </c>
      <c r="AH169" s="27">
        <f t="shared" si="155"/>
        <v>0</v>
      </c>
      <c r="AI169" s="27">
        <f t="shared" si="155"/>
        <v>95000</v>
      </c>
      <c r="AJ169" s="27">
        <f t="shared" si="155"/>
        <v>0</v>
      </c>
      <c r="AK169" s="27">
        <f t="shared" si="155"/>
        <v>1140300</v>
      </c>
      <c r="AL169" s="27">
        <f t="shared" si="155"/>
        <v>0</v>
      </c>
      <c r="AM169" s="27">
        <f t="shared" si="155"/>
        <v>0</v>
      </c>
    </row>
    <row r="170" spans="1:39" x14ac:dyDescent="0.25">
      <c r="A170" s="710" t="s">
        <v>82</v>
      </c>
      <c r="B170" s="711" t="s">
        <v>200</v>
      </c>
      <c r="C170" s="268">
        <v>30000</v>
      </c>
      <c r="D170" s="268">
        <v>30000</v>
      </c>
      <c r="E170" s="268">
        <v>30000</v>
      </c>
      <c r="F170" s="268">
        <v>30000</v>
      </c>
      <c r="G170" s="268">
        <v>30000</v>
      </c>
      <c r="H170" s="268">
        <v>30000</v>
      </c>
      <c r="I170" s="268">
        <v>30000</v>
      </c>
      <c r="J170" s="268">
        <v>30000</v>
      </c>
      <c r="K170" s="268">
        <v>30000</v>
      </c>
      <c r="L170" s="268">
        <v>30000</v>
      </c>
      <c r="M170" s="268">
        <v>30000</v>
      </c>
      <c r="N170" s="268">
        <v>30000</v>
      </c>
      <c r="O170" s="268">
        <v>30000</v>
      </c>
      <c r="P170" s="268">
        <v>30000</v>
      </c>
      <c r="Q170" s="268">
        <v>30000</v>
      </c>
      <c r="R170" s="268">
        <v>30000</v>
      </c>
      <c r="S170" s="268">
        <v>30000</v>
      </c>
      <c r="T170" s="268">
        <v>30000</v>
      </c>
      <c r="U170" s="268">
        <v>30000</v>
      </c>
      <c r="V170" s="268">
        <v>7625</v>
      </c>
      <c r="W170" s="728">
        <f t="shared" si="127"/>
        <v>0.25416666666666665</v>
      </c>
      <c r="X170" s="27"/>
    </row>
    <row r="171" spans="1:39" x14ac:dyDescent="0.25">
      <c r="A171" s="275" t="s">
        <v>82</v>
      </c>
      <c r="B171" s="265" t="s">
        <v>163</v>
      </c>
      <c r="C171" s="276">
        <v>1500</v>
      </c>
      <c r="D171" s="276">
        <v>1500</v>
      </c>
      <c r="E171" s="276">
        <v>1500</v>
      </c>
      <c r="F171" s="276">
        <v>1500</v>
      </c>
      <c r="G171" s="276">
        <v>1500</v>
      </c>
      <c r="H171" s="276">
        <v>1500</v>
      </c>
      <c r="I171" s="276">
        <v>1500</v>
      </c>
      <c r="J171" s="276">
        <v>1500</v>
      </c>
      <c r="K171" s="276">
        <v>1500</v>
      </c>
      <c r="L171" s="276">
        <v>1500</v>
      </c>
      <c r="M171" s="276">
        <v>1500</v>
      </c>
      <c r="N171" s="276">
        <v>1500</v>
      </c>
      <c r="O171" s="276">
        <v>1500</v>
      </c>
      <c r="P171" s="276">
        <v>1500</v>
      </c>
      <c r="Q171" s="276">
        <v>1500</v>
      </c>
      <c r="R171" s="276">
        <v>1500</v>
      </c>
      <c r="S171" s="276">
        <v>1500</v>
      </c>
      <c r="T171" s="276">
        <v>1500</v>
      </c>
      <c r="U171" s="276">
        <v>1500</v>
      </c>
      <c r="V171" s="276">
        <v>0</v>
      </c>
      <c r="W171" s="728">
        <f t="shared" si="127"/>
        <v>0</v>
      </c>
      <c r="X171" s="1"/>
    </row>
    <row r="172" spans="1:39" x14ac:dyDescent="0.25">
      <c r="A172" s="280" t="s">
        <v>87</v>
      </c>
      <c r="B172" s="556" t="s">
        <v>332</v>
      </c>
      <c r="C172" s="282">
        <v>151200</v>
      </c>
      <c r="D172" s="282">
        <v>151200</v>
      </c>
      <c r="E172" s="282">
        <v>151200</v>
      </c>
      <c r="F172" s="282">
        <v>151200</v>
      </c>
      <c r="G172" s="282">
        <v>151200</v>
      </c>
      <c r="H172" s="282">
        <v>151200</v>
      </c>
      <c r="I172" s="282">
        <v>151200</v>
      </c>
      <c r="J172" s="282">
        <v>151200</v>
      </c>
      <c r="K172" s="282">
        <v>151200</v>
      </c>
      <c r="L172" s="282">
        <v>151200</v>
      </c>
      <c r="M172" s="709">
        <f>151200+3530</f>
        <v>154730</v>
      </c>
      <c r="N172" s="282">
        <f>151200+3530</f>
        <v>154730</v>
      </c>
      <c r="O172" s="282">
        <f>151200+3530</f>
        <v>154730</v>
      </c>
      <c r="P172" s="282">
        <f>151200+3530</f>
        <v>154730</v>
      </c>
      <c r="Q172" s="282">
        <f t="shared" ref="Q172:S172" si="156">151200+3530</f>
        <v>154730</v>
      </c>
      <c r="R172" s="282">
        <f t="shared" si="156"/>
        <v>154730</v>
      </c>
      <c r="S172" s="282">
        <f t="shared" si="156"/>
        <v>154730</v>
      </c>
      <c r="T172" s="282">
        <f>151200+3530</f>
        <v>154730</v>
      </c>
      <c r="U172" s="282">
        <f>151200+3530</f>
        <v>154730</v>
      </c>
      <c r="V172" s="276">
        <v>0</v>
      </c>
      <c r="W172" s="728">
        <f t="shared" si="127"/>
        <v>0</v>
      </c>
      <c r="X172" s="1"/>
    </row>
    <row r="173" spans="1:39" x14ac:dyDescent="0.25">
      <c r="A173" s="280" t="s">
        <v>89</v>
      </c>
      <c r="B173" s="281" t="s">
        <v>844</v>
      </c>
      <c r="C173" s="270">
        <v>100000</v>
      </c>
      <c r="D173" s="270">
        <v>100000</v>
      </c>
      <c r="E173" s="270">
        <v>100000</v>
      </c>
      <c r="F173" s="270">
        <v>100000</v>
      </c>
      <c r="G173" s="270">
        <v>100000</v>
      </c>
      <c r="H173" s="270">
        <v>100000</v>
      </c>
      <c r="I173" s="270">
        <v>100000</v>
      </c>
      <c r="J173" s="270">
        <v>100000</v>
      </c>
      <c r="K173" s="270">
        <v>100000</v>
      </c>
      <c r="L173" s="270">
        <v>100000</v>
      </c>
      <c r="M173" s="270">
        <v>100000</v>
      </c>
      <c r="N173" s="270">
        <v>100000</v>
      </c>
      <c r="O173" s="270">
        <v>100000</v>
      </c>
      <c r="P173" s="270">
        <v>100000</v>
      </c>
      <c r="Q173" s="270">
        <v>100000</v>
      </c>
      <c r="R173" s="270">
        <v>100000</v>
      </c>
      <c r="S173" s="270">
        <v>100000</v>
      </c>
      <c r="T173" s="270">
        <v>100000</v>
      </c>
      <c r="U173" s="270">
        <v>100000</v>
      </c>
      <c r="V173" s="276">
        <v>0</v>
      </c>
      <c r="W173" s="728">
        <f t="shared" si="127"/>
        <v>0</v>
      </c>
      <c r="X173" s="1"/>
    </row>
    <row r="174" spans="1:39" x14ac:dyDescent="0.25">
      <c r="A174" s="706" t="s">
        <v>93</v>
      </c>
      <c r="B174" s="707" t="s">
        <v>350</v>
      </c>
      <c r="C174" s="270">
        <v>196500</v>
      </c>
      <c r="D174" s="270">
        <v>196500</v>
      </c>
      <c r="E174" s="753">
        <f t="shared" ref="E174:S174" si="157">196500-12860</f>
        <v>183640</v>
      </c>
      <c r="F174" s="270">
        <f t="shared" si="157"/>
        <v>183640</v>
      </c>
      <c r="G174" s="270">
        <f t="shared" si="157"/>
        <v>183640</v>
      </c>
      <c r="H174" s="270">
        <f t="shared" si="157"/>
        <v>183640</v>
      </c>
      <c r="I174" s="270">
        <f t="shared" si="157"/>
        <v>183640</v>
      </c>
      <c r="J174" s="270">
        <f t="shared" si="157"/>
        <v>183640</v>
      </c>
      <c r="K174" s="270">
        <f t="shared" si="157"/>
        <v>183640</v>
      </c>
      <c r="L174" s="270">
        <f t="shared" si="157"/>
        <v>183640</v>
      </c>
      <c r="M174" s="270">
        <f t="shared" si="157"/>
        <v>183640</v>
      </c>
      <c r="N174" s="270">
        <f t="shared" si="157"/>
        <v>183640</v>
      </c>
      <c r="O174" s="270">
        <f t="shared" si="157"/>
        <v>183640</v>
      </c>
      <c r="P174" s="270">
        <f t="shared" si="157"/>
        <v>183640</v>
      </c>
      <c r="Q174" s="270">
        <f t="shared" si="157"/>
        <v>183640</v>
      </c>
      <c r="R174" s="270">
        <f t="shared" si="157"/>
        <v>183640</v>
      </c>
      <c r="S174" s="270">
        <f t="shared" si="157"/>
        <v>183640</v>
      </c>
      <c r="T174" s="753">
        <f>196500-12860+3070</f>
        <v>186710</v>
      </c>
      <c r="U174" s="270">
        <f>196500-12860+3070</f>
        <v>186710</v>
      </c>
      <c r="V174" s="276">
        <f>6276+66099</f>
        <v>72375</v>
      </c>
      <c r="W174" s="728">
        <f t="shared" si="127"/>
        <v>0.3876332280006427</v>
      </c>
      <c r="X174" s="1">
        <f>177363+6277</f>
        <v>183640</v>
      </c>
    </row>
    <row r="175" spans="1:39" x14ac:dyDescent="0.25">
      <c r="A175" s="706" t="s">
        <v>93</v>
      </c>
      <c r="B175" s="707" t="s">
        <v>845</v>
      </c>
      <c r="C175" s="270">
        <v>0</v>
      </c>
      <c r="D175" s="270">
        <v>0</v>
      </c>
      <c r="E175" s="270">
        <v>0</v>
      </c>
      <c r="F175" s="270">
        <v>0</v>
      </c>
      <c r="G175" s="270">
        <v>0</v>
      </c>
      <c r="H175" s="270">
        <v>0</v>
      </c>
      <c r="I175" s="270">
        <v>0</v>
      </c>
      <c r="J175" s="270">
        <v>0</v>
      </c>
      <c r="K175" s="270">
        <v>0</v>
      </c>
      <c r="L175" s="270">
        <v>0</v>
      </c>
      <c r="M175" s="270">
        <v>0</v>
      </c>
      <c r="N175" s="270">
        <v>0</v>
      </c>
      <c r="O175" s="270">
        <v>0</v>
      </c>
      <c r="P175" s="270">
        <v>0</v>
      </c>
      <c r="Q175" s="753">
        <v>30300</v>
      </c>
      <c r="R175" s="270">
        <v>30300</v>
      </c>
      <c r="S175" s="270">
        <v>30300</v>
      </c>
      <c r="T175" s="270">
        <v>30300</v>
      </c>
      <c r="U175" s="270">
        <v>30300</v>
      </c>
      <c r="V175" s="276">
        <v>0</v>
      </c>
      <c r="W175" s="728">
        <f t="shared" si="127"/>
        <v>0</v>
      </c>
      <c r="X175" s="1"/>
    </row>
    <row r="176" spans="1:39" x14ac:dyDescent="0.25">
      <c r="A176" s="706" t="s">
        <v>164</v>
      </c>
      <c r="B176" s="708" t="s">
        <v>165</v>
      </c>
      <c r="C176" s="270">
        <v>23000</v>
      </c>
      <c r="D176" s="270">
        <v>23000</v>
      </c>
      <c r="E176" s="270">
        <v>23000</v>
      </c>
      <c r="F176" s="270">
        <v>23000</v>
      </c>
      <c r="G176" s="270">
        <v>23000</v>
      </c>
      <c r="H176" s="270">
        <v>23000</v>
      </c>
      <c r="I176" s="270">
        <v>23000</v>
      </c>
      <c r="J176" s="270">
        <v>23000</v>
      </c>
      <c r="K176" s="270">
        <v>23000</v>
      </c>
      <c r="L176" s="270">
        <v>23000</v>
      </c>
      <c r="M176" s="270">
        <v>23000</v>
      </c>
      <c r="N176" s="270">
        <v>23000</v>
      </c>
      <c r="O176" s="270">
        <v>23000</v>
      </c>
      <c r="P176" s="270">
        <v>23000</v>
      </c>
      <c r="Q176" s="753">
        <f>23000-20000</f>
        <v>3000</v>
      </c>
      <c r="R176" s="270">
        <f>23000-20000</f>
        <v>3000</v>
      </c>
      <c r="S176" s="270">
        <f>23000-20000</f>
        <v>3000</v>
      </c>
      <c r="T176" s="270">
        <f>23000-20000</f>
        <v>3000</v>
      </c>
      <c r="U176" s="270">
        <f>23000-20000</f>
        <v>3000</v>
      </c>
      <c r="V176" s="276">
        <v>0</v>
      </c>
      <c r="W176" s="728">
        <f t="shared" si="127"/>
        <v>0</v>
      </c>
      <c r="X176" s="1"/>
    </row>
    <row r="177" spans="1:24" x14ac:dyDescent="0.25">
      <c r="A177" s="287" t="s">
        <v>96</v>
      </c>
      <c r="B177" s="285" t="s">
        <v>475</v>
      </c>
      <c r="C177" s="270">
        <v>10000</v>
      </c>
      <c r="D177" s="270">
        <v>10000</v>
      </c>
      <c r="E177" s="753">
        <f t="shared" ref="E177:P177" si="158">10000-5700</f>
        <v>4300</v>
      </c>
      <c r="F177" s="270">
        <f t="shared" si="158"/>
        <v>4300</v>
      </c>
      <c r="G177" s="270">
        <f t="shared" si="158"/>
        <v>4300</v>
      </c>
      <c r="H177" s="270">
        <f t="shared" si="158"/>
        <v>4300</v>
      </c>
      <c r="I177" s="270">
        <f t="shared" si="158"/>
        <v>4300</v>
      </c>
      <c r="J177" s="270">
        <f t="shared" si="158"/>
        <v>4300</v>
      </c>
      <c r="K177" s="270">
        <f t="shared" si="158"/>
        <v>4300</v>
      </c>
      <c r="L177" s="270">
        <f t="shared" si="158"/>
        <v>4300</v>
      </c>
      <c r="M177" s="270">
        <f t="shared" si="158"/>
        <v>4300</v>
      </c>
      <c r="N177" s="270">
        <f t="shared" si="158"/>
        <v>4300</v>
      </c>
      <c r="O177" s="270">
        <f t="shared" si="158"/>
        <v>4300</v>
      </c>
      <c r="P177" s="270">
        <f t="shared" si="158"/>
        <v>4300</v>
      </c>
      <c r="Q177" s="753">
        <f>10000-5700-4300</f>
        <v>0</v>
      </c>
      <c r="R177" s="270">
        <f>10000-5700-4300</f>
        <v>0</v>
      </c>
      <c r="S177" s="270">
        <f>10000-5700-4300</f>
        <v>0</v>
      </c>
      <c r="T177" s="270">
        <f>10000-5700-4300</f>
        <v>0</v>
      </c>
      <c r="U177" s="270">
        <f>10000-5700-4300</f>
        <v>0</v>
      </c>
      <c r="V177" s="276">
        <v>0</v>
      </c>
      <c r="W177" s="728">
        <v>0</v>
      </c>
      <c r="X177" s="27"/>
    </row>
    <row r="178" spans="1:24" x14ac:dyDescent="0.25">
      <c r="A178" s="284" t="s">
        <v>96</v>
      </c>
      <c r="B178" s="493" t="s">
        <v>357</v>
      </c>
      <c r="C178" s="270">
        <v>221836</v>
      </c>
      <c r="D178" s="270">
        <v>221836</v>
      </c>
      <c r="E178" s="753">
        <f>221836-34376</f>
        <v>187460</v>
      </c>
      <c r="F178" s="270">
        <f>221836-34376</f>
        <v>187460</v>
      </c>
      <c r="G178" s="753">
        <f>221836-34376-55000-300</f>
        <v>132160</v>
      </c>
      <c r="H178" s="270">
        <f>221836-34376-55000-300</f>
        <v>132160</v>
      </c>
      <c r="I178" s="270">
        <f>221836-34376-55000-300</f>
        <v>132160</v>
      </c>
      <c r="J178" s="270">
        <f>221836-34376-55000-300</f>
        <v>132160</v>
      </c>
      <c r="K178" s="270">
        <f>221836-34376-55000-300</f>
        <v>132160</v>
      </c>
      <c r="L178" s="753">
        <f>221836-34376-55000-300-8200</f>
        <v>123960</v>
      </c>
      <c r="M178" s="753">
        <f>221836-34376-55000-300-8200+142470</f>
        <v>266430</v>
      </c>
      <c r="N178" s="270">
        <f>221836-34376-55000-300-8200+142470</f>
        <v>266430</v>
      </c>
      <c r="O178" s="270">
        <f>221836-34376-55000-300-8200+142470</f>
        <v>266430</v>
      </c>
      <c r="P178" s="270">
        <f>221836-34376-55000-300-8200+142470</f>
        <v>266430</v>
      </c>
      <c r="Q178" s="753">
        <f>221836-34376-55000-300-8200+142470-222630</f>
        <v>43800</v>
      </c>
      <c r="R178" s="270">
        <f>221836-34376-55000-300-8200+142470-222630</f>
        <v>43800</v>
      </c>
      <c r="S178" s="270">
        <f>221836-34376-55000-300-8200+142470-222630</f>
        <v>43800</v>
      </c>
      <c r="T178" s="270">
        <f>221836-34376-55000-300-8200+142470-222630</f>
        <v>43800</v>
      </c>
      <c r="U178" s="270">
        <f>221836-34376-55000-300-8200+142470-222630</f>
        <v>43800</v>
      </c>
      <c r="V178" s="276">
        <v>0</v>
      </c>
      <c r="W178" s="728">
        <f t="shared" si="127"/>
        <v>0</v>
      </c>
      <c r="X178" s="1"/>
    </row>
    <row r="179" spans="1:24" x14ac:dyDescent="0.25">
      <c r="A179" s="287" t="s">
        <v>301</v>
      </c>
      <c r="B179" s="530" t="s">
        <v>476</v>
      </c>
      <c r="C179" s="276">
        <v>216000</v>
      </c>
      <c r="D179" s="276">
        <v>216000</v>
      </c>
      <c r="E179" s="276">
        <v>216000</v>
      </c>
      <c r="F179" s="276">
        <v>216000</v>
      </c>
      <c r="G179" s="276">
        <v>216000</v>
      </c>
      <c r="H179" s="276">
        <v>216000</v>
      </c>
      <c r="I179" s="276">
        <v>216000</v>
      </c>
      <c r="J179" s="276">
        <v>216000</v>
      </c>
      <c r="K179" s="276">
        <v>216000</v>
      </c>
      <c r="L179" s="276">
        <v>216000</v>
      </c>
      <c r="M179" s="742">
        <f>216000+71000</f>
        <v>287000</v>
      </c>
      <c r="N179" s="276">
        <f>216000+71000</f>
        <v>287000</v>
      </c>
      <c r="O179" s="276">
        <f>216000+71000</f>
        <v>287000</v>
      </c>
      <c r="P179" s="276">
        <f>216000+71000</f>
        <v>287000</v>
      </c>
      <c r="Q179" s="276">
        <f t="shared" ref="Q179:U179" si="159">216000+71000</f>
        <v>287000</v>
      </c>
      <c r="R179" s="276">
        <f t="shared" si="159"/>
        <v>287000</v>
      </c>
      <c r="S179" s="276">
        <f t="shared" si="159"/>
        <v>287000</v>
      </c>
      <c r="T179" s="276">
        <f t="shared" si="159"/>
        <v>287000</v>
      </c>
      <c r="U179" s="276">
        <f t="shared" si="159"/>
        <v>287000</v>
      </c>
      <c r="V179" s="276">
        <v>0</v>
      </c>
      <c r="W179" s="728">
        <f t="shared" si="127"/>
        <v>0</v>
      </c>
      <c r="X179" s="1"/>
    </row>
    <row r="180" spans="1:24" x14ac:dyDescent="0.25">
      <c r="A180" s="287" t="s">
        <v>98</v>
      </c>
      <c r="B180" s="492" t="s">
        <v>847</v>
      </c>
      <c r="C180" s="276">
        <v>112000</v>
      </c>
      <c r="D180" s="276">
        <v>112000</v>
      </c>
      <c r="E180" s="276">
        <v>112000</v>
      </c>
      <c r="F180" s="276">
        <v>112000</v>
      </c>
      <c r="G180" s="742">
        <f t="shared" ref="G180:P180" si="160">112000+300</f>
        <v>112300</v>
      </c>
      <c r="H180" s="276">
        <f t="shared" si="160"/>
        <v>112300</v>
      </c>
      <c r="I180" s="276">
        <f t="shared" si="160"/>
        <v>112300</v>
      </c>
      <c r="J180" s="276">
        <f t="shared" si="160"/>
        <v>112300</v>
      </c>
      <c r="K180" s="276">
        <f t="shared" si="160"/>
        <v>112300</v>
      </c>
      <c r="L180" s="276">
        <f t="shared" si="160"/>
        <v>112300</v>
      </c>
      <c r="M180" s="276">
        <f t="shared" si="160"/>
        <v>112300</v>
      </c>
      <c r="N180" s="276">
        <f t="shared" si="160"/>
        <v>112300</v>
      </c>
      <c r="O180" s="276">
        <f t="shared" si="160"/>
        <v>112300</v>
      </c>
      <c r="P180" s="276">
        <f t="shared" si="160"/>
        <v>112300</v>
      </c>
      <c r="Q180" s="276">
        <f>112000+300</f>
        <v>112300</v>
      </c>
      <c r="R180" s="276">
        <f>112000+300</f>
        <v>112300</v>
      </c>
      <c r="S180" s="276">
        <f>112000+300</f>
        <v>112300</v>
      </c>
      <c r="T180" s="276">
        <f>112000+300</f>
        <v>112300</v>
      </c>
      <c r="U180" s="276">
        <f>112000+300</f>
        <v>112300</v>
      </c>
      <c r="V180" s="276">
        <v>110291</v>
      </c>
      <c r="W180" s="728">
        <f t="shared" si="127"/>
        <v>0.98211041852181657</v>
      </c>
      <c r="X180" s="27"/>
    </row>
    <row r="181" spans="1:24" x14ac:dyDescent="0.25">
      <c r="A181" s="287" t="s">
        <v>846</v>
      </c>
      <c r="B181" s="492" t="s">
        <v>848</v>
      </c>
      <c r="C181" s="279">
        <v>0</v>
      </c>
      <c r="D181" s="279">
        <v>0</v>
      </c>
      <c r="E181" s="279">
        <v>0</v>
      </c>
      <c r="F181" s="279">
        <v>0</v>
      </c>
      <c r="G181" s="279">
        <v>0</v>
      </c>
      <c r="H181" s="279">
        <v>0</v>
      </c>
      <c r="I181" s="279">
        <v>0</v>
      </c>
      <c r="J181" s="279">
        <v>0</v>
      </c>
      <c r="K181" s="279">
        <v>0</v>
      </c>
      <c r="L181" s="279">
        <v>0</v>
      </c>
      <c r="M181" s="279">
        <v>0</v>
      </c>
      <c r="N181" s="279">
        <v>0</v>
      </c>
      <c r="O181" s="279">
        <v>0</v>
      </c>
      <c r="P181" s="279">
        <v>0</v>
      </c>
      <c r="Q181" s="790">
        <v>73000</v>
      </c>
      <c r="R181" s="279">
        <v>73000</v>
      </c>
      <c r="S181" s="279">
        <v>73000</v>
      </c>
      <c r="T181" s="790">
        <f>73000+6000</f>
        <v>79000</v>
      </c>
      <c r="U181" s="279">
        <f>73000+6000</f>
        <v>79000</v>
      </c>
      <c r="V181" s="276">
        <v>0</v>
      </c>
      <c r="W181" s="728">
        <f t="shared" si="127"/>
        <v>0</v>
      </c>
      <c r="X181" s="27"/>
    </row>
    <row r="182" spans="1:24" x14ac:dyDescent="0.25">
      <c r="A182" s="289" t="s">
        <v>111</v>
      </c>
      <c r="B182" s="290" t="s">
        <v>337</v>
      </c>
      <c r="C182" s="282">
        <v>55000</v>
      </c>
      <c r="D182" s="282">
        <v>55000</v>
      </c>
      <c r="E182" s="282">
        <v>55000</v>
      </c>
      <c r="F182" s="282">
        <v>55000</v>
      </c>
      <c r="G182" s="709">
        <f>55000-1800</f>
        <v>53200</v>
      </c>
      <c r="H182" s="282">
        <f>55000-1800</f>
        <v>53200</v>
      </c>
      <c r="I182" s="282">
        <f>55000-1800</f>
        <v>53200</v>
      </c>
      <c r="J182" s="709">
        <f t="shared" ref="J182:P182" si="161">55000-1800-520</f>
        <v>52680</v>
      </c>
      <c r="K182" s="282">
        <f t="shared" si="161"/>
        <v>52680</v>
      </c>
      <c r="L182" s="282">
        <f t="shared" si="161"/>
        <v>52680</v>
      </c>
      <c r="M182" s="282">
        <f t="shared" si="161"/>
        <v>52680</v>
      </c>
      <c r="N182" s="282">
        <f t="shared" si="161"/>
        <v>52680</v>
      </c>
      <c r="O182" s="282">
        <f t="shared" si="161"/>
        <v>52680</v>
      </c>
      <c r="P182" s="282">
        <f t="shared" si="161"/>
        <v>52680</v>
      </c>
      <c r="Q182" s="709">
        <f>55000-1800-520-2680</f>
        <v>50000</v>
      </c>
      <c r="R182" s="282">
        <f>55000-1800-520-2680</f>
        <v>50000</v>
      </c>
      <c r="S182" s="282">
        <f>55000-1800-520-2680</f>
        <v>50000</v>
      </c>
      <c r="T182" s="282">
        <f>55000-1800-520-2680</f>
        <v>50000</v>
      </c>
      <c r="U182" s="282">
        <f>55000-1800-520-2680</f>
        <v>50000</v>
      </c>
      <c r="V182" s="276">
        <v>0</v>
      </c>
      <c r="W182" s="728">
        <f t="shared" si="127"/>
        <v>0</v>
      </c>
      <c r="X182" s="27"/>
    </row>
    <row r="183" spans="1:24" x14ac:dyDescent="0.25">
      <c r="A183" s="289" t="s">
        <v>111</v>
      </c>
      <c r="B183" s="290" t="s">
        <v>477</v>
      </c>
      <c r="C183" s="282">
        <v>196100</v>
      </c>
      <c r="D183" s="709">
        <f>196100-7590</f>
        <v>188510</v>
      </c>
      <c r="E183" s="282">
        <f>196100-7590</f>
        <v>188510</v>
      </c>
      <c r="F183" s="282">
        <f>196100-7590</f>
        <v>188510</v>
      </c>
      <c r="G183" s="709">
        <f t="shared" ref="G183:P183" si="162">196100-7590+1800+55000</f>
        <v>245310</v>
      </c>
      <c r="H183" s="282">
        <f t="shared" si="162"/>
        <v>245310</v>
      </c>
      <c r="I183" s="282">
        <f t="shared" si="162"/>
        <v>245310</v>
      </c>
      <c r="J183" s="282">
        <f t="shared" si="162"/>
        <v>245310</v>
      </c>
      <c r="K183" s="282">
        <f t="shared" si="162"/>
        <v>245310</v>
      </c>
      <c r="L183" s="282">
        <f t="shared" si="162"/>
        <v>245310</v>
      </c>
      <c r="M183" s="282">
        <f t="shared" si="162"/>
        <v>245310</v>
      </c>
      <c r="N183" s="282">
        <f t="shared" si="162"/>
        <v>245310</v>
      </c>
      <c r="O183" s="282">
        <f t="shared" si="162"/>
        <v>245310</v>
      </c>
      <c r="P183" s="282">
        <f t="shared" si="162"/>
        <v>245310</v>
      </c>
      <c r="Q183" s="709">
        <f>196100-7590+1800+55000+24000</f>
        <v>269310</v>
      </c>
      <c r="R183" s="282">
        <f>196100-7590+1800+55000+24000</f>
        <v>269310</v>
      </c>
      <c r="S183" s="282">
        <f>196100-7590+1800+55000+24000</f>
        <v>269310</v>
      </c>
      <c r="T183" s="282">
        <f>196100-7590+1800+55000+24000</f>
        <v>269310</v>
      </c>
      <c r="U183" s="282">
        <f>196100-7590+1800+55000+24000</f>
        <v>269310</v>
      </c>
      <c r="V183" s="276">
        <v>178951</v>
      </c>
      <c r="W183" s="728">
        <f t="shared" si="127"/>
        <v>0.66447959600460438</v>
      </c>
      <c r="X183" s="1"/>
    </row>
    <row r="184" spans="1:24" x14ac:dyDescent="0.25">
      <c r="A184" s="284" t="s">
        <v>111</v>
      </c>
      <c r="B184" s="283" t="s">
        <v>585</v>
      </c>
      <c r="C184" s="270">
        <v>30000</v>
      </c>
      <c r="D184" s="270">
        <v>30000</v>
      </c>
      <c r="E184" s="270">
        <v>30000</v>
      </c>
      <c r="F184" s="270">
        <v>30000</v>
      </c>
      <c r="G184" s="753">
        <f>30000+29800</f>
        <v>59800</v>
      </c>
      <c r="H184" s="270">
        <f>30000+29800</f>
        <v>59800</v>
      </c>
      <c r="I184" s="270">
        <f>30000+29800</f>
        <v>59800</v>
      </c>
      <c r="J184" s="753">
        <f t="shared" ref="J184:S184" si="163">30000+29800+520</f>
        <v>60320</v>
      </c>
      <c r="K184" s="270">
        <f t="shared" si="163"/>
        <v>60320</v>
      </c>
      <c r="L184" s="270">
        <f t="shared" si="163"/>
        <v>60320</v>
      </c>
      <c r="M184" s="270">
        <f t="shared" si="163"/>
        <v>60320</v>
      </c>
      <c r="N184" s="270">
        <f t="shared" si="163"/>
        <v>60320</v>
      </c>
      <c r="O184" s="270">
        <f t="shared" si="163"/>
        <v>60320</v>
      </c>
      <c r="P184" s="270">
        <f t="shared" si="163"/>
        <v>60320</v>
      </c>
      <c r="Q184" s="270">
        <f t="shared" si="163"/>
        <v>60320</v>
      </c>
      <c r="R184" s="270">
        <f t="shared" si="163"/>
        <v>60320</v>
      </c>
      <c r="S184" s="270">
        <f t="shared" si="163"/>
        <v>60320</v>
      </c>
      <c r="T184" s="753">
        <f>30000+29800+520-29790</f>
        <v>30530</v>
      </c>
      <c r="U184" s="270">
        <f>30000+29800+520-29790</f>
        <v>30530</v>
      </c>
      <c r="V184" s="276">
        <v>30510</v>
      </c>
      <c r="W184" s="728">
        <f t="shared" si="127"/>
        <v>0.99934490664919751</v>
      </c>
      <c r="X184" s="1"/>
    </row>
    <row r="185" spans="1:24" x14ac:dyDescent="0.25">
      <c r="A185" s="284" t="s">
        <v>111</v>
      </c>
      <c r="B185" s="283" t="s">
        <v>849</v>
      </c>
      <c r="C185" s="270">
        <v>0</v>
      </c>
      <c r="D185" s="270">
        <v>0</v>
      </c>
      <c r="E185" s="270">
        <v>0</v>
      </c>
      <c r="F185" s="270">
        <v>0</v>
      </c>
      <c r="G185" s="270">
        <v>0</v>
      </c>
      <c r="H185" s="270">
        <v>0</v>
      </c>
      <c r="I185" s="270">
        <v>0</v>
      </c>
      <c r="J185" s="270">
        <v>0</v>
      </c>
      <c r="K185" s="270">
        <v>0</v>
      </c>
      <c r="L185" s="270">
        <v>0</v>
      </c>
      <c r="M185" s="270">
        <v>0</v>
      </c>
      <c r="N185" s="270">
        <v>0</v>
      </c>
      <c r="O185" s="270">
        <v>0</v>
      </c>
      <c r="P185" s="270">
        <v>0</v>
      </c>
      <c r="Q185" s="753">
        <v>202280</v>
      </c>
      <c r="R185" s="270">
        <v>202280</v>
      </c>
      <c r="S185" s="270">
        <v>202280</v>
      </c>
      <c r="T185" s="753">
        <f>202280+19720</f>
        <v>222000</v>
      </c>
      <c r="U185" s="270">
        <f>202280+19720</f>
        <v>222000</v>
      </c>
      <c r="V185" s="270">
        <v>0</v>
      </c>
      <c r="W185" s="728">
        <f t="shared" si="127"/>
        <v>0</v>
      </c>
      <c r="X185" s="1"/>
    </row>
    <row r="186" spans="1:24" ht="15.75" customHeight="1" x14ac:dyDescent="0.25">
      <c r="A186" s="287" t="s">
        <v>113</v>
      </c>
      <c r="B186" s="285" t="s">
        <v>682</v>
      </c>
      <c r="C186" s="276">
        <v>0</v>
      </c>
      <c r="D186" s="276">
        <v>0</v>
      </c>
      <c r="E186" s="276">
        <v>0</v>
      </c>
      <c r="F186" s="276">
        <v>0</v>
      </c>
      <c r="G186" s="276">
        <v>0</v>
      </c>
      <c r="H186" s="276">
        <v>0</v>
      </c>
      <c r="I186" s="276">
        <v>0</v>
      </c>
      <c r="J186" s="276">
        <v>0</v>
      </c>
      <c r="K186" s="276">
        <v>0</v>
      </c>
      <c r="L186" s="276">
        <v>0</v>
      </c>
      <c r="M186" s="742">
        <v>110000</v>
      </c>
      <c r="N186" s="276">
        <v>110000</v>
      </c>
      <c r="O186" s="276">
        <v>110000</v>
      </c>
      <c r="P186" s="276">
        <v>110000</v>
      </c>
      <c r="Q186" s="276">
        <v>110000</v>
      </c>
      <c r="R186" s="276">
        <v>110000</v>
      </c>
      <c r="S186" s="276">
        <v>110000</v>
      </c>
      <c r="T186" s="276">
        <v>110000</v>
      </c>
      <c r="U186" s="276">
        <v>110000</v>
      </c>
      <c r="V186" s="276">
        <v>0</v>
      </c>
      <c r="W186" s="728">
        <f t="shared" si="127"/>
        <v>0</v>
      </c>
      <c r="X186" s="27">
        <f>95100+14900</f>
        <v>110000</v>
      </c>
    </row>
    <row r="187" spans="1:24" x14ac:dyDescent="0.25">
      <c r="A187" s="277" t="s">
        <v>82</v>
      </c>
      <c r="B187" s="473" t="s">
        <v>843</v>
      </c>
      <c r="C187" s="279">
        <v>0</v>
      </c>
      <c r="D187" s="279">
        <v>0</v>
      </c>
      <c r="E187" s="279">
        <v>0</v>
      </c>
      <c r="F187" s="279">
        <v>0</v>
      </c>
      <c r="G187" s="279">
        <v>0</v>
      </c>
      <c r="H187" s="279">
        <v>0</v>
      </c>
      <c r="I187" s="279">
        <v>0</v>
      </c>
      <c r="J187" s="279">
        <v>0</v>
      </c>
      <c r="K187" s="279">
        <v>0</v>
      </c>
      <c r="L187" s="279">
        <v>0</v>
      </c>
      <c r="M187" s="279">
        <v>0</v>
      </c>
      <c r="N187" s="279">
        <v>0</v>
      </c>
      <c r="O187" s="279">
        <v>0</v>
      </c>
      <c r="P187" s="279">
        <v>0</v>
      </c>
      <c r="Q187" s="790">
        <v>11000</v>
      </c>
      <c r="R187" s="279">
        <v>11000</v>
      </c>
      <c r="S187" s="279">
        <v>11000</v>
      </c>
      <c r="T187" s="279">
        <v>11000</v>
      </c>
      <c r="U187" s="279">
        <v>11000</v>
      </c>
      <c r="V187" s="276">
        <v>0</v>
      </c>
      <c r="W187" s="728">
        <f t="shared" si="127"/>
        <v>0</v>
      </c>
      <c r="X187" s="1"/>
    </row>
    <row r="188" spans="1:24" x14ac:dyDescent="0.25">
      <c r="A188" s="289" t="s">
        <v>113</v>
      </c>
      <c r="B188" s="290" t="s">
        <v>329</v>
      </c>
      <c r="C188" s="282">
        <v>15000</v>
      </c>
      <c r="D188" s="282">
        <v>15000</v>
      </c>
      <c r="E188" s="282">
        <v>15000</v>
      </c>
      <c r="F188" s="282">
        <v>15000</v>
      </c>
      <c r="G188" s="282">
        <v>15000</v>
      </c>
      <c r="H188" s="282">
        <v>15000</v>
      </c>
      <c r="I188" s="282">
        <v>15000</v>
      </c>
      <c r="J188" s="282">
        <v>15000</v>
      </c>
      <c r="K188" s="282">
        <v>15000</v>
      </c>
      <c r="L188" s="282">
        <v>15000</v>
      </c>
      <c r="M188" s="282">
        <v>15000</v>
      </c>
      <c r="N188" s="282">
        <v>15000</v>
      </c>
      <c r="O188" s="282">
        <v>15000</v>
      </c>
      <c r="P188" s="282">
        <v>15000</v>
      </c>
      <c r="Q188" s="709">
        <f>15000-15000</f>
        <v>0</v>
      </c>
      <c r="R188" s="282">
        <f>15000-15000</f>
        <v>0</v>
      </c>
      <c r="S188" s="282">
        <f>15000-15000</f>
        <v>0</v>
      </c>
      <c r="T188" s="282">
        <f>15000-15000</f>
        <v>0</v>
      </c>
      <c r="U188" s="282">
        <f>15000-15000</f>
        <v>0</v>
      </c>
      <c r="V188" s="276">
        <v>0</v>
      </c>
      <c r="W188" s="728">
        <v>0</v>
      </c>
      <c r="X188" s="1"/>
    </row>
    <row r="189" spans="1:24" x14ac:dyDescent="0.25">
      <c r="A189" s="289" t="s">
        <v>113</v>
      </c>
      <c r="B189" s="290" t="s">
        <v>850</v>
      </c>
      <c r="C189" s="282">
        <v>0</v>
      </c>
      <c r="D189" s="282">
        <v>0</v>
      </c>
      <c r="E189" s="282">
        <v>0</v>
      </c>
      <c r="F189" s="282">
        <v>0</v>
      </c>
      <c r="G189" s="282">
        <v>0</v>
      </c>
      <c r="H189" s="282">
        <v>0</v>
      </c>
      <c r="I189" s="282">
        <v>0</v>
      </c>
      <c r="J189" s="282">
        <v>0</v>
      </c>
      <c r="K189" s="282">
        <v>0</v>
      </c>
      <c r="L189" s="282">
        <v>0</v>
      </c>
      <c r="M189" s="282">
        <v>0</v>
      </c>
      <c r="N189" s="282">
        <v>0</v>
      </c>
      <c r="O189" s="282">
        <v>0</v>
      </c>
      <c r="P189" s="282">
        <v>0</v>
      </c>
      <c r="Q189" s="709">
        <v>4900</v>
      </c>
      <c r="R189" s="282">
        <v>4900</v>
      </c>
      <c r="S189" s="282">
        <v>4900</v>
      </c>
      <c r="T189" s="282">
        <v>4900</v>
      </c>
      <c r="U189" s="282">
        <v>4900</v>
      </c>
      <c r="V189" s="276">
        <v>4864</v>
      </c>
      <c r="W189" s="728">
        <f t="shared" si="127"/>
        <v>0.99265306122448982</v>
      </c>
      <c r="X189" s="1"/>
    </row>
    <row r="190" spans="1:24" x14ac:dyDescent="0.25">
      <c r="A190" s="289" t="s">
        <v>113</v>
      </c>
      <c r="B190" s="283" t="s">
        <v>302</v>
      </c>
      <c r="C190" s="282">
        <v>0</v>
      </c>
      <c r="D190" s="282">
        <v>0</v>
      </c>
      <c r="E190" s="282">
        <v>0</v>
      </c>
      <c r="F190" s="282">
        <v>0</v>
      </c>
      <c r="G190" s="282">
        <v>0</v>
      </c>
      <c r="H190" s="282">
        <v>0</v>
      </c>
      <c r="I190" s="282">
        <v>0</v>
      </c>
      <c r="J190" s="282">
        <v>0</v>
      </c>
      <c r="K190" s="282">
        <v>0</v>
      </c>
      <c r="L190" s="282">
        <v>0</v>
      </c>
      <c r="M190" s="282">
        <v>0</v>
      </c>
      <c r="N190" s="282">
        <v>0</v>
      </c>
      <c r="O190" s="282">
        <v>0</v>
      </c>
      <c r="P190" s="282">
        <v>0</v>
      </c>
      <c r="Q190" s="282">
        <v>0</v>
      </c>
      <c r="R190" s="282">
        <v>0</v>
      </c>
      <c r="S190" s="282">
        <v>0</v>
      </c>
      <c r="T190" s="282">
        <v>0</v>
      </c>
      <c r="U190" s="282">
        <v>0</v>
      </c>
      <c r="V190" s="276">
        <v>0</v>
      </c>
      <c r="W190" s="728">
        <v>0</v>
      </c>
      <c r="X190" s="1"/>
    </row>
    <row r="191" spans="1:24" x14ac:dyDescent="0.25">
      <c r="A191" s="284" t="s">
        <v>113</v>
      </c>
      <c r="B191" s="283" t="s">
        <v>325</v>
      </c>
      <c r="C191" s="270">
        <v>412400</v>
      </c>
      <c r="D191" s="270">
        <v>412400</v>
      </c>
      <c r="E191" s="753">
        <f t="shared" ref="E191:L191" si="164">412400+40756</f>
        <v>453156</v>
      </c>
      <c r="F191" s="270">
        <f t="shared" si="164"/>
        <v>453156</v>
      </c>
      <c r="G191" s="270">
        <f t="shared" si="164"/>
        <v>453156</v>
      </c>
      <c r="H191" s="270">
        <f t="shared" si="164"/>
        <v>453156</v>
      </c>
      <c r="I191" s="270">
        <f t="shared" si="164"/>
        <v>453156</v>
      </c>
      <c r="J191" s="270">
        <f t="shared" si="164"/>
        <v>453156</v>
      </c>
      <c r="K191" s="270">
        <f t="shared" si="164"/>
        <v>453156</v>
      </c>
      <c r="L191" s="270">
        <f t="shared" si="164"/>
        <v>453156</v>
      </c>
      <c r="M191" s="753">
        <f>412400+40756+32000</f>
        <v>485156</v>
      </c>
      <c r="N191" s="270">
        <f>412400+40756+32000</f>
        <v>485156</v>
      </c>
      <c r="O191" s="270">
        <f>412400+40756+32000</f>
        <v>485156</v>
      </c>
      <c r="P191" s="270">
        <f>412400+40756+32000</f>
        <v>485156</v>
      </c>
      <c r="Q191" s="753">
        <f>412400+40756+32000+175400</f>
        <v>660556</v>
      </c>
      <c r="R191" s="270">
        <f>412400+40756+32000+175400</f>
        <v>660556</v>
      </c>
      <c r="S191" s="270">
        <f>412400+40756+32000+175400</f>
        <v>660556</v>
      </c>
      <c r="T191" s="753">
        <f>412400+40756+32000+175400+1000</f>
        <v>661556</v>
      </c>
      <c r="U191" s="270">
        <f>412400+40756+32000+175400+1000</f>
        <v>661556</v>
      </c>
      <c r="V191" s="276">
        <v>176714</v>
      </c>
      <c r="W191" s="728">
        <f t="shared" si="127"/>
        <v>0.26711873220105325</v>
      </c>
      <c r="X191" s="27"/>
    </row>
    <row r="192" spans="1:24" x14ac:dyDescent="0.25">
      <c r="A192" s="287" t="s">
        <v>122</v>
      </c>
      <c r="B192" s="835" t="s">
        <v>801</v>
      </c>
      <c r="C192" s="276">
        <v>0</v>
      </c>
      <c r="D192" s="276">
        <v>0</v>
      </c>
      <c r="E192" s="276">
        <v>0</v>
      </c>
      <c r="F192" s="276">
        <v>0</v>
      </c>
      <c r="G192" s="276">
        <v>0</v>
      </c>
      <c r="H192" s="276">
        <v>0</v>
      </c>
      <c r="I192" s="276">
        <v>0</v>
      </c>
      <c r="J192" s="276">
        <v>0</v>
      </c>
      <c r="K192" s="276">
        <v>0</v>
      </c>
      <c r="L192" s="276">
        <v>0</v>
      </c>
      <c r="M192" s="276">
        <v>0</v>
      </c>
      <c r="N192" s="276">
        <v>0</v>
      </c>
      <c r="O192" s="276">
        <v>0</v>
      </c>
      <c r="P192" s="276">
        <v>0</v>
      </c>
      <c r="Q192" s="742">
        <v>39430</v>
      </c>
      <c r="R192" s="276">
        <v>39430</v>
      </c>
      <c r="S192" s="276">
        <v>39430</v>
      </c>
      <c r="T192" s="276">
        <v>39430</v>
      </c>
      <c r="U192" s="276">
        <v>39430</v>
      </c>
      <c r="V192" s="276">
        <v>0</v>
      </c>
      <c r="W192" s="728">
        <f t="shared" si="127"/>
        <v>0</v>
      </c>
      <c r="X192" s="1"/>
    </row>
    <row r="193" spans="1:39" x14ac:dyDescent="0.25">
      <c r="A193" s="292" t="s">
        <v>122</v>
      </c>
      <c r="B193" s="265" t="s">
        <v>478</v>
      </c>
      <c r="C193" s="276">
        <v>245000</v>
      </c>
      <c r="D193" s="276">
        <v>245000</v>
      </c>
      <c r="E193" s="276">
        <v>245000</v>
      </c>
      <c r="F193" s="276">
        <v>245000</v>
      </c>
      <c r="G193" s="276">
        <v>245000</v>
      </c>
      <c r="H193" s="276">
        <v>245000</v>
      </c>
      <c r="I193" s="276">
        <v>245000</v>
      </c>
      <c r="J193" s="276">
        <v>245000</v>
      </c>
      <c r="K193" s="276">
        <v>245000</v>
      </c>
      <c r="L193" s="276">
        <v>245000</v>
      </c>
      <c r="M193" s="742">
        <f>245000+46000</f>
        <v>291000</v>
      </c>
      <c r="N193" s="276">
        <f>245000+46000</f>
        <v>291000</v>
      </c>
      <c r="O193" s="276">
        <f>245000+46000</f>
        <v>291000</v>
      </c>
      <c r="P193" s="276">
        <f>245000+46000</f>
        <v>291000</v>
      </c>
      <c r="Q193" s="742">
        <f>245000+46000+7300</f>
        <v>298300</v>
      </c>
      <c r="R193" s="276">
        <f>245000+46000+7300</f>
        <v>298300</v>
      </c>
      <c r="S193" s="276">
        <f>245000+46000+7300</f>
        <v>298300</v>
      </c>
      <c r="T193" s="276">
        <f>245000+46000+7300</f>
        <v>298300</v>
      </c>
      <c r="U193" s="276">
        <f>245000+46000+7300</f>
        <v>298300</v>
      </c>
      <c r="V193" s="276">
        <v>4566</v>
      </c>
      <c r="W193" s="728">
        <f t="shared" si="127"/>
        <v>1.5306738183037211E-2</v>
      </c>
      <c r="X193" s="1">
        <f>253050+45250</f>
        <v>298300</v>
      </c>
    </row>
    <row r="194" spans="1:39" x14ac:dyDescent="0.25">
      <c r="A194" s="284" t="s">
        <v>124</v>
      </c>
      <c r="B194" s="402" t="s">
        <v>292</v>
      </c>
      <c r="C194" s="270">
        <v>1129200</v>
      </c>
      <c r="D194" s="270">
        <v>1129200</v>
      </c>
      <c r="E194" s="270">
        <v>1129200</v>
      </c>
      <c r="F194" s="270">
        <v>1129200</v>
      </c>
      <c r="G194" s="270">
        <v>1129200</v>
      </c>
      <c r="H194" s="270">
        <v>1129200</v>
      </c>
      <c r="I194" s="270">
        <v>1129200</v>
      </c>
      <c r="J194" s="270">
        <v>1129200</v>
      </c>
      <c r="K194" s="270">
        <v>1129200</v>
      </c>
      <c r="L194" s="270">
        <v>1129200</v>
      </c>
      <c r="M194" s="753">
        <f>1129200+200</f>
        <v>1129400</v>
      </c>
      <c r="N194" s="270">
        <f>1129200+200</f>
        <v>1129400</v>
      </c>
      <c r="O194" s="270">
        <f>1129200+200</f>
        <v>1129400</v>
      </c>
      <c r="P194" s="270">
        <f>1129200+200</f>
        <v>1129400</v>
      </c>
      <c r="Q194" s="270">
        <f t="shared" ref="Q194:U194" si="165">1129200+200</f>
        <v>1129400</v>
      </c>
      <c r="R194" s="270">
        <f t="shared" si="165"/>
        <v>1129400</v>
      </c>
      <c r="S194" s="270">
        <f t="shared" si="165"/>
        <v>1129400</v>
      </c>
      <c r="T194" s="270">
        <f t="shared" si="165"/>
        <v>1129400</v>
      </c>
      <c r="U194" s="270">
        <f t="shared" si="165"/>
        <v>1129400</v>
      </c>
      <c r="V194" s="270">
        <v>0</v>
      </c>
      <c r="W194" s="728">
        <f t="shared" si="127"/>
        <v>0</v>
      </c>
      <c r="X194" s="1">
        <f>81830+1047570</f>
        <v>1129400</v>
      </c>
    </row>
    <row r="195" spans="1:39" ht="15" customHeight="1" x14ac:dyDescent="0.25">
      <c r="A195" s="284" t="s">
        <v>124</v>
      </c>
      <c r="B195" s="707" t="s">
        <v>623</v>
      </c>
      <c r="C195" s="270">
        <v>0</v>
      </c>
      <c r="D195" s="270">
        <v>0</v>
      </c>
      <c r="E195" s="270">
        <v>0</v>
      </c>
      <c r="F195" s="270">
        <v>0</v>
      </c>
      <c r="G195" s="270">
        <v>0</v>
      </c>
      <c r="H195" s="270">
        <v>0</v>
      </c>
      <c r="I195" s="270">
        <v>0</v>
      </c>
      <c r="J195" s="270">
        <v>0</v>
      </c>
      <c r="K195" s="270">
        <v>0</v>
      </c>
      <c r="L195" s="753">
        <v>81600</v>
      </c>
      <c r="M195" s="270">
        <v>81600</v>
      </c>
      <c r="N195" s="270">
        <v>81600</v>
      </c>
      <c r="O195" s="270">
        <v>81600</v>
      </c>
      <c r="P195" s="270">
        <v>81600</v>
      </c>
      <c r="Q195" s="270">
        <v>81600</v>
      </c>
      <c r="R195" s="270">
        <v>81600</v>
      </c>
      <c r="S195" s="270">
        <v>81600</v>
      </c>
      <c r="T195" s="270">
        <v>81600</v>
      </c>
      <c r="U195" s="270">
        <v>81600</v>
      </c>
      <c r="V195" s="270">
        <v>0</v>
      </c>
      <c r="W195" s="728">
        <f t="shared" si="127"/>
        <v>0</v>
      </c>
      <c r="X195" s="1"/>
    </row>
    <row r="196" spans="1:39" x14ac:dyDescent="0.25">
      <c r="A196" s="284" t="s">
        <v>124</v>
      </c>
      <c r="B196" s="707" t="s">
        <v>797</v>
      </c>
      <c r="C196" s="270">
        <v>0</v>
      </c>
      <c r="D196" s="270">
        <v>0</v>
      </c>
      <c r="E196" s="270">
        <v>0</v>
      </c>
      <c r="F196" s="270">
        <v>0</v>
      </c>
      <c r="G196" s="270">
        <v>0</v>
      </c>
      <c r="H196" s="270">
        <v>0</v>
      </c>
      <c r="I196" s="270">
        <v>0</v>
      </c>
      <c r="J196" s="270">
        <v>0</v>
      </c>
      <c r="K196" s="270">
        <v>0</v>
      </c>
      <c r="L196" s="270">
        <v>0</v>
      </c>
      <c r="M196" s="270">
        <v>0</v>
      </c>
      <c r="N196" s="270">
        <v>0</v>
      </c>
      <c r="O196" s="753">
        <v>95000</v>
      </c>
      <c r="P196" s="270">
        <v>95000</v>
      </c>
      <c r="Q196" s="753">
        <f>95000+6000</f>
        <v>101000</v>
      </c>
      <c r="R196" s="270">
        <f>95000+6000</f>
        <v>101000</v>
      </c>
      <c r="S196" s="270">
        <f>95000+6000</f>
        <v>101000</v>
      </c>
      <c r="T196" s="270">
        <f>95000+6000</f>
        <v>101000</v>
      </c>
      <c r="U196" s="270">
        <f>95000+6000</f>
        <v>101000</v>
      </c>
      <c r="V196" s="270">
        <v>100821</v>
      </c>
      <c r="W196" s="728">
        <f t="shared" si="127"/>
        <v>0.99822772277227723</v>
      </c>
      <c r="X196" s="1"/>
    </row>
    <row r="197" spans="1:39" ht="15.75" thickBot="1" x14ac:dyDescent="0.3">
      <c r="A197" s="494" t="s">
        <v>125</v>
      </c>
      <c r="B197" s="712" t="s">
        <v>788</v>
      </c>
      <c r="C197" s="274">
        <v>0</v>
      </c>
      <c r="D197" s="274">
        <v>0</v>
      </c>
      <c r="E197" s="274">
        <v>0</v>
      </c>
      <c r="F197" s="274">
        <v>0</v>
      </c>
      <c r="G197" s="274">
        <v>0</v>
      </c>
      <c r="H197" s="274">
        <v>0</v>
      </c>
      <c r="I197" s="274">
        <v>0</v>
      </c>
      <c r="J197" s="274">
        <v>0</v>
      </c>
      <c r="K197" s="274">
        <v>0</v>
      </c>
      <c r="L197" s="274">
        <v>0</v>
      </c>
      <c r="M197" s="274">
        <v>0</v>
      </c>
      <c r="N197" s="274">
        <v>0</v>
      </c>
      <c r="O197" s="274">
        <v>0</v>
      </c>
      <c r="P197" s="274">
        <v>0</v>
      </c>
      <c r="Q197" s="816">
        <v>831300</v>
      </c>
      <c r="R197" s="274">
        <v>831300</v>
      </c>
      <c r="S197" s="274">
        <v>831300</v>
      </c>
      <c r="T197" s="274">
        <v>831300</v>
      </c>
      <c r="U197" s="274">
        <v>831300</v>
      </c>
      <c r="V197" s="274">
        <v>0</v>
      </c>
      <c r="W197" s="728">
        <f t="shared" ref="W197:W218" si="166">V197/T197</f>
        <v>0</v>
      </c>
      <c r="X197" s="1"/>
    </row>
    <row r="198" spans="1:39" x14ac:dyDescent="0.25">
      <c r="A198" s="297"/>
      <c r="B198" s="298"/>
      <c r="C198" s="299"/>
      <c r="D198" s="299"/>
      <c r="E198" s="299"/>
      <c r="F198" s="299"/>
      <c r="G198" s="299"/>
      <c r="H198" s="299"/>
      <c r="I198" s="299"/>
      <c r="J198" s="299"/>
      <c r="K198" s="299"/>
      <c r="L198" s="299"/>
      <c r="M198" s="299"/>
      <c r="N198" s="299"/>
      <c r="O198" s="299"/>
      <c r="P198" s="299"/>
      <c r="Q198" s="299"/>
      <c r="R198" s="299"/>
      <c r="S198" s="299"/>
      <c r="T198" s="299"/>
      <c r="U198" s="299"/>
      <c r="V198" s="299"/>
      <c r="W198" s="728"/>
      <c r="X198" s="1"/>
    </row>
    <row r="199" spans="1:39" ht="27.75" customHeight="1" thickBot="1" x14ac:dyDescent="0.3">
      <c r="A199" s="880" t="s">
        <v>168</v>
      </c>
      <c r="B199" s="881"/>
      <c r="C199" s="881"/>
      <c r="D199" s="881"/>
      <c r="E199" s="881"/>
      <c r="F199" s="881"/>
      <c r="G199" s="881"/>
      <c r="H199" s="881"/>
      <c r="I199" s="881"/>
      <c r="J199" s="881"/>
      <c r="K199" s="881"/>
      <c r="L199" s="881"/>
      <c r="M199" s="881"/>
      <c r="N199" s="881"/>
      <c r="O199" s="881"/>
      <c r="P199" s="881"/>
      <c r="Q199" s="881"/>
      <c r="R199" s="881"/>
      <c r="S199" s="881"/>
      <c r="T199" s="881"/>
      <c r="U199" s="881"/>
      <c r="V199" s="881"/>
      <c r="W199" s="728"/>
      <c r="X199" s="1"/>
    </row>
    <row r="200" spans="1:39" ht="37.5" customHeight="1" thickBot="1" x14ac:dyDescent="0.3">
      <c r="A200" s="876" t="s">
        <v>1</v>
      </c>
      <c r="B200" s="877"/>
      <c r="C200" s="387" t="s">
        <v>467</v>
      </c>
      <c r="D200" s="387" t="s">
        <v>465</v>
      </c>
      <c r="E200" s="387" t="s">
        <v>483</v>
      </c>
      <c r="F200" s="387" t="s">
        <v>500</v>
      </c>
      <c r="G200" s="387" t="s">
        <v>533</v>
      </c>
      <c r="H200" s="387" t="s">
        <v>578</v>
      </c>
      <c r="I200" s="387" t="s">
        <v>610</v>
      </c>
      <c r="J200" s="387" t="s">
        <v>579</v>
      </c>
      <c r="K200" s="387" t="s">
        <v>646</v>
      </c>
      <c r="L200" s="387" t="s">
        <v>637</v>
      </c>
      <c r="M200" s="387" t="s">
        <v>670</v>
      </c>
      <c r="N200" s="387" t="s">
        <v>680</v>
      </c>
      <c r="O200" s="387" t="s">
        <v>749</v>
      </c>
      <c r="P200" s="387" t="s">
        <v>774</v>
      </c>
      <c r="Q200" s="387" t="s">
        <v>783</v>
      </c>
      <c r="R200" s="387" t="s">
        <v>784</v>
      </c>
      <c r="S200" s="387" t="s">
        <v>885</v>
      </c>
      <c r="T200" s="387" t="s">
        <v>894</v>
      </c>
      <c r="U200" s="387" t="s">
        <v>913</v>
      </c>
      <c r="V200" s="387" t="s">
        <v>893</v>
      </c>
      <c r="W200" s="728"/>
      <c r="X200" s="1"/>
    </row>
    <row r="201" spans="1:39" ht="16.5" thickBot="1" x14ac:dyDescent="0.3">
      <c r="A201" s="410" t="s">
        <v>169</v>
      </c>
      <c r="B201" s="411"/>
      <c r="C201" s="412">
        <f>SUM(C202:C214)</f>
        <v>571286</v>
      </c>
      <c r="D201" s="412">
        <f t="shared" ref="D201:V201" si="167">SUM(D202:D214)</f>
        <v>638913</v>
      </c>
      <c r="E201" s="412">
        <f t="shared" si="167"/>
        <v>638913</v>
      </c>
      <c r="F201" s="412">
        <f t="shared" si="167"/>
        <v>638913</v>
      </c>
      <c r="G201" s="412">
        <f t="shared" si="167"/>
        <v>692938</v>
      </c>
      <c r="H201" s="412">
        <f t="shared" si="167"/>
        <v>692938</v>
      </c>
      <c r="I201" s="412">
        <f t="shared" si="167"/>
        <v>692938</v>
      </c>
      <c r="J201" s="412">
        <f t="shared" si="167"/>
        <v>692938</v>
      </c>
      <c r="K201" s="412">
        <f t="shared" si="167"/>
        <v>692938</v>
      </c>
      <c r="L201" s="412">
        <f t="shared" si="167"/>
        <v>692938</v>
      </c>
      <c r="M201" s="412">
        <f t="shared" si="167"/>
        <v>997938</v>
      </c>
      <c r="N201" s="412">
        <f t="shared" si="167"/>
        <v>997938</v>
      </c>
      <c r="O201" s="412">
        <f t="shared" si="167"/>
        <v>997938</v>
      </c>
      <c r="P201" s="412">
        <f t="shared" si="167"/>
        <v>997938</v>
      </c>
      <c r="Q201" s="412">
        <f t="shared" si="167"/>
        <v>943913</v>
      </c>
      <c r="R201" s="412">
        <f t="shared" si="167"/>
        <v>943913</v>
      </c>
      <c r="S201" s="412">
        <f t="shared" si="167"/>
        <v>943913</v>
      </c>
      <c r="T201" s="412">
        <f t="shared" ref="T201:U201" si="168">SUM(T202:T214)</f>
        <v>943913</v>
      </c>
      <c r="U201" s="412">
        <f t="shared" si="168"/>
        <v>943913</v>
      </c>
      <c r="V201" s="412">
        <f t="shared" si="167"/>
        <v>540892</v>
      </c>
      <c r="W201" s="728">
        <f t="shared" si="166"/>
        <v>0.57303162473660174</v>
      </c>
      <c r="X201" s="27">
        <f t="shared" ref="X201:AM201" si="169">D201-C201</f>
        <v>67627</v>
      </c>
      <c r="Y201" s="27">
        <f t="shared" si="169"/>
        <v>0</v>
      </c>
      <c r="Z201" s="27">
        <f t="shared" si="169"/>
        <v>0</v>
      </c>
      <c r="AA201" s="27">
        <f t="shared" si="169"/>
        <v>54025</v>
      </c>
      <c r="AB201" s="27">
        <f t="shared" si="169"/>
        <v>0</v>
      </c>
      <c r="AC201" s="27">
        <f t="shared" si="169"/>
        <v>0</v>
      </c>
      <c r="AD201" s="27">
        <f t="shared" si="169"/>
        <v>0</v>
      </c>
      <c r="AE201" s="27">
        <f t="shared" si="169"/>
        <v>0</v>
      </c>
      <c r="AF201" s="27">
        <f t="shared" si="169"/>
        <v>0</v>
      </c>
      <c r="AG201" s="27">
        <f t="shared" si="169"/>
        <v>305000</v>
      </c>
      <c r="AH201" s="27">
        <f t="shared" si="169"/>
        <v>0</v>
      </c>
      <c r="AI201" s="27">
        <f t="shared" si="169"/>
        <v>0</v>
      </c>
      <c r="AJ201" s="27">
        <f t="shared" si="169"/>
        <v>0</v>
      </c>
      <c r="AK201" s="27">
        <f t="shared" si="169"/>
        <v>-54025</v>
      </c>
      <c r="AL201" s="27">
        <f t="shared" si="169"/>
        <v>0</v>
      </c>
      <c r="AM201" s="27">
        <f t="shared" si="169"/>
        <v>0</v>
      </c>
    </row>
    <row r="202" spans="1:39" x14ac:dyDescent="0.25">
      <c r="A202" s="378">
        <v>453</v>
      </c>
      <c r="B202" s="379" t="s">
        <v>255</v>
      </c>
      <c r="C202" s="380">
        <f>10000+4000</f>
        <v>14000</v>
      </c>
      <c r="D202" s="704">
        <f t="shared" ref="D202:U202" si="170">10000+4000+3781-160</f>
        <v>17621</v>
      </c>
      <c r="E202" s="380">
        <f t="shared" si="170"/>
        <v>17621</v>
      </c>
      <c r="F202" s="380">
        <f t="shared" si="170"/>
        <v>17621</v>
      </c>
      <c r="G202" s="380">
        <f t="shared" si="170"/>
        <v>17621</v>
      </c>
      <c r="H202" s="380">
        <f t="shared" si="170"/>
        <v>17621</v>
      </c>
      <c r="I202" s="380">
        <f t="shared" si="170"/>
        <v>17621</v>
      </c>
      <c r="J202" s="380">
        <f t="shared" si="170"/>
        <v>17621</v>
      </c>
      <c r="K202" s="380">
        <f t="shared" si="170"/>
        <v>17621</v>
      </c>
      <c r="L202" s="380">
        <f t="shared" si="170"/>
        <v>17621</v>
      </c>
      <c r="M202" s="380">
        <f t="shared" si="170"/>
        <v>17621</v>
      </c>
      <c r="N202" s="380">
        <f t="shared" si="170"/>
        <v>17621</v>
      </c>
      <c r="O202" s="380">
        <f t="shared" si="170"/>
        <v>17621</v>
      </c>
      <c r="P202" s="380">
        <f t="shared" si="170"/>
        <v>17621</v>
      </c>
      <c r="Q202" s="380">
        <f t="shared" si="170"/>
        <v>17621</v>
      </c>
      <c r="R202" s="380">
        <f t="shared" si="170"/>
        <v>17621</v>
      </c>
      <c r="S202" s="380">
        <f t="shared" si="170"/>
        <v>17621</v>
      </c>
      <c r="T202" s="380">
        <f t="shared" si="170"/>
        <v>17621</v>
      </c>
      <c r="U202" s="380">
        <f t="shared" si="170"/>
        <v>17621</v>
      </c>
      <c r="V202" s="380">
        <v>15790</v>
      </c>
      <c r="W202" s="728">
        <f t="shared" si="166"/>
        <v>0.8960898927416151</v>
      </c>
    </row>
    <row r="203" spans="1:39" x14ac:dyDescent="0.25">
      <c r="A203" s="403">
        <v>453</v>
      </c>
      <c r="B203" s="404" t="s">
        <v>254</v>
      </c>
      <c r="C203" s="64">
        <v>2000</v>
      </c>
      <c r="D203" s="64">
        <v>2000</v>
      </c>
      <c r="E203" s="64">
        <v>2000</v>
      </c>
      <c r="F203" s="64">
        <v>2000</v>
      </c>
      <c r="G203" s="64">
        <v>2000</v>
      </c>
      <c r="H203" s="64">
        <v>2000</v>
      </c>
      <c r="I203" s="64">
        <v>2000</v>
      </c>
      <c r="J203" s="64">
        <v>2000</v>
      </c>
      <c r="K203" s="64">
        <v>2000</v>
      </c>
      <c r="L203" s="64">
        <v>2000</v>
      </c>
      <c r="M203" s="64">
        <v>2000</v>
      </c>
      <c r="N203" s="64">
        <v>2000</v>
      </c>
      <c r="O203" s="64">
        <v>2000</v>
      </c>
      <c r="P203" s="64">
        <v>2000</v>
      </c>
      <c r="Q203" s="64">
        <v>2000</v>
      </c>
      <c r="R203" s="64">
        <v>2000</v>
      </c>
      <c r="S203" s="64">
        <v>2000</v>
      </c>
      <c r="T203" s="64">
        <v>2000</v>
      </c>
      <c r="U203" s="64">
        <v>2000</v>
      </c>
      <c r="V203" s="64">
        <v>165</v>
      </c>
      <c r="W203" s="728">
        <f t="shared" si="166"/>
        <v>8.2500000000000004E-2</v>
      </c>
      <c r="X203" s="27"/>
    </row>
    <row r="204" spans="1:39" x14ac:dyDescent="0.25">
      <c r="A204" s="700">
        <v>453</v>
      </c>
      <c r="B204" s="377" t="s">
        <v>256</v>
      </c>
      <c r="C204" s="701">
        <v>2500</v>
      </c>
      <c r="D204" s="702">
        <f t="shared" ref="D204:U204" si="171">2500-2500</f>
        <v>0</v>
      </c>
      <c r="E204" s="701">
        <f t="shared" si="171"/>
        <v>0</v>
      </c>
      <c r="F204" s="701">
        <f t="shared" si="171"/>
        <v>0</v>
      </c>
      <c r="G204" s="701">
        <f t="shared" si="171"/>
        <v>0</v>
      </c>
      <c r="H204" s="701">
        <f t="shared" si="171"/>
        <v>0</v>
      </c>
      <c r="I204" s="701">
        <f t="shared" si="171"/>
        <v>0</v>
      </c>
      <c r="J204" s="701">
        <f t="shared" si="171"/>
        <v>0</v>
      </c>
      <c r="K204" s="701">
        <f t="shared" si="171"/>
        <v>0</v>
      </c>
      <c r="L204" s="701">
        <f t="shared" si="171"/>
        <v>0</v>
      </c>
      <c r="M204" s="701">
        <f t="shared" si="171"/>
        <v>0</v>
      </c>
      <c r="N204" s="701">
        <f t="shared" si="171"/>
        <v>0</v>
      </c>
      <c r="O204" s="701">
        <f t="shared" si="171"/>
        <v>0</v>
      </c>
      <c r="P204" s="701">
        <f t="shared" si="171"/>
        <v>0</v>
      </c>
      <c r="Q204" s="701">
        <f t="shared" si="171"/>
        <v>0</v>
      </c>
      <c r="R204" s="701">
        <f t="shared" si="171"/>
        <v>0</v>
      </c>
      <c r="S204" s="701">
        <f t="shared" si="171"/>
        <v>0</v>
      </c>
      <c r="T204" s="701">
        <f t="shared" si="171"/>
        <v>0</v>
      </c>
      <c r="U204" s="701">
        <f t="shared" si="171"/>
        <v>0</v>
      </c>
      <c r="V204" s="484">
        <v>0</v>
      </c>
      <c r="W204" s="728">
        <v>0</v>
      </c>
      <c r="X204" s="27"/>
    </row>
    <row r="205" spans="1:39" x14ac:dyDescent="0.25">
      <c r="A205" s="798">
        <v>453</v>
      </c>
      <c r="B205" s="799" t="s">
        <v>472</v>
      </c>
      <c r="C205" s="800">
        <v>0</v>
      </c>
      <c r="D205" s="689">
        <v>3211</v>
      </c>
      <c r="E205" s="800">
        <v>3211</v>
      </c>
      <c r="F205" s="800">
        <v>3211</v>
      </c>
      <c r="G205" s="800">
        <v>3211</v>
      </c>
      <c r="H205" s="800">
        <v>3211</v>
      </c>
      <c r="I205" s="800">
        <v>3211</v>
      </c>
      <c r="J205" s="800">
        <v>3211</v>
      </c>
      <c r="K205" s="800">
        <v>3211</v>
      </c>
      <c r="L205" s="800">
        <v>3211</v>
      </c>
      <c r="M205" s="800">
        <v>3211</v>
      </c>
      <c r="N205" s="800">
        <v>3211</v>
      </c>
      <c r="O205" s="800">
        <v>3211</v>
      </c>
      <c r="P205" s="800">
        <v>3211</v>
      </c>
      <c r="Q205" s="800">
        <v>3211</v>
      </c>
      <c r="R205" s="800">
        <v>3211</v>
      </c>
      <c r="S205" s="800">
        <v>3211</v>
      </c>
      <c r="T205" s="800">
        <v>3211</v>
      </c>
      <c r="U205" s="800">
        <v>3211</v>
      </c>
      <c r="V205" s="800">
        <v>3211</v>
      </c>
      <c r="W205" s="728">
        <f t="shared" si="166"/>
        <v>1</v>
      </c>
      <c r="X205" s="27"/>
    </row>
    <row r="206" spans="1:39" x14ac:dyDescent="0.25">
      <c r="A206" s="403">
        <v>453</v>
      </c>
      <c r="B206" s="404" t="s">
        <v>289</v>
      </c>
      <c r="C206" s="64">
        <v>1500</v>
      </c>
      <c r="D206" s="689">
        <f t="shared" ref="D206:U206" si="172">1500+502</f>
        <v>2002</v>
      </c>
      <c r="E206" s="64">
        <f t="shared" si="172"/>
        <v>2002</v>
      </c>
      <c r="F206" s="64">
        <f t="shared" si="172"/>
        <v>2002</v>
      </c>
      <c r="G206" s="64">
        <f t="shared" si="172"/>
        <v>2002</v>
      </c>
      <c r="H206" s="64">
        <f t="shared" si="172"/>
        <v>2002</v>
      </c>
      <c r="I206" s="64">
        <f t="shared" si="172"/>
        <v>2002</v>
      </c>
      <c r="J206" s="64">
        <f t="shared" si="172"/>
        <v>2002</v>
      </c>
      <c r="K206" s="64">
        <f t="shared" si="172"/>
        <v>2002</v>
      </c>
      <c r="L206" s="64">
        <f t="shared" si="172"/>
        <v>2002</v>
      </c>
      <c r="M206" s="64">
        <f t="shared" si="172"/>
        <v>2002</v>
      </c>
      <c r="N206" s="64">
        <f t="shared" si="172"/>
        <v>2002</v>
      </c>
      <c r="O206" s="64">
        <f t="shared" si="172"/>
        <v>2002</v>
      </c>
      <c r="P206" s="64">
        <f t="shared" si="172"/>
        <v>2002</v>
      </c>
      <c r="Q206" s="64">
        <f t="shared" si="172"/>
        <v>2002</v>
      </c>
      <c r="R206" s="64">
        <f t="shared" si="172"/>
        <v>2002</v>
      </c>
      <c r="S206" s="64">
        <f t="shared" si="172"/>
        <v>2002</v>
      </c>
      <c r="T206" s="64">
        <f t="shared" si="172"/>
        <v>2002</v>
      </c>
      <c r="U206" s="64">
        <f t="shared" si="172"/>
        <v>2002</v>
      </c>
      <c r="V206" s="64">
        <v>2002</v>
      </c>
      <c r="W206" s="728">
        <f t="shared" si="166"/>
        <v>1</v>
      </c>
      <c r="X206" s="27"/>
    </row>
    <row r="207" spans="1:39" ht="15.75" thickBot="1" x14ac:dyDescent="0.3">
      <c r="A207" s="303">
        <v>453</v>
      </c>
      <c r="B207" s="304" t="s">
        <v>473</v>
      </c>
      <c r="C207" s="305">
        <v>0</v>
      </c>
      <c r="D207" s="690">
        <f>383</f>
        <v>383</v>
      </c>
      <c r="E207" s="305">
        <f>383</f>
        <v>383</v>
      </c>
      <c r="F207" s="305">
        <f>383</f>
        <v>383</v>
      </c>
      <c r="G207" s="305">
        <f>383</f>
        <v>383</v>
      </c>
      <c r="H207" s="305">
        <f>383</f>
        <v>383</v>
      </c>
      <c r="I207" s="305">
        <f>383</f>
        <v>383</v>
      </c>
      <c r="J207" s="305">
        <f>383</f>
        <v>383</v>
      </c>
      <c r="K207" s="305">
        <f>383</f>
        <v>383</v>
      </c>
      <c r="L207" s="305">
        <f>383</f>
        <v>383</v>
      </c>
      <c r="M207" s="305">
        <f>383</f>
        <v>383</v>
      </c>
      <c r="N207" s="305">
        <f>383</f>
        <v>383</v>
      </c>
      <c r="O207" s="305">
        <f>383</f>
        <v>383</v>
      </c>
      <c r="P207" s="305">
        <f>383</f>
        <v>383</v>
      </c>
      <c r="Q207" s="305">
        <f>383</f>
        <v>383</v>
      </c>
      <c r="R207" s="305">
        <f>383</f>
        <v>383</v>
      </c>
      <c r="S207" s="305">
        <f>383</f>
        <v>383</v>
      </c>
      <c r="T207" s="305">
        <f>383</f>
        <v>383</v>
      </c>
      <c r="U207" s="305">
        <f>383</f>
        <v>383</v>
      </c>
      <c r="V207" s="305">
        <v>382</v>
      </c>
      <c r="W207" s="728">
        <f t="shared" si="166"/>
        <v>0.99738903394255873</v>
      </c>
      <c r="X207" s="426">
        <f>SUM(S202:S207)</f>
        <v>25217</v>
      </c>
      <c r="Y207" s="426">
        <f>SUM(V202:V207)</f>
        <v>21550</v>
      </c>
      <c r="Z207" s="703"/>
    </row>
    <row r="208" spans="1:39" x14ac:dyDescent="0.25">
      <c r="A208" s="378">
        <v>453</v>
      </c>
      <c r="B208" s="379" t="s">
        <v>241</v>
      </c>
      <c r="C208" s="380">
        <v>886</v>
      </c>
      <c r="D208" s="380">
        <v>886</v>
      </c>
      <c r="E208" s="380">
        <v>886</v>
      </c>
      <c r="F208" s="380">
        <v>886</v>
      </c>
      <c r="G208" s="380">
        <v>886</v>
      </c>
      <c r="H208" s="380">
        <v>886</v>
      </c>
      <c r="I208" s="380">
        <v>886</v>
      </c>
      <c r="J208" s="380">
        <v>886</v>
      </c>
      <c r="K208" s="380">
        <v>886</v>
      </c>
      <c r="L208" s="380">
        <v>886</v>
      </c>
      <c r="M208" s="380">
        <v>886</v>
      </c>
      <c r="N208" s="380">
        <v>886</v>
      </c>
      <c r="O208" s="380">
        <v>886</v>
      </c>
      <c r="P208" s="380">
        <v>886</v>
      </c>
      <c r="Q208" s="380">
        <v>886</v>
      </c>
      <c r="R208" s="380">
        <v>886</v>
      </c>
      <c r="S208" s="380">
        <v>886</v>
      </c>
      <c r="T208" s="380">
        <v>886</v>
      </c>
      <c r="U208" s="380">
        <v>886</v>
      </c>
      <c r="V208" s="380">
        <v>886</v>
      </c>
      <c r="W208" s="728">
        <f t="shared" si="166"/>
        <v>1</v>
      </c>
      <c r="X208" s="703"/>
      <c r="Y208" s="703"/>
      <c r="Z208" s="703"/>
    </row>
    <row r="209" spans="1:39" x14ac:dyDescent="0.25">
      <c r="A209" s="471">
        <v>453</v>
      </c>
      <c r="B209" s="482" t="s">
        <v>291</v>
      </c>
      <c r="C209" s="472">
        <f>105400</f>
        <v>105400</v>
      </c>
      <c r="D209" s="691">
        <f t="shared" ref="D209:U209" si="173">105400-7590</f>
        <v>97810</v>
      </c>
      <c r="E209" s="472">
        <f t="shared" si="173"/>
        <v>97810</v>
      </c>
      <c r="F209" s="472">
        <f t="shared" si="173"/>
        <v>97810</v>
      </c>
      <c r="G209" s="472">
        <f t="shared" si="173"/>
        <v>97810</v>
      </c>
      <c r="H209" s="472">
        <f t="shared" si="173"/>
        <v>97810</v>
      </c>
      <c r="I209" s="472">
        <f t="shared" si="173"/>
        <v>97810</v>
      </c>
      <c r="J209" s="472">
        <f t="shared" si="173"/>
        <v>97810</v>
      </c>
      <c r="K209" s="472">
        <f t="shared" si="173"/>
        <v>97810</v>
      </c>
      <c r="L209" s="472">
        <f t="shared" si="173"/>
        <v>97810</v>
      </c>
      <c r="M209" s="472">
        <f t="shared" si="173"/>
        <v>97810</v>
      </c>
      <c r="N209" s="472">
        <f t="shared" si="173"/>
        <v>97810</v>
      </c>
      <c r="O209" s="472">
        <f t="shared" si="173"/>
        <v>97810</v>
      </c>
      <c r="P209" s="472">
        <f t="shared" si="173"/>
        <v>97810</v>
      </c>
      <c r="Q209" s="472">
        <f t="shared" si="173"/>
        <v>97810</v>
      </c>
      <c r="R209" s="472">
        <f t="shared" si="173"/>
        <v>97810</v>
      </c>
      <c r="S209" s="472">
        <f t="shared" si="173"/>
        <v>97810</v>
      </c>
      <c r="T209" s="472">
        <f t="shared" si="173"/>
        <v>97810</v>
      </c>
      <c r="U209" s="472">
        <f t="shared" si="173"/>
        <v>97810</v>
      </c>
      <c r="V209" s="472">
        <v>97804</v>
      </c>
      <c r="W209" s="728">
        <f t="shared" si="166"/>
        <v>0.99993865657908187</v>
      </c>
      <c r="X209" s="703"/>
      <c r="Y209" s="27"/>
      <c r="Z209" s="27"/>
    </row>
    <row r="210" spans="1:39" x14ac:dyDescent="0.25">
      <c r="A210" s="403">
        <v>453</v>
      </c>
      <c r="B210" s="404" t="s">
        <v>293</v>
      </c>
      <c r="C210" s="64">
        <v>0</v>
      </c>
      <c r="D210" s="689">
        <f t="shared" ref="D210:U210" si="174">70000</f>
        <v>70000</v>
      </c>
      <c r="E210" s="64">
        <f t="shared" si="174"/>
        <v>70000</v>
      </c>
      <c r="F210" s="64">
        <f t="shared" si="174"/>
        <v>70000</v>
      </c>
      <c r="G210" s="64">
        <f t="shared" si="174"/>
        <v>70000</v>
      </c>
      <c r="H210" s="64">
        <f t="shared" si="174"/>
        <v>70000</v>
      </c>
      <c r="I210" s="64">
        <f t="shared" si="174"/>
        <v>70000</v>
      </c>
      <c r="J210" s="64">
        <f t="shared" si="174"/>
        <v>70000</v>
      </c>
      <c r="K210" s="64">
        <f t="shared" si="174"/>
        <v>70000</v>
      </c>
      <c r="L210" s="64">
        <f t="shared" si="174"/>
        <v>70000</v>
      </c>
      <c r="M210" s="64">
        <f t="shared" si="174"/>
        <v>70000</v>
      </c>
      <c r="N210" s="64">
        <f t="shared" si="174"/>
        <v>70000</v>
      </c>
      <c r="O210" s="64">
        <f t="shared" si="174"/>
        <v>70000</v>
      </c>
      <c r="P210" s="64">
        <f t="shared" si="174"/>
        <v>70000</v>
      </c>
      <c r="Q210" s="64">
        <f t="shared" si="174"/>
        <v>70000</v>
      </c>
      <c r="R210" s="64">
        <f t="shared" si="174"/>
        <v>70000</v>
      </c>
      <c r="S210" s="64">
        <f t="shared" si="174"/>
        <v>70000</v>
      </c>
      <c r="T210" s="64">
        <f t="shared" si="174"/>
        <v>70000</v>
      </c>
      <c r="U210" s="64">
        <f t="shared" si="174"/>
        <v>70000</v>
      </c>
      <c r="V210" s="524">
        <v>69999</v>
      </c>
      <c r="W210" s="728">
        <f t="shared" si="166"/>
        <v>0.99998571428571426</v>
      </c>
      <c r="X210" s="27"/>
    </row>
    <row r="211" spans="1:39" ht="15.75" thickBot="1" x14ac:dyDescent="0.3">
      <c r="A211" s="483">
        <v>453</v>
      </c>
      <c r="B211" s="377" t="s">
        <v>304</v>
      </c>
      <c r="C211" s="484">
        <v>100000</v>
      </c>
      <c r="D211" s="484">
        <v>100000</v>
      </c>
      <c r="E211" s="484">
        <v>100000</v>
      </c>
      <c r="F211" s="484">
        <v>100000</v>
      </c>
      <c r="G211" s="484">
        <v>100000</v>
      </c>
      <c r="H211" s="484">
        <v>100000</v>
      </c>
      <c r="I211" s="484">
        <v>100000</v>
      </c>
      <c r="J211" s="484">
        <v>100000</v>
      </c>
      <c r="K211" s="484">
        <v>100000</v>
      </c>
      <c r="L211" s="484">
        <v>100000</v>
      </c>
      <c r="M211" s="484">
        <v>100000</v>
      </c>
      <c r="N211" s="484">
        <v>100000</v>
      </c>
      <c r="O211" s="484">
        <v>100000</v>
      </c>
      <c r="P211" s="484">
        <v>100000</v>
      </c>
      <c r="Q211" s="484">
        <v>100000</v>
      </c>
      <c r="R211" s="484">
        <v>100000</v>
      </c>
      <c r="S211" s="484">
        <v>100000</v>
      </c>
      <c r="T211" s="484">
        <v>100000</v>
      </c>
      <c r="U211" s="484">
        <v>100000</v>
      </c>
      <c r="V211" s="484">
        <v>0</v>
      </c>
      <c r="W211" s="728">
        <f t="shared" si="166"/>
        <v>0</v>
      </c>
      <c r="X211" s="27">
        <f>SUM(S208:S211)</f>
        <v>268696</v>
      </c>
      <c r="Y211" s="27">
        <f>SUM(V208:V211)</f>
        <v>168689</v>
      </c>
      <c r="Z211" s="426"/>
    </row>
    <row r="212" spans="1:39" x14ac:dyDescent="0.25">
      <c r="A212" s="378">
        <v>454</v>
      </c>
      <c r="B212" s="379" t="s">
        <v>474</v>
      </c>
      <c r="C212" s="380">
        <v>0</v>
      </c>
      <c r="D212" s="380">
        <v>0</v>
      </c>
      <c r="E212" s="380">
        <v>0</v>
      </c>
      <c r="F212" s="380">
        <v>0</v>
      </c>
      <c r="G212" s="380">
        <v>0</v>
      </c>
      <c r="H212" s="380">
        <v>0</v>
      </c>
      <c r="I212" s="380">
        <v>0</v>
      </c>
      <c r="J212" s="380">
        <v>0</v>
      </c>
      <c r="K212" s="380">
        <v>0</v>
      </c>
      <c r="L212" s="380">
        <v>0</v>
      </c>
      <c r="M212" s="380">
        <v>0</v>
      </c>
      <c r="N212" s="380">
        <v>0</v>
      </c>
      <c r="O212" s="380">
        <v>0</v>
      </c>
      <c r="P212" s="380">
        <v>0</v>
      </c>
      <c r="Q212" s="380">
        <v>0</v>
      </c>
      <c r="R212" s="380">
        <v>0</v>
      </c>
      <c r="S212" s="380">
        <v>0</v>
      </c>
      <c r="T212" s="380">
        <v>0</v>
      </c>
      <c r="U212" s="380">
        <v>0</v>
      </c>
      <c r="V212" s="380">
        <v>0</v>
      </c>
      <c r="W212" s="728">
        <v>0</v>
      </c>
      <c r="X212" s="426"/>
      <c r="Y212" s="27"/>
      <c r="Z212" s="27"/>
    </row>
    <row r="213" spans="1:39" ht="15.75" thickBot="1" x14ac:dyDescent="0.3">
      <c r="A213" s="303">
        <v>454</v>
      </c>
      <c r="B213" s="304" t="s">
        <v>266</v>
      </c>
      <c r="C213" s="305">
        <f t="shared" ref="C213:L213" si="175">152000+193000</f>
        <v>345000</v>
      </c>
      <c r="D213" s="305">
        <f t="shared" si="175"/>
        <v>345000</v>
      </c>
      <c r="E213" s="305">
        <f t="shared" si="175"/>
        <v>345000</v>
      </c>
      <c r="F213" s="305">
        <f t="shared" si="175"/>
        <v>345000</v>
      </c>
      <c r="G213" s="305">
        <f t="shared" si="175"/>
        <v>345000</v>
      </c>
      <c r="H213" s="305">
        <f t="shared" si="175"/>
        <v>345000</v>
      </c>
      <c r="I213" s="305">
        <f t="shared" si="175"/>
        <v>345000</v>
      </c>
      <c r="J213" s="305">
        <f t="shared" si="175"/>
        <v>345000</v>
      </c>
      <c r="K213" s="305">
        <f t="shared" si="175"/>
        <v>345000</v>
      </c>
      <c r="L213" s="305">
        <f t="shared" si="175"/>
        <v>345000</v>
      </c>
      <c r="M213" s="690">
        <f>152000+193000+305000</f>
        <v>650000</v>
      </c>
      <c r="N213" s="305">
        <f>152000+193000+305000</f>
        <v>650000</v>
      </c>
      <c r="O213" s="305">
        <f>152000+193000+305000</f>
        <v>650000</v>
      </c>
      <c r="P213" s="305">
        <f>152000+193000+305000</f>
        <v>650000</v>
      </c>
      <c r="Q213" s="305">
        <f t="shared" ref="Q213:U213" si="176">152000+193000+305000</f>
        <v>650000</v>
      </c>
      <c r="R213" s="305">
        <f t="shared" si="176"/>
        <v>650000</v>
      </c>
      <c r="S213" s="305">
        <f t="shared" si="176"/>
        <v>650000</v>
      </c>
      <c r="T213" s="305">
        <f t="shared" si="176"/>
        <v>650000</v>
      </c>
      <c r="U213" s="305">
        <f t="shared" si="176"/>
        <v>650000</v>
      </c>
      <c r="V213" s="305">
        <v>350653</v>
      </c>
      <c r="W213" s="728">
        <f t="shared" si="166"/>
        <v>0.53946615384615382</v>
      </c>
      <c r="X213" s="27">
        <f>SUM(R212:R213)</f>
        <v>650000</v>
      </c>
      <c r="Y213" s="27">
        <f>SUM(V212:V213)</f>
        <v>350653</v>
      </c>
      <c r="Z213" s="27"/>
    </row>
    <row r="214" spans="1:39" ht="15.75" thickBot="1" x14ac:dyDescent="0.3">
      <c r="A214" s="770">
        <v>456</v>
      </c>
      <c r="B214" s="772" t="s">
        <v>535</v>
      </c>
      <c r="C214" s="771">
        <v>0</v>
      </c>
      <c r="D214" s="771">
        <v>0</v>
      </c>
      <c r="E214" s="771">
        <v>0</v>
      </c>
      <c r="F214" s="771">
        <v>0</v>
      </c>
      <c r="G214" s="773">
        <v>54025</v>
      </c>
      <c r="H214" s="771">
        <v>54025</v>
      </c>
      <c r="I214" s="771">
        <v>54025</v>
      </c>
      <c r="J214" s="771">
        <v>54025</v>
      </c>
      <c r="K214" s="771">
        <v>54025</v>
      </c>
      <c r="L214" s="771">
        <v>54025</v>
      </c>
      <c r="M214" s="771">
        <v>54025</v>
      </c>
      <c r="N214" s="771">
        <v>54025</v>
      </c>
      <c r="O214" s="771">
        <v>54025</v>
      </c>
      <c r="P214" s="771">
        <v>54025</v>
      </c>
      <c r="Q214" s="773">
        <f>54025-54025</f>
        <v>0</v>
      </c>
      <c r="R214" s="771">
        <f>54025-54025</f>
        <v>0</v>
      </c>
      <c r="S214" s="771">
        <f>54025-54025</f>
        <v>0</v>
      </c>
      <c r="T214" s="771">
        <f>54025-54025</f>
        <v>0</v>
      </c>
      <c r="U214" s="771">
        <f>54025-54025</f>
        <v>0</v>
      </c>
      <c r="V214" s="771">
        <v>0</v>
      </c>
      <c r="W214" s="728">
        <v>0</v>
      </c>
      <c r="X214" s="27"/>
      <c r="Y214" s="27"/>
      <c r="Z214" s="27"/>
    </row>
    <row r="215" spans="1:39" ht="16.5" thickBot="1" x14ac:dyDescent="0.3">
      <c r="A215" s="410" t="s">
        <v>171</v>
      </c>
      <c r="B215" s="411"/>
      <c r="C215" s="412">
        <f t="shared" ref="C215:V215" si="177">SUM(C216:C218)</f>
        <v>1090</v>
      </c>
      <c r="D215" s="412">
        <f t="shared" si="177"/>
        <v>1110</v>
      </c>
      <c r="E215" s="412">
        <f t="shared" si="177"/>
        <v>1110</v>
      </c>
      <c r="F215" s="412">
        <f t="shared" si="177"/>
        <v>1110</v>
      </c>
      <c r="G215" s="412">
        <f t="shared" si="177"/>
        <v>55135</v>
      </c>
      <c r="H215" s="412">
        <f t="shared" si="177"/>
        <v>55135</v>
      </c>
      <c r="I215" s="412">
        <f t="shared" si="177"/>
        <v>55135</v>
      </c>
      <c r="J215" s="412">
        <f t="shared" si="177"/>
        <v>55135</v>
      </c>
      <c r="K215" s="412">
        <f t="shared" si="177"/>
        <v>55135</v>
      </c>
      <c r="L215" s="412">
        <f t="shared" si="177"/>
        <v>55135</v>
      </c>
      <c r="M215" s="412">
        <f t="shared" si="177"/>
        <v>55135</v>
      </c>
      <c r="N215" s="412">
        <f t="shared" si="177"/>
        <v>55135</v>
      </c>
      <c r="O215" s="412">
        <f t="shared" si="177"/>
        <v>55135</v>
      </c>
      <c r="P215" s="412">
        <f t="shared" si="177"/>
        <v>55135</v>
      </c>
      <c r="Q215" s="412">
        <f t="shared" si="177"/>
        <v>1110</v>
      </c>
      <c r="R215" s="412">
        <f t="shared" si="177"/>
        <v>1110</v>
      </c>
      <c r="S215" s="412">
        <f t="shared" si="177"/>
        <v>1110</v>
      </c>
      <c r="T215" s="412">
        <f t="shared" ref="T215:U215" si="178">SUM(T216:T218)</f>
        <v>1110</v>
      </c>
      <c r="U215" s="412">
        <f t="shared" si="178"/>
        <v>1110</v>
      </c>
      <c r="V215" s="412">
        <f t="shared" si="177"/>
        <v>905</v>
      </c>
      <c r="W215" s="728">
        <f t="shared" si="166"/>
        <v>0.81531531531531531</v>
      </c>
      <c r="X215" s="27">
        <f t="shared" ref="X215:AM215" si="179">D215-C215</f>
        <v>20</v>
      </c>
      <c r="Y215" s="27">
        <f t="shared" si="179"/>
        <v>0</v>
      </c>
      <c r="Z215" s="27">
        <f t="shared" si="179"/>
        <v>0</v>
      </c>
      <c r="AA215" s="27">
        <f t="shared" si="179"/>
        <v>54025</v>
      </c>
      <c r="AB215" s="27">
        <f t="shared" si="179"/>
        <v>0</v>
      </c>
      <c r="AC215" s="27">
        <f t="shared" si="179"/>
        <v>0</v>
      </c>
      <c r="AD215" s="27">
        <f t="shared" si="179"/>
        <v>0</v>
      </c>
      <c r="AE215" s="27">
        <f t="shared" si="179"/>
        <v>0</v>
      </c>
      <c r="AF215" s="27">
        <f t="shared" si="179"/>
        <v>0</v>
      </c>
      <c r="AG215" s="27">
        <f t="shared" si="179"/>
        <v>0</v>
      </c>
      <c r="AH215" s="27">
        <f t="shared" si="179"/>
        <v>0</v>
      </c>
      <c r="AI215" s="27">
        <f t="shared" si="179"/>
        <v>0</v>
      </c>
      <c r="AJ215" s="27">
        <f t="shared" si="179"/>
        <v>0</v>
      </c>
      <c r="AK215" s="27">
        <f t="shared" si="179"/>
        <v>-54025</v>
      </c>
      <c r="AL215" s="27">
        <f t="shared" si="179"/>
        <v>0</v>
      </c>
      <c r="AM215" s="27">
        <f t="shared" si="179"/>
        <v>0</v>
      </c>
    </row>
    <row r="216" spans="1:39" x14ac:dyDescent="0.25">
      <c r="A216" s="308">
        <v>819</v>
      </c>
      <c r="B216" s="307" t="s">
        <v>244</v>
      </c>
      <c r="C216" s="56">
        <v>0</v>
      </c>
      <c r="D216" s="705">
        <v>20</v>
      </c>
      <c r="E216" s="56">
        <v>20</v>
      </c>
      <c r="F216" s="56">
        <v>20</v>
      </c>
      <c r="G216" s="56">
        <v>20</v>
      </c>
      <c r="H216" s="56">
        <v>20</v>
      </c>
      <c r="I216" s="56">
        <v>20</v>
      </c>
      <c r="J216" s="56">
        <v>20</v>
      </c>
      <c r="K216" s="56">
        <v>20</v>
      </c>
      <c r="L216" s="56">
        <v>20</v>
      </c>
      <c r="M216" s="56">
        <v>20</v>
      </c>
      <c r="N216" s="56">
        <v>20</v>
      </c>
      <c r="O216" s="56">
        <v>20</v>
      </c>
      <c r="P216" s="56">
        <v>20</v>
      </c>
      <c r="Q216" s="56">
        <v>20</v>
      </c>
      <c r="R216" s="56">
        <v>20</v>
      </c>
      <c r="S216" s="56">
        <v>20</v>
      </c>
      <c r="T216" s="56">
        <v>20</v>
      </c>
      <c r="U216" s="56">
        <v>20</v>
      </c>
      <c r="V216" s="56">
        <v>5</v>
      </c>
      <c r="W216" s="728">
        <f t="shared" si="166"/>
        <v>0.25</v>
      </c>
      <c r="X216" s="27"/>
      <c r="Y216" s="27"/>
      <c r="Z216" s="27"/>
      <c r="AB216" s="426"/>
    </row>
    <row r="217" spans="1:39" x14ac:dyDescent="0.25">
      <c r="A217" s="308">
        <v>819</v>
      </c>
      <c r="B217" s="377" t="s">
        <v>535</v>
      </c>
      <c r="C217" s="56">
        <v>0</v>
      </c>
      <c r="D217" s="56">
        <v>0</v>
      </c>
      <c r="E217" s="56">
        <v>0</v>
      </c>
      <c r="F217" s="56">
        <v>0</v>
      </c>
      <c r="G217" s="705">
        <v>54025</v>
      </c>
      <c r="H217" s="56">
        <v>54025</v>
      </c>
      <c r="I217" s="56">
        <v>54025</v>
      </c>
      <c r="J217" s="56">
        <v>54025</v>
      </c>
      <c r="K217" s="56">
        <v>54025</v>
      </c>
      <c r="L217" s="56">
        <v>54025</v>
      </c>
      <c r="M217" s="56">
        <v>54025</v>
      </c>
      <c r="N217" s="56">
        <v>54025</v>
      </c>
      <c r="O217" s="56">
        <v>54025</v>
      </c>
      <c r="P217" s="56">
        <v>54025</v>
      </c>
      <c r="Q217" s="705">
        <f>54025-54025</f>
        <v>0</v>
      </c>
      <c r="R217" s="56">
        <f>54025-54025</f>
        <v>0</v>
      </c>
      <c r="S217" s="56">
        <f>54025-54025</f>
        <v>0</v>
      </c>
      <c r="T217" s="56">
        <f>54025-54025</f>
        <v>0</v>
      </c>
      <c r="U217" s="56">
        <f>54025-54025</f>
        <v>0</v>
      </c>
      <c r="V217" s="56">
        <v>0</v>
      </c>
      <c r="W217" s="728">
        <v>0</v>
      </c>
      <c r="X217" s="27">
        <f>SUM(R216:R217)</f>
        <v>20</v>
      </c>
      <c r="Y217" s="27">
        <f>SUM(V216:V217)</f>
        <v>5</v>
      </c>
      <c r="Z217" s="27"/>
      <c r="AB217" s="426"/>
    </row>
    <row r="218" spans="1:39" ht="14.25" customHeight="1" thickBot="1" x14ac:dyDescent="0.3">
      <c r="A218" s="310">
        <v>821</v>
      </c>
      <c r="B218" s="311" t="s">
        <v>173</v>
      </c>
      <c r="C218" s="124">
        <v>1090</v>
      </c>
      <c r="D218" s="124">
        <v>1090</v>
      </c>
      <c r="E218" s="124">
        <v>1090</v>
      </c>
      <c r="F218" s="124">
        <v>1090</v>
      </c>
      <c r="G218" s="124">
        <v>1090</v>
      </c>
      <c r="H218" s="124">
        <v>1090</v>
      </c>
      <c r="I218" s="124">
        <v>1090</v>
      </c>
      <c r="J218" s="124">
        <v>1090</v>
      </c>
      <c r="K218" s="124">
        <v>1090</v>
      </c>
      <c r="L218" s="124">
        <v>1090</v>
      </c>
      <c r="M218" s="124">
        <v>1090</v>
      </c>
      <c r="N218" s="124">
        <v>1090</v>
      </c>
      <c r="O218" s="124">
        <v>1090</v>
      </c>
      <c r="P218" s="124">
        <v>1090</v>
      </c>
      <c r="Q218" s="124">
        <v>1090</v>
      </c>
      <c r="R218" s="124">
        <v>1090</v>
      </c>
      <c r="S218" s="124">
        <v>1090</v>
      </c>
      <c r="T218" s="124">
        <v>1090</v>
      </c>
      <c r="U218" s="124">
        <v>1090</v>
      </c>
      <c r="V218" s="124">
        <v>900</v>
      </c>
      <c r="W218" s="728">
        <f t="shared" si="166"/>
        <v>0.82568807339449546</v>
      </c>
      <c r="X218" s="27"/>
    </row>
    <row r="219" spans="1:39" x14ac:dyDescent="0.25">
      <c r="A219" s="297"/>
      <c r="B219" s="312"/>
      <c r="C219" s="157"/>
      <c r="D219" s="157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  <c r="R219" s="157"/>
      <c r="S219" s="157"/>
      <c r="T219" s="157"/>
      <c r="U219" s="157"/>
      <c r="V219" s="157"/>
      <c r="W219" s="157"/>
      <c r="X219" s="1"/>
    </row>
    <row r="220" spans="1:39" ht="15.75" x14ac:dyDescent="0.25">
      <c r="A220" s="101"/>
      <c r="B220" s="295"/>
      <c r="C220" s="295"/>
      <c r="D220" s="295"/>
      <c r="E220" s="295"/>
      <c r="F220" s="295"/>
      <c r="G220" s="295"/>
      <c r="H220" s="295"/>
      <c r="I220" s="295"/>
      <c r="J220" s="295"/>
      <c r="K220" s="295"/>
      <c r="L220" s="295"/>
      <c r="M220" s="295"/>
      <c r="N220" s="295"/>
      <c r="O220" s="295"/>
      <c r="P220" s="295"/>
      <c r="Q220" s="295"/>
      <c r="R220" s="295"/>
      <c r="S220" s="295"/>
      <c r="T220" s="295"/>
      <c r="U220" s="295"/>
      <c r="V220" s="295"/>
      <c r="W220" s="295"/>
      <c r="X220" s="1"/>
    </row>
    <row r="221" spans="1:39" ht="18.75" thickBot="1" x14ac:dyDescent="0.3">
      <c r="A221" s="882" t="s">
        <v>174</v>
      </c>
      <c r="B221" s="883"/>
      <c r="C221" s="883"/>
      <c r="D221" s="883"/>
      <c r="E221" s="883"/>
      <c r="F221" s="883"/>
      <c r="G221" s="883"/>
      <c r="H221" s="883"/>
      <c r="I221" s="883"/>
      <c r="J221" s="883"/>
      <c r="K221" s="883"/>
      <c r="L221" s="883"/>
      <c r="M221" s="883"/>
      <c r="N221" s="883"/>
      <c r="O221" s="883"/>
      <c r="P221" s="883"/>
      <c r="Q221" s="883"/>
      <c r="R221" s="883"/>
      <c r="S221" s="883"/>
      <c r="T221" s="883"/>
      <c r="U221" s="883"/>
      <c r="V221" s="883"/>
      <c r="W221" s="729"/>
      <c r="X221" s="295"/>
    </row>
    <row r="222" spans="1:39" ht="36" customHeight="1" thickBot="1" x14ac:dyDescent="0.3">
      <c r="A222" s="876" t="s">
        <v>1</v>
      </c>
      <c r="B222" s="877"/>
      <c r="C222" s="387" t="s">
        <v>467</v>
      </c>
      <c r="D222" s="387" t="s">
        <v>465</v>
      </c>
      <c r="E222" s="387" t="s">
        <v>483</v>
      </c>
      <c r="F222" s="387" t="s">
        <v>500</v>
      </c>
      <c r="G222" s="387" t="s">
        <v>533</v>
      </c>
      <c r="H222" s="387" t="s">
        <v>578</v>
      </c>
      <c r="I222" s="387" t="s">
        <v>610</v>
      </c>
      <c r="J222" s="387" t="s">
        <v>579</v>
      </c>
      <c r="K222" s="387" t="s">
        <v>646</v>
      </c>
      <c r="L222" s="387" t="s">
        <v>637</v>
      </c>
      <c r="M222" s="387" t="s">
        <v>670</v>
      </c>
      <c r="N222" s="387" t="s">
        <v>680</v>
      </c>
      <c r="O222" s="387" t="s">
        <v>749</v>
      </c>
      <c r="P222" s="387" t="s">
        <v>774</v>
      </c>
      <c r="Q222" s="387" t="s">
        <v>783</v>
      </c>
      <c r="R222" s="387" t="s">
        <v>784</v>
      </c>
      <c r="S222" s="387" t="s">
        <v>885</v>
      </c>
      <c r="T222" s="387" t="s">
        <v>894</v>
      </c>
      <c r="U222" s="387" t="s">
        <v>913</v>
      </c>
      <c r="V222" s="387" t="s">
        <v>893</v>
      </c>
      <c r="W222" s="730"/>
      <c r="X222" s="1"/>
    </row>
    <row r="223" spans="1:39" ht="15.75" x14ac:dyDescent="0.25">
      <c r="A223" s="313" t="s">
        <v>175</v>
      </c>
      <c r="B223" s="29"/>
      <c r="C223" s="314">
        <f t="shared" ref="C223:V223" si="180">C75</f>
        <v>2971575</v>
      </c>
      <c r="D223" s="314">
        <f t="shared" si="180"/>
        <v>2971247</v>
      </c>
      <c r="E223" s="314">
        <f t="shared" si="180"/>
        <v>2988357</v>
      </c>
      <c r="F223" s="314">
        <f t="shared" si="180"/>
        <v>2981581</v>
      </c>
      <c r="G223" s="314">
        <f t="shared" si="180"/>
        <v>2981581</v>
      </c>
      <c r="H223" s="314">
        <f t="shared" si="180"/>
        <v>2981581</v>
      </c>
      <c r="I223" s="314">
        <f t="shared" si="180"/>
        <v>2993537</v>
      </c>
      <c r="J223" s="314">
        <f t="shared" si="180"/>
        <v>2994461</v>
      </c>
      <c r="K223" s="314">
        <f t="shared" si="180"/>
        <v>3092290</v>
      </c>
      <c r="L223" s="314">
        <f t="shared" si="180"/>
        <v>3093835</v>
      </c>
      <c r="M223" s="314">
        <f t="shared" si="180"/>
        <v>3093835</v>
      </c>
      <c r="N223" s="314">
        <f t="shared" si="180"/>
        <v>3098234</v>
      </c>
      <c r="O223" s="314">
        <f t="shared" si="180"/>
        <v>3100431</v>
      </c>
      <c r="P223" s="314">
        <f t="shared" si="180"/>
        <v>3102031</v>
      </c>
      <c r="Q223" s="314">
        <f t="shared" si="180"/>
        <v>3101031</v>
      </c>
      <c r="R223" s="314">
        <f t="shared" si="180"/>
        <v>3142312</v>
      </c>
      <c r="S223" s="314">
        <f t="shared" si="180"/>
        <v>3167160</v>
      </c>
      <c r="T223" s="314">
        <f t="shared" ref="T223:U223" si="181">T75</f>
        <v>3167160</v>
      </c>
      <c r="U223" s="314">
        <f t="shared" si="181"/>
        <v>3197333</v>
      </c>
      <c r="V223" s="314">
        <f t="shared" si="180"/>
        <v>2513275</v>
      </c>
      <c r="W223" s="726"/>
    </row>
    <row r="224" spans="1:39" ht="15.75" x14ac:dyDescent="0.25">
      <c r="A224" s="315" t="s">
        <v>176</v>
      </c>
      <c r="B224" s="316"/>
      <c r="C224" s="317">
        <f t="shared" ref="C224:V224" si="182">C144</f>
        <v>2990485</v>
      </c>
      <c r="D224" s="317">
        <f t="shared" si="182"/>
        <v>2995354</v>
      </c>
      <c r="E224" s="317">
        <f t="shared" si="182"/>
        <v>3012464</v>
      </c>
      <c r="F224" s="317">
        <f t="shared" si="182"/>
        <v>3005688</v>
      </c>
      <c r="G224" s="317">
        <f t="shared" si="182"/>
        <v>3005688</v>
      </c>
      <c r="H224" s="317">
        <f t="shared" si="182"/>
        <v>3005688</v>
      </c>
      <c r="I224" s="317">
        <f t="shared" si="182"/>
        <v>3017644</v>
      </c>
      <c r="J224" s="317">
        <f t="shared" si="182"/>
        <v>3018568</v>
      </c>
      <c r="K224" s="317">
        <f t="shared" si="182"/>
        <v>3116397</v>
      </c>
      <c r="L224" s="317">
        <f t="shared" si="182"/>
        <v>3117942</v>
      </c>
      <c r="M224" s="317">
        <f t="shared" si="182"/>
        <v>3117942</v>
      </c>
      <c r="N224" s="317">
        <f t="shared" si="182"/>
        <v>3122341</v>
      </c>
      <c r="O224" s="317">
        <f t="shared" si="182"/>
        <v>3124538</v>
      </c>
      <c r="P224" s="317">
        <f t="shared" si="182"/>
        <v>3126138</v>
      </c>
      <c r="Q224" s="317">
        <f t="shared" si="182"/>
        <v>3125138</v>
      </c>
      <c r="R224" s="317">
        <f t="shared" si="182"/>
        <v>3166419</v>
      </c>
      <c r="S224" s="317">
        <f t="shared" si="182"/>
        <v>3191267</v>
      </c>
      <c r="T224" s="317">
        <f t="shared" ref="T224:U224" si="183">T144</f>
        <v>3191267</v>
      </c>
      <c r="U224" s="317">
        <f t="shared" si="183"/>
        <v>3221440</v>
      </c>
      <c r="V224" s="317">
        <f t="shared" si="182"/>
        <v>2286060</v>
      </c>
      <c r="W224" s="726"/>
    </row>
    <row r="225" spans="1:41" ht="18.75" customHeight="1" x14ac:dyDescent="0.25">
      <c r="A225" s="884" t="s">
        <v>177</v>
      </c>
      <c r="B225" s="885"/>
      <c r="C225" s="318">
        <f t="shared" ref="C225:V225" si="184">C223-C224</f>
        <v>-18910</v>
      </c>
      <c r="D225" s="318">
        <f t="shared" si="184"/>
        <v>-24107</v>
      </c>
      <c r="E225" s="318">
        <f t="shared" si="184"/>
        <v>-24107</v>
      </c>
      <c r="F225" s="318">
        <f t="shared" si="184"/>
        <v>-24107</v>
      </c>
      <c r="G225" s="318">
        <f t="shared" si="184"/>
        <v>-24107</v>
      </c>
      <c r="H225" s="318">
        <f t="shared" si="184"/>
        <v>-24107</v>
      </c>
      <c r="I225" s="318">
        <f t="shared" si="184"/>
        <v>-24107</v>
      </c>
      <c r="J225" s="318">
        <f t="shared" si="184"/>
        <v>-24107</v>
      </c>
      <c r="K225" s="318">
        <f t="shared" si="184"/>
        <v>-24107</v>
      </c>
      <c r="L225" s="318">
        <f t="shared" si="184"/>
        <v>-24107</v>
      </c>
      <c r="M225" s="318">
        <f t="shared" si="184"/>
        <v>-24107</v>
      </c>
      <c r="N225" s="318">
        <f t="shared" si="184"/>
        <v>-24107</v>
      </c>
      <c r="O225" s="318">
        <f t="shared" si="184"/>
        <v>-24107</v>
      </c>
      <c r="P225" s="318">
        <f t="shared" si="184"/>
        <v>-24107</v>
      </c>
      <c r="Q225" s="318">
        <f t="shared" si="184"/>
        <v>-24107</v>
      </c>
      <c r="R225" s="318">
        <f t="shared" si="184"/>
        <v>-24107</v>
      </c>
      <c r="S225" s="318">
        <f t="shared" si="184"/>
        <v>-24107</v>
      </c>
      <c r="T225" s="318">
        <f t="shared" ref="T225:U225" si="185">T223-T224</f>
        <v>-24107</v>
      </c>
      <c r="U225" s="318">
        <f t="shared" si="185"/>
        <v>-24107</v>
      </c>
      <c r="V225" s="318">
        <f t="shared" si="184"/>
        <v>227215</v>
      </c>
      <c r="W225" s="731"/>
      <c r="X225" s="27">
        <f>O225-O218</f>
        <v>-25197</v>
      </c>
      <c r="Y225" s="27"/>
      <c r="Z225" s="27"/>
      <c r="AA225" s="27"/>
    </row>
    <row r="226" spans="1:41" ht="16.149999999999999" customHeight="1" x14ac:dyDescent="0.25">
      <c r="A226" s="315" t="s">
        <v>178</v>
      </c>
      <c r="B226" s="18"/>
      <c r="C226" s="317">
        <f t="shared" ref="C226:V226" si="186">C149</f>
        <v>2593450</v>
      </c>
      <c r="D226" s="317">
        <f t="shared" si="186"/>
        <v>2523450</v>
      </c>
      <c r="E226" s="317">
        <f t="shared" si="186"/>
        <v>2511270</v>
      </c>
      <c r="F226" s="317">
        <f t="shared" si="186"/>
        <v>2511270</v>
      </c>
      <c r="G226" s="317">
        <f t="shared" si="186"/>
        <v>2541070</v>
      </c>
      <c r="H226" s="317">
        <f t="shared" si="186"/>
        <v>2541070</v>
      </c>
      <c r="I226" s="317">
        <f t="shared" si="186"/>
        <v>2541070</v>
      </c>
      <c r="J226" s="317">
        <f t="shared" si="186"/>
        <v>2541070</v>
      </c>
      <c r="K226" s="317">
        <f t="shared" si="186"/>
        <v>2541070</v>
      </c>
      <c r="L226" s="317">
        <f t="shared" si="186"/>
        <v>2614470</v>
      </c>
      <c r="M226" s="317">
        <f t="shared" si="186"/>
        <v>2714670</v>
      </c>
      <c r="N226" s="317">
        <f t="shared" si="186"/>
        <v>2714670</v>
      </c>
      <c r="O226" s="317">
        <f t="shared" si="186"/>
        <v>2809670</v>
      </c>
      <c r="P226" s="317">
        <f t="shared" si="186"/>
        <v>2809670</v>
      </c>
      <c r="Q226" s="317">
        <f t="shared" si="186"/>
        <v>3949970</v>
      </c>
      <c r="R226" s="317">
        <f t="shared" si="186"/>
        <v>3949970</v>
      </c>
      <c r="S226" s="317">
        <f t="shared" si="186"/>
        <v>3949970</v>
      </c>
      <c r="T226" s="317">
        <f t="shared" ref="T226:U226" si="187">T149</f>
        <v>3949970</v>
      </c>
      <c r="U226" s="317">
        <f t="shared" si="187"/>
        <v>3949970</v>
      </c>
      <c r="V226" s="317">
        <f t="shared" si="186"/>
        <v>406018.73</v>
      </c>
      <c r="W226" s="726"/>
    </row>
    <row r="227" spans="1:41" ht="15.75" x14ac:dyDescent="0.25">
      <c r="A227" s="315" t="s">
        <v>179</v>
      </c>
      <c r="B227" s="18"/>
      <c r="C227" s="20">
        <f t="shared" ref="C227:V227" si="188">C169</f>
        <v>3144736</v>
      </c>
      <c r="D227" s="20">
        <f t="shared" si="188"/>
        <v>3137146</v>
      </c>
      <c r="E227" s="20">
        <f t="shared" si="188"/>
        <v>3124966</v>
      </c>
      <c r="F227" s="20">
        <f t="shared" si="188"/>
        <v>3124966</v>
      </c>
      <c r="G227" s="20">
        <f t="shared" si="188"/>
        <v>3154766</v>
      </c>
      <c r="H227" s="20">
        <f t="shared" si="188"/>
        <v>3154766</v>
      </c>
      <c r="I227" s="20">
        <f t="shared" si="188"/>
        <v>3154766</v>
      </c>
      <c r="J227" s="20">
        <f t="shared" si="188"/>
        <v>3154766</v>
      </c>
      <c r="K227" s="20">
        <f t="shared" si="188"/>
        <v>3154766</v>
      </c>
      <c r="L227" s="20">
        <f t="shared" si="188"/>
        <v>3228166</v>
      </c>
      <c r="M227" s="20">
        <f t="shared" si="188"/>
        <v>3633366</v>
      </c>
      <c r="N227" s="20">
        <f t="shared" si="188"/>
        <v>3633366</v>
      </c>
      <c r="O227" s="20">
        <f t="shared" si="188"/>
        <v>3728366</v>
      </c>
      <c r="P227" s="20">
        <f t="shared" si="188"/>
        <v>3728366</v>
      </c>
      <c r="Q227" s="20">
        <f t="shared" si="188"/>
        <v>4868666</v>
      </c>
      <c r="R227" s="20">
        <f t="shared" si="188"/>
        <v>4868666</v>
      </c>
      <c r="S227" s="20">
        <f t="shared" si="188"/>
        <v>4868666</v>
      </c>
      <c r="T227" s="20">
        <f t="shared" ref="T227:U227" si="189">T169</f>
        <v>4868666</v>
      </c>
      <c r="U227" s="20">
        <f t="shared" si="189"/>
        <v>4868666</v>
      </c>
      <c r="V227" s="20">
        <f t="shared" si="188"/>
        <v>686717</v>
      </c>
      <c r="W227" s="703"/>
      <c r="X227" s="1"/>
    </row>
    <row r="228" spans="1:41" ht="18" customHeight="1" x14ac:dyDescent="0.25">
      <c r="A228" s="884" t="s">
        <v>180</v>
      </c>
      <c r="B228" s="885"/>
      <c r="C228" s="318">
        <f t="shared" ref="C228:V228" si="190">C226-C227</f>
        <v>-551286</v>
      </c>
      <c r="D228" s="318">
        <f t="shared" si="190"/>
        <v>-613696</v>
      </c>
      <c r="E228" s="318">
        <f t="shared" si="190"/>
        <v>-613696</v>
      </c>
      <c r="F228" s="318">
        <f t="shared" si="190"/>
        <v>-613696</v>
      </c>
      <c r="G228" s="318">
        <f t="shared" si="190"/>
        <v>-613696</v>
      </c>
      <c r="H228" s="318">
        <f t="shared" si="190"/>
        <v>-613696</v>
      </c>
      <c r="I228" s="318">
        <f t="shared" si="190"/>
        <v>-613696</v>
      </c>
      <c r="J228" s="318">
        <f t="shared" si="190"/>
        <v>-613696</v>
      </c>
      <c r="K228" s="318">
        <f t="shared" si="190"/>
        <v>-613696</v>
      </c>
      <c r="L228" s="318">
        <f t="shared" si="190"/>
        <v>-613696</v>
      </c>
      <c r="M228" s="318">
        <f t="shared" si="190"/>
        <v>-918696</v>
      </c>
      <c r="N228" s="318">
        <f t="shared" si="190"/>
        <v>-918696</v>
      </c>
      <c r="O228" s="318">
        <f t="shared" si="190"/>
        <v>-918696</v>
      </c>
      <c r="P228" s="318">
        <f t="shared" si="190"/>
        <v>-918696</v>
      </c>
      <c r="Q228" s="318">
        <f t="shared" si="190"/>
        <v>-918696</v>
      </c>
      <c r="R228" s="318">
        <f t="shared" si="190"/>
        <v>-918696</v>
      </c>
      <c r="S228" s="318">
        <f t="shared" si="190"/>
        <v>-918696</v>
      </c>
      <c r="T228" s="318">
        <f t="shared" ref="T228:U228" si="191">T226-T227</f>
        <v>-918696</v>
      </c>
      <c r="U228" s="318">
        <f t="shared" si="191"/>
        <v>-918696</v>
      </c>
      <c r="V228" s="318">
        <f t="shared" si="190"/>
        <v>-280698.27</v>
      </c>
      <c r="W228" s="731"/>
      <c r="X228" s="1"/>
      <c r="Y228" s="703"/>
      <c r="Z228" s="703"/>
    </row>
    <row r="229" spans="1:41" ht="15.75" x14ac:dyDescent="0.25">
      <c r="A229" s="319" t="s">
        <v>181</v>
      </c>
      <c r="B229" s="320"/>
      <c r="C229" s="321">
        <f t="shared" ref="C229:V229" si="192">C201</f>
        <v>571286</v>
      </c>
      <c r="D229" s="321">
        <f t="shared" si="192"/>
        <v>638913</v>
      </c>
      <c r="E229" s="321">
        <f t="shared" si="192"/>
        <v>638913</v>
      </c>
      <c r="F229" s="321">
        <f t="shared" si="192"/>
        <v>638913</v>
      </c>
      <c r="G229" s="321">
        <f t="shared" si="192"/>
        <v>692938</v>
      </c>
      <c r="H229" s="321">
        <f t="shared" si="192"/>
        <v>692938</v>
      </c>
      <c r="I229" s="321">
        <f t="shared" si="192"/>
        <v>692938</v>
      </c>
      <c r="J229" s="321">
        <f t="shared" si="192"/>
        <v>692938</v>
      </c>
      <c r="K229" s="321">
        <f t="shared" si="192"/>
        <v>692938</v>
      </c>
      <c r="L229" s="321">
        <f t="shared" si="192"/>
        <v>692938</v>
      </c>
      <c r="M229" s="321">
        <f t="shared" si="192"/>
        <v>997938</v>
      </c>
      <c r="N229" s="321">
        <f t="shared" si="192"/>
        <v>997938</v>
      </c>
      <c r="O229" s="321">
        <f t="shared" si="192"/>
        <v>997938</v>
      </c>
      <c r="P229" s="321">
        <f t="shared" si="192"/>
        <v>997938</v>
      </c>
      <c r="Q229" s="321">
        <f t="shared" si="192"/>
        <v>943913</v>
      </c>
      <c r="R229" s="321">
        <f t="shared" si="192"/>
        <v>943913</v>
      </c>
      <c r="S229" s="321">
        <f t="shared" si="192"/>
        <v>943913</v>
      </c>
      <c r="T229" s="321">
        <f t="shared" ref="T229:U229" si="193">T201</f>
        <v>943913</v>
      </c>
      <c r="U229" s="321">
        <f t="shared" si="193"/>
        <v>943913</v>
      </c>
      <c r="V229" s="321">
        <f t="shared" si="192"/>
        <v>540892</v>
      </c>
      <c r="W229" s="726"/>
      <c r="X229" s="703"/>
    </row>
    <row r="230" spans="1:41" ht="16.5" customHeight="1" x14ac:dyDescent="0.25">
      <c r="A230" s="319" t="s">
        <v>182</v>
      </c>
      <c r="B230" s="320"/>
      <c r="C230" s="321">
        <f t="shared" ref="C230:V230" si="194">C215</f>
        <v>1090</v>
      </c>
      <c r="D230" s="321">
        <f t="shared" si="194"/>
        <v>1110</v>
      </c>
      <c r="E230" s="321">
        <f t="shared" si="194"/>
        <v>1110</v>
      </c>
      <c r="F230" s="321">
        <f t="shared" si="194"/>
        <v>1110</v>
      </c>
      <c r="G230" s="321">
        <f t="shared" si="194"/>
        <v>55135</v>
      </c>
      <c r="H230" s="321">
        <f t="shared" si="194"/>
        <v>55135</v>
      </c>
      <c r="I230" s="321">
        <f t="shared" si="194"/>
        <v>55135</v>
      </c>
      <c r="J230" s="321">
        <f t="shared" si="194"/>
        <v>55135</v>
      </c>
      <c r="K230" s="321">
        <f t="shared" si="194"/>
        <v>55135</v>
      </c>
      <c r="L230" s="321">
        <f t="shared" si="194"/>
        <v>55135</v>
      </c>
      <c r="M230" s="321">
        <f t="shared" si="194"/>
        <v>55135</v>
      </c>
      <c r="N230" s="321">
        <f t="shared" si="194"/>
        <v>55135</v>
      </c>
      <c r="O230" s="321">
        <f t="shared" si="194"/>
        <v>55135</v>
      </c>
      <c r="P230" s="321">
        <f t="shared" si="194"/>
        <v>55135</v>
      </c>
      <c r="Q230" s="321">
        <f t="shared" si="194"/>
        <v>1110</v>
      </c>
      <c r="R230" s="321">
        <f t="shared" si="194"/>
        <v>1110</v>
      </c>
      <c r="S230" s="321">
        <f t="shared" si="194"/>
        <v>1110</v>
      </c>
      <c r="T230" s="321">
        <f t="shared" ref="T230:U230" si="195">T215</f>
        <v>1110</v>
      </c>
      <c r="U230" s="321">
        <f t="shared" si="195"/>
        <v>1110</v>
      </c>
      <c r="V230" s="321">
        <f t="shared" si="194"/>
        <v>905</v>
      </c>
      <c r="W230" s="726"/>
      <c r="X230" s="1"/>
    </row>
    <row r="231" spans="1:41" ht="19.5" customHeight="1" thickBot="1" x14ac:dyDescent="0.3">
      <c r="A231" s="870" t="s">
        <v>183</v>
      </c>
      <c r="B231" s="871"/>
      <c r="C231" s="322">
        <f t="shared" ref="C231:V231" si="196">C229-C230</f>
        <v>570196</v>
      </c>
      <c r="D231" s="322">
        <f t="shared" si="196"/>
        <v>637803</v>
      </c>
      <c r="E231" s="322">
        <f t="shared" si="196"/>
        <v>637803</v>
      </c>
      <c r="F231" s="322">
        <f t="shared" si="196"/>
        <v>637803</v>
      </c>
      <c r="G231" s="322">
        <f t="shared" si="196"/>
        <v>637803</v>
      </c>
      <c r="H231" s="322">
        <f t="shared" si="196"/>
        <v>637803</v>
      </c>
      <c r="I231" s="322">
        <f t="shared" si="196"/>
        <v>637803</v>
      </c>
      <c r="J231" s="322">
        <f t="shared" si="196"/>
        <v>637803</v>
      </c>
      <c r="K231" s="322">
        <f t="shared" si="196"/>
        <v>637803</v>
      </c>
      <c r="L231" s="322">
        <f t="shared" si="196"/>
        <v>637803</v>
      </c>
      <c r="M231" s="322">
        <f t="shared" si="196"/>
        <v>942803</v>
      </c>
      <c r="N231" s="322">
        <f t="shared" si="196"/>
        <v>942803</v>
      </c>
      <c r="O231" s="322">
        <f t="shared" si="196"/>
        <v>942803</v>
      </c>
      <c r="P231" s="322">
        <f t="shared" si="196"/>
        <v>942803</v>
      </c>
      <c r="Q231" s="322">
        <f t="shared" si="196"/>
        <v>942803</v>
      </c>
      <c r="R231" s="322">
        <f t="shared" si="196"/>
        <v>942803</v>
      </c>
      <c r="S231" s="322">
        <f t="shared" si="196"/>
        <v>942803</v>
      </c>
      <c r="T231" s="322">
        <f t="shared" ref="T231:U231" si="197">T229-T230</f>
        <v>942803</v>
      </c>
      <c r="U231" s="322">
        <f t="shared" si="197"/>
        <v>942803</v>
      </c>
      <c r="V231" s="322">
        <f t="shared" si="196"/>
        <v>539987</v>
      </c>
      <c r="W231" s="731"/>
      <c r="X231" s="1"/>
    </row>
    <row r="232" spans="1:41" ht="27" customHeight="1" thickBot="1" x14ac:dyDescent="0.3">
      <c r="A232" s="323" t="s">
        <v>184</v>
      </c>
      <c r="B232" s="324"/>
      <c r="C232" s="325">
        <f t="shared" ref="C232:V232" si="198">C225+C228+C231</f>
        <v>0</v>
      </c>
      <c r="D232" s="325">
        <f t="shared" si="198"/>
        <v>0</v>
      </c>
      <c r="E232" s="325">
        <f t="shared" si="198"/>
        <v>0</v>
      </c>
      <c r="F232" s="325">
        <f t="shared" si="198"/>
        <v>0</v>
      </c>
      <c r="G232" s="325">
        <f t="shared" si="198"/>
        <v>0</v>
      </c>
      <c r="H232" s="325">
        <f t="shared" si="198"/>
        <v>0</v>
      </c>
      <c r="I232" s="325">
        <f t="shared" si="198"/>
        <v>0</v>
      </c>
      <c r="J232" s="325">
        <f t="shared" si="198"/>
        <v>0</v>
      </c>
      <c r="K232" s="325">
        <f t="shared" si="198"/>
        <v>0</v>
      </c>
      <c r="L232" s="325">
        <f t="shared" si="198"/>
        <v>0</v>
      </c>
      <c r="M232" s="325">
        <f t="shared" si="198"/>
        <v>0</v>
      </c>
      <c r="N232" s="325">
        <f t="shared" si="198"/>
        <v>0</v>
      </c>
      <c r="O232" s="325">
        <f t="shared" si="198"/>
        <v>0</v>
      </c>
      <c r="P232" s="325">
        <f t="shared" si="198"/>
        <v>0</v>
      </c>
      <c r="Q232" s="325">
        <f t="shared" si="198"/>
        <v>0</v>
      </c>
      <c r="R232" s="325">
        <f t="shared" si="198"/>
        <v>0</v>
      </c>
      <c r="S232" s="325">
        <f t="shared" si="198"/>
        <v>0</v>
      </c>
      <c r="T232" s="325">
        <f t="shared" ref="T232:U232" si="199">T225+T228+T231</f>
        <v>0</v>
      </c>
      <c r="U232" s="325">
        <f t="shared" si="199"/>
        <v>0</v>
      </c>
      <c r="V232" s="325">
        <f t="shared" si="198"/>
        <v>486503.73</v>
      </c>
      <c r="W232" s="731"/>
      <c r="X232" s="1"/>
    </row>
    <row r="233" spans="1:4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00"/>
      <c r="X233" s="1"/>
    </row>
    <row r="234" spans="1:41" x14ac:dyDescent="0.25">
      <c r="A234" s="1"/>
      <c r="B234" s="487" t="s">
        <v>267</v>
      </c>
      <c r="C234" s="488">
        <f t="shared" ref="C234:V235" si="200">C223+C226+C229</f>
        <v>6136311</v>
      </c>
      <c r="D234" s="488">
        <f t="shared" si="200"/>
        <v>6133610</v>
      </c>
      <c r="E234" s="488">
        <f t="shared" si="200"/>
        <v>6138540</v>
      </c>
      <c r="F234" s="488">
        <f t="shared" si="200"/>
        <v>6131764</v>
      </c>
      <c r="G234" s="488">
        <f t="shared" si="200"/>
        <v>6215589</v>
      </c>
      <c r="H234" s="488">
        <f t="shared" si="200"/>
        <v>6215589</v>
      </c>
      <c r="I234" s="488">
        <f t="shared" si="200"/>
        <v>6227545</v>
      </c>
      <c r="J234" s="488">
        <f t="shared" si="200"/>
        <v>6228469</v>
      </c>
      <c r="K234" s="488">
        <f t="shared" si="200"/>
        <v>6326298</v>
      </c>
      <c r="L234" s="488">
        <f t="shared" si="200"/>
        <v>6401243</v>
      </c>
      <c r="M234" s="488">
        <f t="shared" si="200"/>
        <v>6806443</v>
      </c>
      <c r="N234" s="488">
        <f t="shared" si="200"/>
        <v>6810842</v>
      </c>
      <c r="O234" s="488">
        <f t="shared" si="200"/>
        <v>6908039</v>
      </c>
      <c r="P234" s="488">
        <f t="shared" si="200"/>
        <v>6909639</v>
      </c>
      <c r="Q234" s="488">
        <f t="shared" si="200"/>
        <v>7994914</v>
      </c>
      <c r="R234" s="488">
        <f t="shared" si="200"/>
        <v>8036195</v>
      </c>
      <c r="S234" s="488">
        <f t="shared" si="200"/>
        <v>8061043</v>
      </c>
      <c r="T234" s="488">
        <f t="shared" ref="T234:U234" si="201">T223+T226+T229</f>
        <v>8061043</v>
      </c>
      <c r="U234" s="488">
        <f t="shared" si="201"/>
        <v>8091216</v>
      </c>
      <c r="V234" s="488">
        <f t="shared" si="200"/>
        <v>3460185.73</v>
      </c>
      <c r="W234" s="732"/>
      <c r="X234" s="488">
        <f t="shared" ref="X234:AG235" si="202">D234-C234</f>
        <v>-2701</v>
      </c>
      <c r="Y234" s="488">
        <f t="shared" si="202"/>
        <v>4930</v>
      </c>
      <c r="Z234" s="488">
        <f t="shared" si="202"/>
        <v>-6776</v>
      </c>
      <c r="AA234" s="488">
        <f t="shared" si="202"/>
        <v>83825</v>
      </c>
      <c r="AB234" s="488">
        <f t="shared" si="202"/>
        <v>0</v>
      </c>
      <c r="AC234" s="488">
        <f t="shared" si="202"/>
        <v>11956</v>
      </c>
      <c r="AD234" s="488">
        <f t="shared" si="202"/>
        <v>924</v>
      </c>
      <c r="AE234" s="488">
        <f t="shared" si="202"/>
        <v>97829</v>
      </c>
      <c r="AF234" s="488">
        <f t="shared" si="202"/>
        <v>74945</v>
      </c>
      <c r="AG234" s="488">
        <f t="shared" si="202"/>
        <v>405200</v>
      </c>
      <c r="AH234" s="488">
        <f t="shared" ref="AH234:AO235" si="203">N234-M234</f>
        <v>4399</v>
      </c>
      <c r="AI234" s="488">
        <f t="shared" si="203"/>
        <v>97197</v>
      </c>
      <c r="AJ234" s="488">
        <f t="shared" si="203"/>
        <v>1600</v>
      </c>
      <c r="AK234" s="488">
        <f t="shared" si="203"/>
        <v>1085275</v>
      </c>
      <c r="AL234" s="488">
        <f t="shared" si="203"/>
        <v>41281</v>
      </c>
      <c r="AM234" s="488">
        <f t="shared" si="203"/>
        <v>24848</v>
      </c>
      <c r="AN234" s="488">
        <f t="shared" si="203"/>
        <v>0</v>
      </c>
      <c r="AO234" s="488">
        <f t="shared" si="203"/>
        <v>30173</v>
      </c>
    </row>
    <row r="235" spans="1:41" x14ac:dyDescent="0.25">
      <c r="A235" s="1"/>
      <c r="B235" s="487" t="s">
        <v>268</v>
      </c>
      <c r="C235" s="488">
        <f t="shared" si="200"/>
        <v>6136311</v>
      </c>
      <c r="D235" s="488">
        <f t="shared" si="200"/>
        <v>6133610</v>
      </c>
      <c r="E235" s="488">
        <f t="shared" si="200"/>
        <v>6138540</v>
      </c>
      <c r="F235" s="488">
        <f t="shared" si="200"/>
        <v>6131764</v>
      </c>
      <c r="G235" s="488">
        <f t="shared" si="200"/>
        <v>6215589</v>
      </c>
      <c r="H235" s="488">
        <f t="shared" si="200"/>
        <v>6215589</v>
      </c>
      <c r="I235" s="488">
        <f t="shared" si="200"/>
        <v>6227545</v>
      </c>
      <c r="J235" s="488">
        <f t="shared" si="200"/>
        <v>6228469</v>
      </c>
      <c r="K235" s="488">
        <f t="shared" si="200"/>
        <v>6326298</v>
      </c>
      <c r="L235" s="488">
        <f t="shared" si="200"/>
        <v>6401243</v>
      </c>
      <c r="M235" s="488">
        <f t="shared" si="200"/>
        <v>6806443</v>
      </c>
      <c r="N235" s="488">
        <f t="shared" si="200"/>
        <v>6810842</v>
      </c>
      <c r="O235" s="488">
        <f t="shared" si="200"/>
        <v>6908039</v>
      </c>
      <c r="P235" s="488">
        <f t="shared" si="200"/>
        <v>6909639</v>
      </c>
      <c r="Q235" s="488">
        <f t="shared" si="200"/>
        <v>7994914</v>
      </c>
      <c r="R235" s="488">
        <f t="shared" si="200"/>
        <v>8036195</v>
      </c>
      <c r="S235" s="488">
        <f t="shared" si="200"/>
        <v>8061043</v>
      </c>
      <c r="T235" s="488">
        <f t="shared" ref="T235:U235" si="204">T224+T227+T230</f>
        <v>8061043</v>
      </c>
      <c r="U235" s="488">
        <f t="shared" si="204"/>
        <v>8091216</v>
      </c>
      <c r="V235" s="488">
        <f t="shared" si="200"/>
        <v>2973682</v>
      </c>
      <c r="W235" s="732"/>
      <c r="X235" s="488">
        <f t="shared" si="202"/>
        <v>-2701</v>
      </c>
      <c r="Y235" s="488">
        <f t="shared" si="202"/>
        <v>4930</v>
      </c>
      <c r="Z235" s="488">
        <f t="shared" si="202"/>
        <v>-6776</v>
      </c>
      <c r="AA235" s="488">
        <f t="shared" si="202"/>
        <v>83825</v>
      </c>
      <c r="AB235" s="488">
        <f t="shared" si="202"/>
        <v>0</v>
      </c>
      <c r="AC235" s="488">
        <f t="shared" si="202"/>
        <v>11956</v>
      </c>
      <c r="AD235" s="488">
        <f t="shared" si="202"/>
        <v>924</v>
      </c>
      <c r="AE235" s="488">
        <f t="shared" si="202"/>
        <v>97829</v>
      </c>
      <c r="AF235" s="488">
        <f t="shared" si="202"/>
        <v>74945</v>
      </c>
      <c r="AG235" s="488">
        <f t="shared" si="202"/>
        <v>405200</v>
      </c>
      <c r="AH235" s="488">
        <f t="shared" si="203"/>
        <v>4399</v>
      </c>
      <c r="AI235" s="488">
        <f t="shared" si="203"/>
        <v>97197</v>
      </c>
      <c r="AJ235" s="488">
        <f t="shared" si="203"/>
        <v>1600</v>
      </c>
      <c r="AK235" s="488">
        <f t="shared" si="203"/>
        <v>1085275</v>
      </c>
      <c r="AL235" s="488">
        <f t="shared" si="203"/>
        <v>41281</v>
      </c>
      <c r="AM235" s="488">
        <f t="shared" si="203"/>
        <v>24848</v>
      </c>
      <c r="AN235" s="488">
        <f t="shared" si="203"/>
        <v>0</v>
      </c>
      <c r="AO235" s="488">
        <f t="shared" si="203"/>
        <v>30173</v>
      </c>
    </row>
    <row r="236" spans="1:41" ht="14.25" customHeight="1" x14ac:dyDescent="0.25">
      <c r="A236" s="1"/>
      <c r="B236" s="487"/>
      <c r="C236" s="488"/>
      <c r="D236" s="488"/>
      <c r="E236" s="488"/>
      <c r="F236" s="488"/>
      <c r="G236" s="488"/>
      <c r="H236" s="488"/>
      <c r="I236" s="488"/>
      <c r="J236" s="488"/>
      <c r="K236" s="488"/>
      <c r="L236" s="488"/>
      <c r="M236" s="488"/>
      <c r="N236" s="488"/>
      <c r="O236" s="488"/>
      <c r="P236" s="488"/>
      <c r="Q236" s="488"/>
      <c r="R236" s="488"/>
      <c r="S236" s="488"/>
      <c r="T236" s="488"/>
      <c r="U236" s="488"/>
      <c r="V236" s="488"/>
      <c r="W236" s="732"/>
      <c r="X236" s="488"/>
      <c r="Y236" s="488"/>
      <c r="Z236" s="488"/>
      <c r="AA236" s="488"/>
      <c r="AB236" s="488"/>
      <c r="AC236" s="488"/>
      <c r="AD236" s="488"/>
      <c r="AE236" s="488"/>
      <c r="AF236" s="488"/>
      <c r="AG236" s="488"/>
      <c r="AH236" s="488"/>
      <c r="AI236" s="488"/>
      <c r="AJ236" s="488"/>
      <c r="AK236" s="488"/>
      <c r="AL236" s="488"/>
      <c r="AM236" s="488"/>
      <c r="AN236" s="488"/>
      <c r="AO236" s="488"/>
    </row>
    <row r="237" spans="1:41" x14ac:dyDescent="0.25">
      <c r="A237" s="1"/>
      <c r="B237" s="487" t="s">
        <v>269</v>
      </c>
      <c r="C237" s="488">
        <f t="shared" ref="C237:V237" si="205">C234-C74</f>
        <v>6117611</v>
      </c>
      <c r="D237" s="488">
        <f t="shared" si="205"/>
        <v>6114910</v>
      </c>
      <c r="E237" s="488">
        <f t="shared" si="205"/>
        <v>6119840</v>
      </c>
      <c r="F237" s="488">
        <f t="shared" si="205"/>
        <v>6113064</v>
      </c>
      <c r="G237" s="488">
        <f t="shared" si="205"/>
        <v>6196889</v>
      </c>
      <c r="H237" s="488">
        <f t="shared" si="205"/>
        <v>6196889</v>
      </c>
      <c r="I237" s="488">
        <f t="shared" si="205"/>
        <v>6208845</v>
      </c>
      <c r="J237" s="488">
        <f t="shared" si="205"/>
        <v>6209769</v>
      </c>
      <c r="K237" s="488">
        <f t="shared" si="205"/>
        <v>6307598</v>
      </c>
      <c r="L237" s="488">
        <f t="shared" si="205"/>
        <v>6382543</v>
      </c>
      <c r="M237" s="488">
        <f t="shared" si="205"/>
        <v>6787743</v>
      </c>
      <c r="N237" s="488">
        <f t="shared" si="205"/>
        <v>6792142</v>
      </c>
      <c r="O237" s="488">
        <f t="shared" si="205"/>
        <v>6889339</v>
      </c>
      <c r="P237" s="488">
        <f t="shared" si="205"/>
        <v>6890939</v>
      </c>
      <c r="Q237" s="488">
        <f t="shared" si="205"/>
        <v>7977214</v>
      </c>
      <c r="R237" s="488">
        <f t="shared" si="205"/>
        <v>8018495</v>
      </c>
      <c r="S237" s="488">
        <f t="shared" si="205"/>
        <v>8043343</v>
      </c>
      <c r="T237" s="488">
        <f t="shared" ref="T237:U237" si="206">T234-T74</f>
        <v>8043343</v>
      </c>
      <c r="U237" s="488">
        <f t="shared" si="206"/>
        <v>8073516</v>
      </c>
      <c r="V237" s="488">
        <f t="shared" si="205"/>
        <v>3444115.73</v>
      </c>
      <c r="W237" s="732"/>
      <c r="X237" s="488">
        <f t="shared" ref="X237:AG238" si="207">D237-C237</f>
        <v>-2701</v>
      </c>
      <c r="Y237" s="488">
        <f t="shared" si="207"/>
        <v>4930</v>
      </c>
      <c r="Z237" s="488">
        <f t="shared" si="207"/>
        <v>-6776</v>
      </c>
      <c r="AA237" s="488">
        <f t="shared" si="207"/>
        <v>83825</v>
      </c>
      <c r="AB237" s="488">
        <f t="shared" si="207"/>
        <v>0</v>
      </c>
      <c r="AC237" s="488">
        <f t="shared" si="207"/>
        <v>11956</v>
      </c>
      <c r="AD237" s="488">
        <f t="shared" si="207"/>
        <v>924</v>
      </c>
      <c r="AE237" s="488">
        <f t="shared" si="207"/>
        <v>97829</v>
      </c>
      <c r="AF237" s="488">
        <f t="shared" si="207"/>
        <v>74945</v>
      </c>
      <c r="AG237" s="488">
        <f t="shared" si="207"/>
        <v>405200</v>
      </c>
      <c r="AH237" s="488">
        <f t="shared" ref="AH237:AO238" si="208">N237-M237</f>
        <v>4399</v>
      </c>
      <c r="AI237" s="488">
        <f t="shared" si="208"/>
        <v>97197</v>
      </c>
      <c r="AJ237" s="488">
        <f t="shared" si="208"/>
        <v>1600</v>
      </c>
      <c r="AK237" s="488">
        <f t="shared" si="208"/>
        <v>1086275</v>
      </c>
      <c r="AL237" s="488">
        <f t="shared" si="208"/>
        <v>41281</v>
      </c>
      <c r="AM237" s="488">
        <f t="shared" si="208"/>
        <v>24848</v>
      </c>
      <c r="AN237" s="488">
        <f t="shared" si="208"/>
        <v>0</v>
      </c>
      <c r="AO237" s="488">
        <f t="shared" si="208"/>
        <v>30173</v>
      </c>
    </row>
    <row r="238" spans="1:41" x14ac:dyDescent="0.25">
      <c r="A238" s="1"/>
      <c r="B238" s="487" t="s">
        <v>270</v>
      </c>
      <c r="C238" s="488">
        <f t="shared" ref="C238:V238" si="209">C235-C143</f>
        <v>5065211</v>
      </c>
      <c r="D238" s="488">
        <f t="shared" si="209"/>
        <v>5060412</v>
      </c>
      <c r="E238" s="488">
        <f t="shared" si="209"/>
        <v>5065342</v>
      </c>
      <c r="F238" s="488">
        <f t="shared" si="209"/>
        <v>5069205</v>
      </c>
      <c r="G238" s="488">
        <f t="shared" si="209"/>
        <v>5153030</v>
      </c>
      <c r="H238" s="488">
        <f t="shared" si="209"/>
        <v>5153030</v>
      </c>
      <c r="I238" s="488">
        <f t="shared" si="209"/>
        <v>5161347</v>
      </c>
      <c r="J238" s="488">
        <f t="shared" si="209"/>
        <v>5162271</v>
      </c>
      <c r="K238" s="488">
        <f t="shared" si="209"/>
        <v>5224103</v>
      </c>
      <c r="L238" s="488">
        <f t="shared" si="209"/>
        <v>5299048</v>
      </c>
      <c r="M238" s="488">
        <f t="shared" si="209"/>
        <v>5704248</v>
      </c>
      <c r="N238" s="488">
        <f t="shared" si="209"/>
        <v>5708702</v>
      </c>
      <c r="O238" s="488">
        <f t="shared" si="209"/>
        <v>5806765</v>
      </c>
      <c r="P238" s="488">
        <f t="shared" si="209"/>
        <v>5808365</v>
      </c>
      <c r="Q238" s="488">
        <f t="shared" si="209"/>
        <v>6894640</v>
      </c>
      <c r="R238" s="488">
        <f t="shared" si="209"/>
        <v>6925342</v>
      </c>
      <c r="S238" s="488">
        <f t="shared" si="209"/>
        <v>6934520</v>
      </c>
      <c r="T238" s="488">
        <f t="shared" ref="T238:U238" si="210">T235-T143</f>
        <v>6934520</v>
      </c>
      <c r="U238" s="488">
        <f t="shared" si="210"/>
        <v>6964655</v>
      </c>
      <c r="V238" s="488">
        <f t="shared" si="209"/>
        <v>2019263</v>
      </c>
      <c r="W238" s="732"/>
      <c r="X238" s="488">
        <f t="shared" si="207"/>
        <v>-4799</v>
      </c>
      <c r="Y238" s="488">
        <f t="shared" si="207"/>
        <v>4930</v>
      </c>
      <c r="Z238" s="488">
        <f t="shared" si="207"/>
        <v>3863</v>
      </c>
      <c r="AA238" s="488">
        <f t="shared" si="207"/>
        <v>83825</v>
      </c>
      <c r="AB238" s="488">
        <f t="shared" si="207"/>
        <v>0</v>
      </c>
      <c r="AC238" s="488">
        <f t="shared" si="207"/>
        <v>8317</v>
      </c>
      <c r="AD238" s="488">
        <f t="shared" si="207"/>
        <v>924</v>
      </c>
      <c r="AE238" s="488">
        <f t="shared" si="207"/>
        <v>61832</v>
      </c>
      <c r="AF238" s="488">
        <f t="shared" si="207"/>
        <v>74945</v>
      </c>
      <c r="AG238" s="488">
        <f t="shared" si="207"/>
        <v>405200</v>
      </c>
      <c r="AH238" s="488">
        <f t="shared" si="208"/>
        <v>4454</v>
      </c>
      <c r="AI238" s="488">
        <f t="shared" si="208"/>
        <v>98063</v>
      </c>
      <c r="AJ238" s="488">
        <f t="shared" si="208"/>
        <v>1600</v>
      </c>
      <c r="AK238" s="488">
        <f t="shared" si="208"/>
        <v>1086275</v>
      </c>
      <c r="AL238" s="488">
        <f t="shared" si="208"/>
        <v>30702</v>
      </c>
      <c r="AM238" s="488">
        <f t="shared" si="208"/>
        <v>9178</v>
      </c>
      <c r="AN238" s="488">
        <f t="shared" si="208"/>
        <v>0</v>
      </c>
      <c r="AO238" s="488">
        <f t="shared" si="208"/>
        <v>30135</v>
      </c>
    </row>
    <row r="239" spans="1:41" x14ac:dyDescent="0.25">
      <c r="A239" s="1"/>
      <c r="B239" s="487"/>
      <c r="C239" s="488"/>
      <c r="D239" s="488"/>
      <c r="E239" s="488"/>
      <c r="F239" s="488"/>
      <c r="G239" s="488"/>
      <c r="H239" s="488"/>
      <c r="I239" s="488"/>
      <c r="J239" s="488"/>
      <c r="K239" s="488"/>
      <c r="L239" s="488"/>
      <c r="M239" s="488"/>
      <c r="N239" s="488"/>
      <c r="O239" s="488"/>
      <c r="P239" s="488"/>
      <c r="Q239" s="488"/>
      <c r="R239" s="488"/>
      <c r="S239" s="488"/>
      <c r="T239" s="488"/>
      <c r="U239" s="488"/>
      <c r="V239" s="488"/>
      <c r="W239" s="732"/>
      <c r="X239" s="488"/>
      <c r="Y239" s="488"/>
      <c r="Z239" s="488"/>
      <c r="AA239" s="488"/>
    </row>
    <row r="240" spans="1:41" x14ac:dyDescent="0.25">
      <c r="A240" s="1"/>
      <c r="B240" s="485" t="s">
        <v>271</v>
      </c>
      <c r="C240" s="486">
        <f t="shared" ref="C240:V241" si="211">C234-C237</f>
        <v>18700</v>
      </c>
      <c r="D240" s="486">
        <f t="shared" si="211"/>
        <v>18700</v>
      </c>
      <c r="E240" s="486">
        <f t="shared" si="211"/>
        <v>18700</v>
      </c>
      <c r="F240" s="486">
        <f t="shared" si="211"/>
        <v>18700</v>
      </c>
      <c r="G240" s="486">
        <f t="shared" si="211"/>
        <v>18700</v>
      </c>
      <c r="H240" s="486">
        <f t="shared" si="211"/>
        <v>18700</v>
      </c>
      <c r="I240" s="486">
        <f t="shared" si="211"/>
        <v>18700</v>
      </c>
      <c r="J240" s="486">
        <f t="shared" si="211"/>
        <v>18700</v>
      </c>
      <c r="K240" s="486">
        <f t="shared" si="211"/>
        <v>18700</v>
      </c>
      <c r="L240" s="486">
        <f t="shared" si="211"/>
        <v>18700</v>
      </c>
      <c r="M240" s="486">
        <f t="shared" si="211"/>
        <v>18700</v>
      </c>
      <c r="N240" s="486">
        <f t="shared" si="211"/>
        <v>18700</v>
      </c>
      <c r="O240" s="486">
        <f t="shared" si="211"/>
        <v>18700</v>
      </c>
      <c r="P240" s="486">
        <f t="shared" si="211"/>
        <v>18700</v>
      </c>
      <c r="Q240" s="486">
        <f t="shared" si="211"/>
        <v>17700</v>
      </c>
      <c r="R240" s="486">
        <f t="shared" si="211"/>
        <v>17700</v>
      </c>
      <c r="S240" s="486">
        <f t="shared" si="211"/>
        <v>17700</v>
      </c>
      <c r="T240" s="486">
        <f t="shared" ref="T240:U240" si="212">T234-T237</f>
        <v>17700</v>
      </c>
      <c r="U240" s="486">
        <f t="shared" si="212"/>
        <v>17700</v>
      </c>
      <c r="V240" s="486">
        <f t="shared" si="211"/>
        <v>16070</v>
      </c>
      <c r="W240" s="733"/>
      <c r="X240" s="488">
        <f t="shared" ref="X240:AG241" si="213">D240-C240</f>
        <v>0</v>
      </c>
      <c r="Y240" s="488">
        <f t="shared" si="213"/>
        <v>0</v>
      </c>
      <c r="Z240" s="488">
        <f t="shared" si="213"/>
        <v>0</v>
      </c>
      <c r="AA240" s="488">
        <f t="shared" si="213"/>
        <v>0</v>
      </c>
      <c r="AB240" s="488">
        <f t="shared" si="213"/>
        <v>0</v>
      </c>
      <c r="AC240" s="488">
        <f t="shared" si="213"/>
        <v>0</v>
      </c>
      <c r="AD240" s="488">
        <f t="shared" si="213"/>
        <v>0</v>
      </c>
      <c r="AE240" s="488">
        <f t="shared" si="213"/>
        <v>0</v>
      </c>
      <c r="AF240" s="488">
        <f t="shared" si="213"/>
        <v>0</v>
      </c>
      <c r="AG240" s="488">
        <f t="shared" si="213"/>
        <v>0</v>
      </c>
      <c r="AH240" s="488">
        <f t="shared" ref="AH240:AO241" si="214">N240-M240</f>
        <v>0</v>
      </c>
      <c r="AI240" s="488">
        <f t="shared" si="214"/>
        <v>0</v>
      </c>
      <c r="AJ240" s="488">
        <f t="shared" si="214"/>
        <v>0</v>
      </c>
      <c r="AK240" s="488">
        <f t="shared" si="214"/>
        <v>-1000</v>
      </c>
      <c r="AL240" s="488">
        <f t="shared" si="214"/>
        <v>0</v>
      </c>
      <c r="AM240" s="488">
        <f t="shared" si="214"/>
        <v>0</v>
      </c>
      <c r="AN240" s="488">
        <f t="shared" si="214"/>
        <v>0</v>
      </c>
      <c r="AO240" s="488">
        <f t="shared" si="214"/>
        <v>0</v>
      </c>
    </row>
    <row r="241" spans="1:41" x14ac:dyDescent="0.25">
      <c r="A241" s="100"/>
      <c r="B241" s="485" t="s">
        <v>272</v>
      </c>
      <c r="C241" s="486">
        <f t="shared" si="211"/>
        <v>1071100</v>
      </c>
      <c r="D241" s="486">
        <f t="shared" si="211"/>
        <v>1073198</v>
      </c>
      <c r="E241" s="486">
        <f t="shared" si="211"/>
        <v>1073198</v>
      </c>
      <c r="F241" s="486">
        <f t="shared" si="211"/>
        <v>1062559</v>
      </c>
      <c r="G241" s="486">
        <f t="shared" si="211"/>
        <v>1062559</v>
      </c>
      <c r="H241" s="486">
        <f t="shared" si="211"/>
        <v>1062559</v>
      </c>
      <c r="I241" s="486">
        <f t="shared" si="211"/>
        <v>1066198</v>
      </c>
      <c r="J241" s="486">
        <f t="shared" si="211"/>
        <v>1066198</v>
      </c>
      <c r="K241" s="486">
        <f t="shared" si="211"/>
        <v>1102195</v>
      </c>
      <c r="L241" s="486">
        <f t="shared" si="211"/>
        <v>1102195</v>
      </c>
      <c r="M241" s="486">
        <f t="shared" si="211"/>
        <v>1102195</v>
      </c>
      <c r="N241" s="486">
        <f t="shared" si="211"/>
        <v>1102140</v>
      </c>
      <c r="O241" s="486">
        <f t="shared" si="211"/>
        <v>1101274</v>
      </c>
      <c r="P241" s="486">
        <f t="shared" si="211"/>
        <v>1101274</v>
      </c>
      <c r="Q241" s="486">
        <f t="shared" si="211"/>
        <v>1100274</v>
      </c>
      <c r="R241" s="486">
        <f t="shared" si="211"/>
        <v>1110853</v>
      </c>
      <c r="S241" s="486">
        <f t="shared" si="211"/>
        <v>1126523</v>
      </c>
      <c r="T241" s="486">
        <f t="shared" ref="T241:U241" si="215">T235-T238</f>
        <v>1126523</v>
      </c>
      <c r="U241" s="486">
        <f t="shared" si="215"/>
        <v>1126561</v>
      </c>
      <c r="V241" s="486">
        <f t="shared" si="211"/>
        <v>954419</v>
      </c>
      <c r="W241" s="486"/>
      <c r="X241" s="488">
        <f t="shared" si="213"/>
        <v>2098</v>
      </c>
      <c r="Y241" s="488">
        <f t="shared" si="213"/>
        <v>0</v>
      </c>
      <c r="Z241" s="488">
        <f t="shared" si="213"/>
        <v>-10639</v>
      </c>
      <c r="AA241" s="488">
        <f t="shared" si="213"/>
        <v>0</v>
      </c>
      <c r="AB241" s="488">
        <f t="shared" si="213"/>
        <v>0</v>
      </c>
      <c r="AC241" s="488">
        <f t="shared" si="213"/>
        <v>3639</v>
      </c>
      <c r="AD241" s="488">
        <f t="shared" si="213"/>
        <v>0</v>
      </c>
      <c r="AE241" s="488">
        <f t="shared" si="213"/>
        <v>35997</v>
      </c>
      <c r="AF241" s="488">
        <f t="shared" si="213"/>
        <v>0</v>
      </c>
      <c r="AG241" s="488">
        <f t="shared" si="213"/>
        <v>0</v>
      </c>
      <c r="AH241" s="488">
        <f t="shared" si="214"/>
        <v>-55</v>
      </c>
      <c r="AI241" s="488">
        <f t="shared" si="214"/>
        <v>-866</v>
      </c>
      <c r="AJ241" s="488">
        <f t="shared" si="214"/>
        <v>0</v>
      </c>
      <c r="AK241" s="488">
        <f t="shared" si="214"/>
        <v>-1000</v>
      </c>
      <c r="AL241" s="488">
        <f t="shared" si="214"/>
        <v>10579</v>
      </c>
      <c r="AM241" s="488">
        <f t="shared" si="214"/>
        <v>15670</v>
      </c>
      <c r="AN241" s="488">
        <f t="shared" si="214"/>
        <v>0</v>
      </c>
      <c r="AO241" s="488">
        <f t="shared" si="214"/>
        <v>38</v>
      </c>
    </row>
    <row r="242" spans="1:41" ht="15.75" thickBot="1" x14ac:dyDescent="0.3">
      <c r="A242" s="1"/>
      <c r="B242" s="489"/>
      <c r="C242" s="486">
        <f t="shared" ref="C242:V242" si="216">C241-C240+C232</f>
        <v>1052400</v>
      </c>
      <c r="D242" s="486">
        <f t="shared" si="216"/>
        <v>1054498</v>
      </c>
      <c r="E242" s="486">
        <f t="shared" si="216"/>
        <v>1054498</v>
      </c>
      <c r="F242" s="486">
        <f t="shared" si="216"/>
        <v>1043859</v>
      </c>
      <c r="G242" s="486">
        <f t="shared" si="216"/>
        <v>1043859</v>
      </c>
      <c r="H242" s="486">
        <f t="shared" si="216"/>
        <v>1043859</v>
      </c>
      <c r="I242" s="486">
        <f t="shared" si="216"/>
        <v>1047498</v>
      </c>
      <c r="J242" s="486">
        <f t="shared" si="216"/>
        <v>1047498</v>
      </c>
      <c r="K242" s="486">
        <f t="shared" si="216"/>
        <v>1083495</v>
      </c>
      <c r="L242" s="486">
        <f t="shared" si="216"/>
        <v>1083495</v>
      </c>
      <c r="M242" s="486">
        <f t="shared" si="216"/>
        <v>1083495</v>
      </c>
      <c r="N242" s="486">
        <f t="shared" si="216"/>
        <v>1083440</v>
      </c>
      <c r="O242" s="486">
        <f t="shared" si="216"/>
        <v>1082574</v>
      </c>
      <c r="P242" s="486">
        <f t="shared" si="216"/>
        <v>1082574</v>
      </c>
      <c r="Q242" s="486">
        <f t="shared" si="216"/>
        <v>1082574</v>
      </c>
      <c r="R242" s="486">
        <f t="shared" si="216"/>
        <v>1093153</v>
      </c>
      <c r="S242" s="486">
        <f t="shared" si="216"/>
        <v>1108823</v>
      </c>
      <c r="T242" s="486">
        <f t="shared" ref="T242:U242" si="217">T241-T240+T232</f>
        <v>1108823</v>
      </c>
      <c r="U242" s="486">
        <f t="shared" si="217"/>
        <v>1108861</v>
      </c>
      <c r="V242" s="486">
        <f t="shared" si="216"/>
        <v>1424852.73</v>
      </c>
      <c r="W242" s="486"/>
      <c r="X242" s="489"/>
      <c r="Y242" s="489"/>
    </row>
    <row r="243" spans="1:41" ht="15.75" thickBot="1" x14ac:dyDescent="0.3">
      <c r="A243" s="1"/>
      <c r="B243" s="327" t="s">
        <v>185</v>
      </c>
      <c r="C243" s="469"/>
      <c r="D243" s="327"/>
      <c r="E243" s="327"/>
      <c r="F243" s="327"/>
      <c r="G243" s="327"/>
      <c r="H243" s="327"/>
      <c r="I243" s="327"/>
      <c r="J243" s="327"/>
      <c r="K243" s="327"/>
      <c r="L243" s="327"/>
      <c r="M243" s="327"/>
      <c r="N243" s="327"/>
      <c r="O243" s="327"/>
      <c r="P243" s="327"/>
      <c r="Q243" s="327"/>
      <c r="R243" s="327"/>
      <c r="S243" s="327"/>
      <c r="T243" s="327"/>
      <c r="U243" s="327"/>
      <c r="V243" s="826">
        <f>V232-V231</f>
        <v>-53483.270000000019</v>
      </c>
      <c r="W243" s="327"/>
      <c r="X243" s="1"/>
    </row>
    <row r="244" spans="1:41" x14ac:dyDescent="0.25">
      <c r="A244" s="1"/>
      <c r="B244" s="327" t="s">
        <v>295</v>
      </c>
      <c r="C244" s="523"/>
      <c r="D244" s="327"/>
      <c r="E244" s="327"/>
      <c r="F244" s="327"/>
      <c r="G244" s="327"/>
      <c r="H244" s="327"/>
      <c r="I244" s="327"/>
      <c r="J244" s="327"/>
      <c r="K244" s="327"/>
      <c r="L244" s="327"/>
      <c r="M244" s="327"/>
      <c r="N244" s="327"/>
      <c r="O244" s="327"/>
      <c r="P244" s="327"/>
      <c r="Q244" s="327"/>
      <c r="R244" s="327"/>
      <c r="S244" s="327"/>
      <c r="T244" s="327"/>
      <c r="U244" s="327"/>
      <c r="V244" s="327"/>
      <c r="W244" s="327"/>
      <c r="X244" s="1"/>
    </row>
    <row r="245" spans="1:41" x14ac:dyDescent="0.25">
      <c r="A245" s="1"/>
      <c r="B245" s="327"/>
      <c r="C245" s="327"/>
      <c r="D245" s="327"/>
      <c r="E245" s="327"/>
      <c r="F245" s="327"/>
      <c r="G245" s="327"/>
      <c r="H245" s="327"/>
      <c r="I245" s="327"/>
      <c r="J245" s="327"/>
      <c r="K245" s="327"/>
      <c r="L245" s="327"/>
      <c r="M245" s="327"/>
      <c r="N245" s="327"/>
      <c r="O245" s="327"/>
      <c r="P245" s="327"/>
      <c r="Q245" s="327"/>
      <c r="R245" s="327"/>
      <c r="S245" s="327"/>
      <c r="T245" s="327"/>
      <c r="U245" s="327"/>
      <c r="V245" s="327"/>
      <c r="W245" s="327"/>
      <c r="X245" s="1"/>
    </row>
    <row r="246" spans="1:41" x14ac:dyDescent="0.25">
      <c r="A246" s="1"/>
      <c r="B246" s="327"/>
      <c r="C246" s="327"/>
      <c r="D246" s="327"/>
      <c r="E246" s="327"/>
      <c r="F246" s="327"/>
      <c r="G246" s="327"/>
      <c r="H246" s="327"/>
      <c r="I246" s="327"/>
      <c r="J246" s="327"/>
      <c r="K246" s="327"/>
      <c r="L246" s="327"/>
      <c r="M246" s="327"/>
      <c r="N246" s="327"/>
      <c r="O246" s="327"/>
      <c r="P246" s="327"/>
      <c r="Q246" s="327"/>
      <c r="R246" s="327"/>
      <c r="S246" s="327"/>
      <c r="T246" s="327"/>
      <c r="U246" s="327"/>
      <c r="V246" s="327"/>
      <c r="W246" s="327"/>
      <c r="X246" s="1"/>
    </row>
    <row r="247" spans="1:41" x14ac:dyDescent="0.25">
      <c r="A247" s="1"/>
      <c r="C247" s="327"/>
      <c r="D247" s="327"/>
      <c r="E247" s="327"/>
      <c r="F247" s="327"/>
      <c r="G247" s="327"/>
      <c r="H247" s="327"/>
      <c r="I247" s="327"/>
      <c r="J247" s="327"/>
      <c r="K247" s="327"/>
      <c r="L247" s="327"/>
      <c r="M247" s="327"/>
      <c r="N247" s="327"/>
      <c r="O247" s="327"/>
      <c r="P247" s="327"/>
      <c r="Q247" s="327"/>
      <c r="R247" s="327"/>
      <c r="S247" s="327"/>
      <c r="T247" s="327"/>
      <c r="U247" s="327"/>
      <c r="V247" s="327"/>
      <c r="W247" s="327"/>
      <c r="X247" s="1"/>
    </row>
    <row r="248" spans="1:41" x14ac:dyDescent="0.25">
      <c r="A248" s="1"/>
      <c r="B248" s="328" t="s">
        <v>903</v>
      </c>
      <c r="C248" s="327"/>
      <c r="D248" s="327"/>
      <c r="E248" s="327"/>
      <c r="F248" s="327"/>
      <c r="G248" s="327"/>
      <c r="H248" s="327"/>
      <c r="I248" s="327"/>
      <c r="J248" s="327"/>
      <c r="K248" s="327"/>
      <c r="L248" s="327"/>
      <c r="M248" s="327"/>
      <c r="N248" s="327"/>
      <c r="O248" s="327"/>
      <c r="P248" s="327"/>
      <c r="Q248" s="327"/>
      <c r="R248" s="327"/>
      <c r="S248" s="327"/>
      <c r="T248" s="327"/>
      <c r="U248" s="327"/>
      <c r="V248" s="327"/>
      <c r="W248" s="327"/>
      <c r="X248" s="1"/>
    </row>
    <row r="249" spans="1:41" x14ac:dyDescent="0.25">
      <c r="A249" s="1"/>
      <c r="C249" s="327"/>
      <c r="D249" s="327"/>
      <c r="E249" s="327"/>
      <c r="F249" s="327"/>
      <c r="G249" s="327"/>
      <c r="H249" s="327"/>
      <c r="I249" s="327"/>
      <c r="J249" s="327"/>
      <c r="K249" s="327"/>
      <c r="L249" s="327"/>
      <c r="M249" s="327"/>
      <c r="N249" s="327"/>
      <c r="O249" s="327"/>
      <c r="P249" s="327"/>
      <c r="Q249" s="327"/>
      <c r="R249" s="327"/>
      <c r="S249" s="327"/>
      <c r="T249" s="327"/>
      <c r="U249" s="327"/>
      <c r="V249" s="327"/>
      <c r="W249" s="327"/>
      <c r="X249" s="1"/>
    </row>
    <row r="250" spans="1:41" x14ac:dyDescent="0.25">
      <c r="A250" s="1"/>
      <c r="B250" s="327" t="s">
        <v>902</v>
      </c>
      <c r="C250" s="327"/>
      <c r="D250" s="327"/>
      <c r="E250" s="327"/>
      <c r="F250" s="327"/>
      <c r="G250" s="327"/>
      <c r="H250" s="327"/>
      <c r="I250" s="327"/>
      <c r="J250" s="327"/>
      <c r="K250" s="327"/>
      <c r="L250" s="327"/>
      <c r="M250" s="327"/>
      <c r="N250" s="327"/>
      <c r="O250" s="327"/>
      <c r="P250" s="327"/>
      <c r="Q250" s="327"/>
      <c r="R250" s="327"/>
      <c r="S250" s="327"/>
      <c r="T250" s="327"/>
      <c r="U250" s="327"/>
      <c r="V250" s="327"/>
      <c r="W250" s="327"/>
      <c r="X250" s="1"/>
    </row>
    <row r="251" spans="1:41" x14ac:dyDescent="0.25">
      <c r="A251" s="1"/>
      <c r="B251" s="327" t="s">
        <v>901</v>
      </c>
      <c r="C251" s="327"/>
      <c r="D251" s="327"/>
      <c r="E251" s="327"/>
      <c r="F251" s="327"/>
      <c r="G251" s="327"/>
      <c r="H251" s="327"/>
      <c r="I251" s="327"/>
      <c r="J251" s="327"/>
      <c r="K251" s="327"/>
      <c r="L251" s="327"/>
      <c r="M251" s="327"/>
      <c r="N251" s="327"/>
      <c r="O251" s="327"/>
      <c r="P251" s="327"/>
      <c r="Q251" s="327"/>
      <c r="R251" s="327"/>
      <c r="S251" s="327"/>
      <c r="T251" s="327"/>
      <c r="U251" s="327"/>
      <c r="V251" s="327"/>
      <c r="W251" s="327"/>
      <c r="X251" s="1"/>
    </row>
    <row r="252" spans="1:41" x14ac:dyDescent="0.25">
      <c r="A252" s="1"/>
      <c r="B252" s="327"/>
      <c r="C252" s="327"/>
      <c r="D252" s="327"/>
      <c r="E252" s="327"/>
      <c r="F252" s="327"/>
      <c r="G252" s="327"/>
      <c r="H252" s="327"/>
      <c r="I252" s="327"/>
      <c r="J252" s="327"/>
      <c r="K252" s="327"/>
      <c r="L252" s="327"/>
      <c r="M252" s="327"/>
      <c r="N252" s="327"/>
      <c r="O252" s="327"/>
      <c r="P252" s="327"/>
      <c r="Q252" s="327"/>
      <c r="R252" s="327"/>
      <c r="S252" s="327"/>
      <c r="T252" s="327"/>
      <c r="U252" s="327"/>
      <c r="V252" s="327"/>
      <c r="W252" s="327"/>
      <c r="X252" s="1"/>
    </row>
    <row r="253" spans="1:41" x14ac:dyDescent="0.25">
      <c r="A253" s="1"/>
      <c r="B253" s="329" t="s">
        <v>361</v>
      </c>
      <c r="C253" s="327"/>
      <c r="D253" s="327"/>
      <c r="E253" s="327"/>
      <c r="F253" s="327"/>
      <c r="G253" s="327"/>
      <c r="H253" s="327"/>
      <c r="I253" s="327"/>
      <c r="J253" s="327"/>
      <c r="K253" s="327"/>
      <c r="L253" s="327"/>
      <c r="M253" s="327"/>
      <c r="N253" s="327"/>
      <c r="O253" s="327"/>
      <c r="P253" s="327"/>
      <c r="Q253" s="327"/>
      <c r="R253" s="327"/>
      <c r="S253" s="327"/>
      <c r="T253" s="327"/>
      <c r="U253" s="327"/>
      <c r="V253" s="327"/>
      <c r="W253" s="327"/>
      <c r="X253" s="1"/>
    </row>
    <row r="254" spans="1:41" x14ac:dyDescent="0.25">
      <c r="A254" s="1"/>
      <c r="B254" s="329" t="s">
        <v>362</v>
      </c>
      <c r="C254" s="327"/>
      <c r="D254" s="327"/>
      <c r="E254" s="327"/>
      <c r="F254" s="327"/>
      <c r="G254" s="327"/>
      <c r="H254" s="327"/>
      <c r="I254" s="327"/>
      <c r="J254" s="327"/>
      <c r="K254" s="327"/>
      <c r="L254" s="327"/>
      <c r="M254" s="327"/>
      <c r="N254" s="327"/>
      <c r="O254" s="327"/>
      <c r="P254" s="327"/>
      <c r="Q254" s="327"/>
      <c r="R254" s="327"/>
      <c r="S254" s="327"/>
      <c r="T254" s="327"/>
      <c r="U254" s="327"/>
      <c r="V254" s="327"/>
      <c r="W254" s="327"/>
      <c r="X254" s="1"/>
    </row>
    <row r="255" spans="1:41" x14ac:dyDescent="0.25">
      <c r="A255" s="1"/>
      <c r="B255" s="329"/>
      <c r="C255" s="327"/>
      <c r="D255" s="327"/>
      <c r="E255" s="327"/>
      <c r="F255" s="327"/>
      <c r="G255" s="327"/>
      <c r="H255" s="327"/>
      <c r="I255" s="327"/>
      <c r="J255" s="327"/>
      <c r="K255" s="327"/>
      <c r="L255" s="327"/>
      <c r="M255" s="327"/>
      <c r="N255" s="327"/>
      <c r="O255" s="327"/>
      <c r="P255" s="327"/>
      <c r="Q255" s="327"/>
      <c r="R255" s="327"/>
      <c r="S255" s="327"/>
      <c r="T255" s="327"/>
      <c r="U255" s="327"/>
      <c r="V255" s="327"/>
      <c r="W255" s="327"/>
      <c r="X255" s="1"/>
    </row>
    <row r="256" spans="1:41" ht="20.25" customHeight="1" x14ac:dyDescent="0.25">
      <c r="A256" s="1"/>
      <c r="B256" s="329" t="s">
        <v>532</v>
      </c>
      <c r="C256" s="327"/>
      <c r="D256" s="327"/>
      <c r="E256" s="327"/>
      <c r="F256" s="327"/>
      <c r="G256" s="327"/>
      <c r="H256" s="327"/>
      <c r="I256" s="327"/>
      <c r="J256" s="327"/>
      <c r="K256" s="327"/>
      <c r="L256" s="327"/>
      <c r="M256" s="327"/>
      <c r="N256" s="327"/>
      <c r="O256" s="327"/>
      <c r="P256" s="327"/>
      <c r="Q256" s="327"/>
      <c r="R256" s="327"/>
      <c r="S256" s="327"/>
      <c r="T256" s="327"/>
      <c r="U256" s="327"/>
      <c r="V256" s="327"/>
      <c r="W256" s="327"/>
      <c r="X256" s="1"/>
    </row>
    <row r="257" spans="1:24" ht="16.5" customHeight="1" x14ac:dyDescent="0.25">
      <c r="A257" s="1"/>
      <c r="B257" s="329" t="s">
        <v>614</v>
      </c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7.25" customHeight="1" x14ac:dyDescent="0.25">
      <c r="A258" s="1"/>
      <c r="B258" s="329" t="s">
        <v>615</v>
      </c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x14ac:dyDescent="0.25">
      <c r="A259" s="1"/>
      <c r="B259" s="329" t="s">
        <v>669</v>
      </c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6.5" customHeight="1" x14ac:dyDescent="0.25">
      <c r="A260" s="1"/>
      <c r="B260" s="329" t="s">
        <v>721</v>
      </c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6.5" customHeight="1" x14ac:dyDescent="0.25">
      <c r="B261" s="329" t="s">
        <v>851</v>
      </c>
      <c r="X261" s="1"/>
    </row>
    <row r="262" spans="1:24" ht="16.149999999999999" customHeight="1" x14ac:dyDescent="0.25">
      <c r="B262" s="329" t="s">
        <v>916</v>
      </c>
    </row>
  </sheetData>
  <mergeCells count="24">
    <mergeCell ref="A231:B231"/>
    <mergeCell ref="A143:B143"/>
    <mergeCell ref="A147:V147"/>
    <mergeCell ref="A148:B148"/>
    <mergeCell ref="A149:B149"/>
    <mergeCell ref="A169:B169"/>
    <mergeCell ref="A199:V199"/>
    <mergeCell ref="A200:B200"/>
    <mergeCell ref="A221:V221"/>
    <mergeCell ref="A222:B222"/>
    <mergeCell ref="A225:B225"/>
    <mergeCell ref="A228:B228"/>
    <mergeCell ref="A142:B142"/>
    <mergeCell ref="A1:V1"/>
    <mergeCell ref="A2:B2"/>
    <mergeCell ref="A3:B3"/>
    <mergeCell ref="A11:B11"/>
    <mergeCell ref="A71:B71"/>
    <mergeCell ref="A73:B73"/>
    <mergeCell ref="A74:B74"/>
    <mergeCell ref="A78:V78"/>
    <mergeCell ref="A79:B79"/>
    <mergeCell ref="A95:B95"/>
    <mergeCell ref="A137:B137"/>
  </mergeCells>
  <pageMargins left="0.70866141732283472" right="0.70866141732283472" top="0.74803149606299213" bottom="0.74803149606299213" header="0.31496062992125984" footer="0.31496062992125984"/>
  <pageSetup paperSize="8" scale="59" fitToHeight="0" orientation="landscape" r:id="rId1"/>
  <headerFooter>
    <oddHeader xml:space="preserve">&amp;CRozpočet obce Heľpa na rok 2025
7. zmena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CC4CB-FD99-4ECF-B793-3915C11565CE}">
  <sheetPr>
    <pageSetUpPr fitToPage="1"/>
  </sheetPr>
  <dimension ref="A1:AL257"/>
  <sheetViews>
    <sheetView zoomScale="99" zoomScaleNormal="99" workbookViewId="0">
      <selection activeCell="F30" sqref="F30"/>
    </sheetView>
  </sheetViews>
  <sheetFormatPr defaultRowHeight="15" x14ac:dyDescent="0.25"/>
  <cols>
    <col min="1" max="1" width="6.42578125" customWidth="1"/>
    <col min="2" max="2" width="56.28515625" customWidth="1"/>
    <col min="3" max="19" width="12.7109375" customWidth="1"/>
    <col min="20" max="20" width="7.42578125" customWidth="1"/>
    <col min="21" max="21" width="10.85546875" customWidth="1"/>
    <col min="22" max="22" width="10" customWidth="1"/>
    <col min="28" max="28" width="10.85546875" customWidth="1"/>
    <col min="31" max="31" width="11.28515625" customWidth="1"/>
  </cols>
  <sheetData>
    <row r="1" spans="1:29" ht="18.75" thickBot="1" x14ac:dyDescent="0.3">
      <c r="A1" s="888" t="s">
        <v>0</v>
      </c>
      <c r="B1" s="889"/>
      <c r="C1" s="889"/>
      <c r="D1" s="889"/>
      <c r="E1" s="889"/>
      <c r="F1" s="889"/>
      <c r="G1" s="889"/>
      <c r="H1" s="889"/>
      <c r="I1" s="889"/>
      <c r="J1" s="889"/>
      <c r="K1" s="889"/>
      <c r="L1" s="889"/>
      <c r="M1" s="889"/>
      <c r="N1" s="889"/>
      <c r="O1" s="889"/>
      <c r="P1" s="889"/>
      <c r="Q1" s="889"/>
      <c r="R1" s="889"/>
      <c r="S1" s="889"/>
      <c r="T1" s="725"/>
      <c r="U1" s="1"/>
    </row>
    <row r="2" spans="1:29" ht="46.5" customHeight="1" thickBot="1" x14ac:dyDescent="0.3">
      <c r="A2" s="890" t="s">
        <v>1</v>
      </c>
      <c r="B2" s="891"/>
      <c r="C2" s="387" t="s">
        <v>467</v>
      </c>
      <c r="D2" s="387" t="s">
        <v>465</v>
      </c>
      <c r="E2" s="387" t="s">
        <v>483</v>
      </c>
      <c r="F2" s="387" t="s">
        <v>500</v>
      </c>
      <c r="G2" s="387" t="s">
        <v>533</v>
      </c>
      <c r="H2" s="387" t="s">
        <v>578</v>
      </c>
      <c r="I2" s="387" t="s">
        <v>610</v>
      </c>
      <c r="J2" s="387" t="s">
        <v>579</v>
      </c>
      <c r="K2" s="387" t="s">
        <v>646</v>
      </c>
      <c r="L2" s="387" t="s">
        <v>637</v>
      </c>
      <c r="M2" s="387" t="s">
        <v>670</v>
      </c>
      <c r="N2" s="387" t="s">
        <v>680</v>
      </c>
      <c r="O2" s="387" t="s">
        <v>749</v>
      </c>
      <c r="P2" s="387" t="s">
        <v>774</v>
      </c>
      <c r="Q2" s="387" t="s">
        <v>783</v>
      </c>
      <c r="R2" s="387" t="s">
        <v>784</v>
      </c>
      <c r="S2" s="387" t="s">
        <v>853</v>
      </c>
      <c r="T2" s="727" t="s">
        <v>479</v>
      </c>
      <c r="U2" s="1"/>
    </row>
    <row r="3" spans="1:29" ht="15.75" thickBot="1" x14ac:dyDescent="0.3">
      <c r="A3" s="892" t="s">
        <v>4</v>
      </c>
      <c r="B3" s="893"/>
      <c r="C3" s="2">
        <f t="shared" ref="C3:S3" si="0">SUM(C4:C10)</f>
        <v>1338200</v>
      </c>
      <c r="D3" s="2">
        <f t="shared" si="0"/>
        <v>1338200</v>
      </c>
      <c r="E3" s="2">
        <f t="shared" si="0"/>
        <v>1338200</v>
      </c>
      <c r="F3" s="2">
        <f t="shared" si="0"/>
        <v>1338200</v>
      </c>
      <c r="G3" s="2">
        <f t="shared" si="0"/>
        <v>1338200</v>
      </c>
      <c r="H3" s="2">
        <f t="shared" si="0"/>
        <v>1338200</v>
      </c>
      <c r="I3" s="2">
        <f t="shared" si="0"/>
        <v>1338200</v>
      </c>
      <c r="J3" s="2">
        <f t="shared" si="0"/>
        <v>1338200</v>
      </c>
      <c r="K3" s="2">
        <f t="shared" si="0"/>
        <v>1338200</v>
      </c>
      <c r="L3" s="2">
        <f t="shared" si="0"/>
        <v>1338200</v>
      </c>
      <c r="M3" s="2">
        <f t="shared" ref="M3:N3" si="1">SUM(M4:M10)</f>
        <v>1338200</v>
      </c>
      <c r="N3" s="2">
        <f t="shared" si="1"/>
        <v>1338200</v>
      </c>
      <c r="O3" s="2">
        <f t="shared" ref="O3:P3" si="2">SUM(O4:O10)</f>
        <v>1338200</v>
      </c>
      <c r="P3" s="2">
        <f t="shared" si="2"/>
        <v>1336300</v>
      </c>
      <c r="Q3" s="2">
        <f t="shared" ref="Q3:R3" si="3">SUM(Q4:Q10)</f>
        <v>1336300</v>
      </c>
      <c r="R3" s="2">
        <f t="shared" si="3"/>
        <v>1336300</v>
      </c>
      <c r="S3" s="2">
        <f t="shared" si="0"/>
        <v>937807</v>
      </c>
      <c r="T3" s="728">
        <f>S3/R3</f>
        <v>0.70179375888647755</v>
      </c>
      <c r="U3" s="1"/>
    </row>
    <row r="4" spans="1:29" ht="15.75" thickBot="1" x14ac:dyDescent="0.3">
      <c r="A4" s="3">
        <v>111</v>
      </c>
      <c r="B4" s="120" t="s">
        <v>5</v>
      </c>
      <c r="C4" s="6">
        <v>1227300</v>
      </c>
      <c r="D4" s="6">
        <v>1227300</v>
      </c>
      <c r="E4" s="6">
        <v>1227300</v>
      </c>
      <c r="F4" s="6">
        <v>1227300</v>
      </c>
      <c r="G4" s="6">
        <v>1227300</v>
      </c>
      <c r="H4" s="6">
        <v>1227300</v>
      </c>
      <c r="I4" s="6">
        <v>1227300</v>
      </c>
      <c r="J4" s="6">
        <v>1227300</v>
      </c>
      <c r="K4" s="6">
        <v>1227300</v>
      </c>
      <c r="L4" s="6">
        <v>1227300</v>
      </c>
      <c r="M4" s="6">
        <v>1227300</v>
      </c>
      <c r="N4" s="6">
        <v>1227300</v>
      </c>
      <c r="O4" s="6">
        <v>1227300</v>
      </c>
      <c r="P4" s="828">
        <f>1227300-1900</f>
        <v>1225400</v>
      </c>
      <c r="Q4" s="6">
        <f t="shared" ref="Q4:R4" si="4">1227300-1900</f>
        <v>1225400</v>
      </c>
      <c r="R4" s="6">
        <f t="shared" si="4"/>
        <v>1225400</v>
      </c>
      <c r="S4" s="6">
        <v>846627</v>
      </c>
      <c r="T4" s="728">
        <f t="shared" ref="T4:T67" si="5">S4/R4</f>
        <v>0.69089848212828464</v>
      </c>
      <c r="U4" s="1"/>
    </row>
    <row r="5" spans="1:29" ht="15.75" thickBot="1" x14ac:dyDescent="0.3">
      <c r="A5" s="7">
        <v>121</v>
      </c>
      <c r="B5" s="332" t="s">
        <v>6</v>
      </c>
      <c r="C5" s="11">
        <v>61200</v>
      </c>
      <c r="D5" s="11">
        <v>61200</v>
      </c>
      <c r="E5" s="11">
        <v>61200</v>
      </c>
      <c r="F5" s="11">
        <v>61200</v>
      </c>
      <c r="G5" s="11">
        <v>61200</v>
      </c>
      <c r="H5" s="11">
        <v>61200</v>
      </c>
      <c r="I5" s="11">
        <v>61200</v>
      </c>
      <c r="J5" s="11">
        <v>61200</v>
      </c>
      <c r="K5" s="11">
        <v>61200</v>
      </c>
      <c r="L5" s="11">
        <v>61200</v>
      </c>
      <c r="M5" s="11">
        <v>61200</v>
      </c>
      <c r="N5" s="11">
        <v>61200</v>
      </c>
      <c r="O5" s="11">
        <v>61200</v>
      </c>
      <c r="P5" s="11">
        <v>61200</v>
      </c>
      <c r="Q5" s="11">
        <v>61200</v>
      </c>
      <c r="R5" s="11">
        <v>61200</v>
      </c>
      <c r="S5" s="11">
        <v>48714</v>
      </c>
      <c r="T5" s="728">
        <f t="shared" si="5"/>
        <v>0.79598039215686278</v>
      </c>
      <c r="U5" s="1"/>
    </row>
    <row r="6" spans="1:29" x14ac:dyDescent="0.25">
      <c r="A6" s="12">
        <v>133</v>
      </c>
      <c r="B6" s="333" t="s">
        <v>7</v>
      </c>
      <c r="C6" s="16">
        <v>2000</v>
      </c>
      <c r="D6" s="16">
        <v>2000</v>
      </c>
      <c r="E6" s="16">
        <v>2000</v>
      </c>
      <c r="F6" s="16">
        <v>2000</v>
      </c>
      <c r="G6" s="16">
        <v>2000</v>
      </c>
      <c r="H6" s="16">
        <v>2000</v>
      </c>
      <c r="I6" s="16">
        <v>2000</v>
      </c>
      <c r="J6" s="16">
        <v>2000</v>
      </c>
      <c r="K6" s="16">
        <v>2000</v>
      </c>
      <c r="L6" s="16">
        <v>2000</v>
      </c>
      <c r="M6" s="16">
        <v>2000</v>
      </c>
      <c r="N6" s="16">
        <v>2000</v>
      </c>
      <c r="O6" s="16">
        <v>2000</v>
      </c>
      <c r="P6" s="16">
        <v>2000</v>
      </c>
      <c r="Q6" s="16">
        <v>2000</v>
      </c>
      <c r="R6" s="16">
        <v>2000</v>
      </c>
      <c r="S6" s="16">
        <v>1784</v>
      </c>
      <c r="T6" s="728">
        <f t="shared" si="5"/>
        <v>0.89200000000000002</v>
      </c>
      <c r="U6" s="1"/>
    </row>
    <row r="7" spans="1:29" x14ac:dyDescent="0.25">
      <c r="A7" s="17">
        <v>133</v>
      </c>
      <c r="B7" s="334" t="s">
        <v>8</v>
      </c>
      <c r="C7" s="21">
        <v>200</v>
      </c>
      <c r="D7" s="21">
        <v>200</v>
      </c>
      <c r="E7" s="21">
        <v>200</v>
      </c>
      <c r="F7" s="21">
        <v>200</v>
      </c>
      <c r="G7" s="21">
        <v>200</v>
      </c>
      <c r="H7" s="21">
        <v>200</v>
      </c>
      <c r="I7" s="21">
        <v>200</v>
      </c>
      <c r="J7" s="21">
        <v>200</v>
      </c>
      <c r="K7" s="21">
        <v>200</v>
      </c>
      <c r="L7" s="21">
        <v>200</v>
      </c>
      <c r="M7" s="21">
        <v>200</v>
      </c>
      <c r="N7" s="21">
        <v>200</v>
      </c>
      <c r="O7" s="21">
        <v>200</v>
      </c>
      <c r="P7" s="21">
        <v>200</v>
      </c>
      <c r="Q7" s="21">
        <v>200</v>
      </c>
      <c r="R7" s="21">
        <v>200</v>
      </c>
      <c r="S7" s="21">
        <v>160</v>
      </c>
      <c r="T7" s="728">
        <f t="shared" si="5"/>
        <v>0.8</v>
      </c>
      <c r="U7" s="1"/>
    </row>
    <row r="8" spans="1:29" x14ac:dyDescent="0.25">
      <c r="A8" s="17">
        <v>133</v>
      </c>
      <c r="B8" s="334" t="s">
        <v>9</v>
      </c>
      <c r="C8" s="21">
        <v>6000</v>
      </c>
      <c r="D8" s="21">
        <v>6000</v>
      </c>
      <c r="E8" s="21">
        <v>6000</v>
      </c>
      <c r="F8" s="21">
        <v>6000</v>
      </c>
      <c r="G8" s="21">
        <v>6000</v>
      </c>
      <c r="H8" s="21">
        <v>6000</v>
      </c>
      <c r="I8" s="21">
        <v>6000</v>
      </c>
      <c r="J8" s="21">
        <v>6000</v>
      </c>
      <c r="K8" s="21">
        <v>6000</v>
      </c>
      <c r="L8" s="21">
        <v>6000</v>
      </c>
      <c r="M8" s="21">
        <v>6000</v>
      </c>
      <c r="N8" s="21">
        <v>6000</v>
      </c>
      <c r="O8" s="21">
        <v>6000</v>
      </c>
      <c r="P8" s="21">
        <v>6000</v>
      </c>
      <c r="Q8" s="21">
        <v>6000</v>
      </c>
      <c r="R8" s="21">
        <v>6000</v>
      </c>
      <c r="S8" s="21">
        <v>3864</v>
      </c>
      <c r="T8" s="728">
        <f t="shared" si="5"/>
        <v>0.64400000000000002</v>
      </c>
      <c r="U8" s="1"/>
    </row>
    <row r="9" spans="1:29" x14ac:dyDescent="0.25">
      <c r="A9" s="17">
        <v>133</v>
      </c>
      <c r="B9" s="334" t="s">
        <v>10</v>
      </c>
      <c r="C9" s="21">
        <v>6500</v>
      </c>
      <c r="D9" s="21">
        <v>6500</v>
      </c>
      <c r="E9" s="21">
        <v>6500</v>
      </c>
      <c r="F9" s="21">
        <v>6500</v>
      </c>
      <c r="G9" s="21">
        <v>6500</v>
      </c>
      <c r="H9" s="21">
        <v>6500</v>
      </c>
      <c r="I9" s="21">
        <v>6500</v>
      </c>
      <c r="J9" s="21">
        <v>6500</v>
      </c>
      <c r="K9" s="21">
        <v>6500</v>
      </c>
      <c r="L9" s="21">
        <v>6500</v>
      </c>
      <c r="M9" s="21">
        <v>6500</v>
      </c>
      <c r="N9" s="21">
        <v>6500</v>
      </c>
      <c r="O9" s="21">
        <v>6500</v>
      </c>
      <c r="P9" s="21">
        <v>6500</v>
      </c>
      <c r="Q9" s="21">
        <v>6500</v>
      </c>
      <c r="R9" s="21">
        <v>6500</v>
      </c>
      <c r="S9" s="21">
        <v>5513</v>
      </c>
      <c r="T9" s="728">
        <f t="shared" si="5"/>
        <v>0.84815384615384615</v>
      </c>
      <c r="U9" s="1"/>
    </row>
    <row r="10" spans="1:29" ht="15.75" thickBot="1" x14ac:dyDescent="0.3">
      <c r="A10" s="22">
        <v>133</v>
      </c>
      <c r="B10" s="335" t="s">
        <v>11</v>
      </c>
      <c r="C10" s="26">
        <v>35000</v>
      </c>
      <c r="D10" s="26">
        <v>35000</v>
      </c>
      <c r="E10" s="26">
        <v>35000</v>
      </c>
      <c r="F10" s="26">
        <v>35000</v>
      </c>
      <c r="G10" s="26">
        <v>35000</v>
      </c>
      <c r="H10" s="26">
        <v>35000</v>
      </c>
      <c r="I10" s="26">
        <v>35000</v>
      </c>
      <c r="J10" s="26">
        <v>35000</v>
      </c>
      <c r="K10" s="26">
        <v>35000</v>
      </c>
      <c r="L10" s="26">
        <v>35000</v>
      </c>
      <c r="M10" s="26">
        <v>35000</v>
      </c>
      <c r="N10" s="26">
        <v>35000</v>
      </c>
      <c r="O10" s="26">
        <v>35000</v>
      </c>
      <c r="P10" s="26">
        <v>35000</v>
      </c>
      <c r="Q10" s="26">
        <v>35000</v>
      </c>
      <c r="R10" s="26">
        <v>35000</v>
      </c>
      <c r="S10" s="26">
        <v>31145</v>
      </c>
      <c r="T10" s="728">
        <f t="shared" si="5"/>
        <v>0.8898571428571429</v>
      </c>
      <c r="U10" s="27">
        <f>SUM(R6:R10)</f>
        <v>49700</v>
      </c>
      <c r="V10" s="27">
        <f>SUM(S6:S10)</f>
        <v>42466</v>
      </c>
      <c r="W10" s="27"/>
      <c r="X10" s="27"/>
      <c r="Y10" s="27"/>
      <c r="Z10" s="27"/>
      <c r="AA10" s="27"/>
    </row>
    <row r="11" spans="1:29" ht="15.75" thickBot="1" x14ac:dyDescent="0.3">
      <c r="A11" s="892" t="s">
        <v>12</v>
      </c>
      <c r="B11" s="893"/>
      <c r="C11" s="336">
        <f t="shared" ref="C11:S11" si="6">SUM(C12:C30)</f>
        <v>247720</v>
      </c>
      <c r="D11" s="336">
        <f t="shared" si="6"/>
        <v>247720</v>
      </c>
      <c r="E11" s="336">
        <f t="shared" si="6"/>
        <v>247720</v>
      </c>
      <c r="F11" s="336">
        <f t="shared" si="6"/>
        <v>247720</v>
      </c>
      <c r="G11" s="336">
        <f t="shared" si="6"/>
        <v>247720</v>
      </c>
      <c r="H11" s="336">
        <f t="shared" si="6"/>
        <v>247720</v>
      </c>
      <c r="I11" s="336">
        <f t="shared" si="6"/>
        <v>247720</v>
      </c>
      <c r="J11" s="336">
        <f t="shared" si="6"/>
        <v>247720</v>
      </c>
      <c r="K11" s="336">
        <f t="shared" si="6"/>
        <v>247720</v>
      </c>
      <c r="L11" s="336">
        <f t="shared" si="6"/>
        <v>248725</v>
      </c>
      <c r="M11" s="336">
        <f t="shared" si="6"/>
        <v>248725</v>
      </c>
      <c r="N11" s="336">
        <f t="shared" si="6"/>
        <v>248725</v>
      </c>
      <c r="O11" s="336">
        <f t="shared" ref="O11:P11" si="7">SUM(O12:O30)</f>
        <v>248725</v>
      </c>
      <c r="P11" s="336">
        <f t="shared" si="7"/>
        <v>250625</v>
      </c>
      <c r="Q11" s="336">
        <f t="shared" ref="Q11:R11" si="8">SUM(Q12:Q30)</f>
        <v>250625</v>
      </c>
      <c r="R11" s="336">
        <f t="shared" si="8"/>
        <v>250625</v>
      </c>
      <c r="S11" s="336">
        <f t="shared" si="6"/>
        <v>138698.30000000002</v>
      </c>
      <c r="T11" s="728">
        <f t="shared" si="5"/>
        <v>0.55340967581047384</v>
      </c>
      <c r="U11" s="1"/>
    </row>
    <row r="12" spans="1:29" x14ac:dyDescent="0.25">
      <c r="A12" s="28">
        <v>212</v>
      </c>
      <c r="B12" s="29" t="s">
        <v>13</v>
      </c>
      <c r="C12" s="32">
        <v>3032</v>
      </c>
      <c r="D12" s="692">
        <f>3032-20+127</f>
        <v>3139</v>
      </c>
      <c r="E12" s="32">
        <f t="shared" ref="E12:I12" si="9">3032-20+127</f>
        <v>3139</v>
      </c>
      <c r="F12" s="32">
        <f t="shared" si="9"/>
        <v>3139</v>
      </c>
      <c r="G12" s="32">
        <f t="shared" si="9"/>
        <v>3139</v>
      </c>
      <c r="H12" s="32">
        <f t="shared" si="9"/>
        <v>3139</v>
      </c>
      <c r="I12" s="32">
        <f t="shared" si="9"/>
        <v>3139</v>
      </c>
      <c r="J12" s="692">
        <f>3032-20+127+149</f>
        <v>3288</v>
      </c>
      <c r="K12" s="32">
        <f>3032-20+127+149</f>
        <v>3288</v>
      </c>
      <c r="L12" s="32">
        <f t="shared" ref="L12:R12" si="10">3032-20+127+149</f>
        <v>3288</v>
      </c>
      <c r="M12" s="32">
        <f t="shared" si="10"/>
        <v>3288</v>
      </c>
      <c r="N12" s="32">
        <f t="shared" si="10"/>
        <v>3288</v>
      </c>
      <c r="O12" s="32">
        <f t="shared" si="10"/>
        <v>3288</v>
      </c>
      <c r="P12" s="32">
        <f t="shared" si="10"/>
        <v>3288</v>
      </c>
      <c r="Q12" s="32">
        <f t="shared" si="10"/>
        <v>3288</v>
      </c>
      <c r="R12" s="32">
        <f t="shared" si="10"/>
        <v>3288</v>
      </c>
      <c r="S12" s="32">
        <v>1960</v>
      </c>
      <c r="T12" s="728">
        <f t="shared" si="5"/>
        <v>0.59610705596107061</v>
      </c>
      <c r="U12" s="1"/>
    </row>
    <row r="13" spans="1:29" x14ac:dyDescent="0.25">
      <c r="A13" s="17">
        <v>212</v>
      </c>
      <c r="B13" s="18" t="s">
        <v>14</v>
      </c>
      <c r="C13" s="21">
        <v>1000</v>
      </c>
      <c r="D13" s="21">
        <v>1000</v>
      </c>
      <c r="E13" s="21">
        <v>1000</v>
      </c>
      <c r="F13" s="21">
        <v>1000</v>
      </c>
      <c r="G13" s="21">
        <v>1000</v>
      </c>
      <c r="H13" s="21">
        <v>1000</v>
      </c>
      <c r="I13" s="21">
        <v>1000</v>
      </c>
      <c r="J13" s="21">
        <v>1000</v>
      </c>
      <c r="K13" s="21">
        <v>1000</v>
      </c>
      <c r="L13" s="21">
        <v>1000</v>
      </c>
      <c r="M13" s="21">
        <v>1000</v>
      </c>
      <c r="N13" s="21">
        <v>1000</v>
      </c>
      <c r="O13" s="21">
        <v>1000</v>
      </c>
      <c r="P13" s="21">
        <v>1000</v>
      </c>
      <c r="Q13" s="21">
        <v>1000</v>
      </c>
      <c r="R13" s="21">
        <v>1000</v>
      </c>
      <c r="S13" s="21">
        <v>220</v>
      </c>
      <c r="T13" s="728">
        <f t="shared" si="5"/>
        <v>0.22</v>
      </c>
      <c r="U13" s="27"/>
    </row>
    <row r="14" spans="1:29" x14ac:dyDescent="0.25">
      <c r="A14" s="12">
        <v>212</v>
      </c>
      <c r="B14" s="13" t="s">
        <v>15</v>
      </c>
      <c r="C14" s="82">
        <v>3425</v>
      </c>
      <c r="D14" s="82">
        <v>3425</v>
      </c>
      <c r="E14" s="82">
        <v>3425</v>
      </c>
      <c r="F14" s="82">
        <v>3425</v>
      </c>
      <c r="G14" s="82">
        <v>3425</v>
      </c>
      <c r="H14" s="82">
        <v>3425</v>
      </c>
      <c r="I14" s="82">
        <v>3425</v>
      </c>
      <c r="J14" s="82">
        <v>3425</v>
      </c>
      <c r="K14" s="82">
        <v>3425</v>
      </c>
      <c r="L14" s="82">
        <v>3425</v>
      </c>
      <c r="M14" s="82">
        <v>3425</v>
      </c>
      <c r="N14" s="82">
        <v>3425</v>
      </c>
      <c r="O14" s="82">
        <v>3425</v>
      </c>
      <c r="P14" s="82">
        <v>3425</v>
      </c>
      <c r="Q14" s="82">
        <v>3425</v>
      </c>
      <c r="R14" s="82">
        <v>3425</v>
      </c>
      <c r="S14" s="82">
        <v>2622</v>
      </c>
      <c r="T14" s="728">
        <f t="shared" si="5"/>
        <v>0.76554744525547447</v>
      </c>
      <c r="U14" s="1"/>
    </row>
    <row r="15" spans="1:29" x14ac:dyDescent="0.25">
      <c r="A15" s="17">
        <v>212</v>
      </c>
      <c r="B15" s="18" t="s">
        <v>16</v>
      </c>
      <c r="C15" s="21">
        <v>19463</v>
      </c>
      <c r="D15" s="693">
        <f t="shared" ref="D15:I15" si="11">19463+129-236</f>
        <v>19356</v>
      </c>
      <c r="E15" s="21">
        <f t="shared" si="11"/>
        <v>19356</v>
      </c>
      <c r="F15" s="21">
        <f t="shared" si="11"/>
        <v>19356</v>
      </c>
      <c r="G15" s="21">
        <f t="shared" si="11"/>
        <v>19356</v>
      </c>
      <c r="H15" s="21">
        <f t="shared" si="11"/>
        <v>19356</v>
      </c>
      <c r="I15" s="21">
        <f t="shared" si="11"/>
        <v>19356</v>
      </c>
      <c r="J15" s="21">
        <f>19463+129-236-149</f>
        <v>19207</v>
      </c>
      <c r="K15" s="21">
        <f>19463+129-236-149</f>
        <v>19207</v>
      </c>
      <c r="L15" s="693">
        <f>19463+129-236-149+1005</f>
        <v>20212</v>
      </c>
      <c r="M15" s="21">
        <f>19463+129-236-149+1005</f>
        <v>20212</v>
      </c>
      <c r="N15" s="21">
        <f>19463+129-236-149+1005</f>
        <v>20212</v>
      </c>
      <c r="O15" s="21">
        <f>19463+129-236-149+1005</f>
        <v>20212</v>
      </c>
      <c r="P15" s="21">
        <f>19463+129-236-149+1005</f>
        <v>20212</v>
      </c>
      <c r="Q15" s="21">
        <f t="shared" ref="Q15:R15" si="12">19463+129-236-149+1005</f>
        <v>20212</v>
      </c>
      <c r="R15" s="21">
        <f t="shared" si="12"/>
        <v>20212</v>
      </c>
      <c r="S15" s="21">
        <v>13272</v>
      </c>
      <c r="T15" s="728">
        <f t="shared" si="5"/>
        <v>0.65663962002770626</v>
      </c>
      <c r="U15" s="27"/>
    </row>
    <row r="16" spans="1:29" ht="15.75" thickBot="1" x14ac:dyDescent="0.3">
      <c r="A16" s="35">
        <v>212</v>
      </c>
      <c r="B16" s="36" t="s">
        <v>17</v>
      </c>
      <c r="C16" s="39">
        <v>100</v>
      </c>
      <c r="D16" s="39">
        <v>100</v>
      </c>
      <c r="E16" s="39">
        <v>100</v>
      </c>
      <c r="F16" s="39">
        <v>100</v>
      </c>
      <c r="G16" s="39">
        <v>100</v>
      </c>
      <c r="H16" s="39">
        <v>100</v>
      </c>
      <c r="I16" s="39">
        <v>100</v>
      </c>
      <c r="J16" s="39">
        <v>100</v>
      </c>
      <c r="K16" s="39">
        <v>100</v>
      </c>
      <c r="L16" s="39">
        <v>100</v>
      </c>
      <c r="M16" s="39">
        <v>100</v>
      </c>
      <c r="N16" s="39">
        <v>100</v>
      </c>
      <c r="O16" s="39">
        <v>100</v>
      </c>
      <c r="P16" s="39">
        <v>100</v>
      </c>
      <c r="Q16" s="39">
        <v>100</v>
      </c>
      <c r="R16" s="39">
        <v>100</v>
      </c>
      <c r="S16" s="39">
        <v>0</v>
      </c>
      <c r="T16" s="728">
        <f t="shared" si="5"/>
        <v>0</v>
      </c>
      <c r="U16" s="426">
        <f>SUM(R12:R16)</f>
        <v>28025</v>
      </c>
      <c r="V16" s="426">
        <f>SUM(S12:S16)</f>
        <v>18074</v>
      </c>
      <c r="W16" s="426"/>
      <c r="X16" s="426"/>
      <c r="Y16" s="426"/>
      <c r="Z16" s="426"/>
      <c r="AA16" s="426"/>
      <c r="AB16" s="27"/>
      <c r="AC16" s="426"/>
    </row>
    <row r="17" spans="1:29" ht="15.75" thickBot="1" x14ac:dyDescent="0.3">
      <c r="A17" s="7">
        <v>221</v>
      </c>
      <c r="B17" s="8" t="s">
        <v>18</v>
      </c>
      <c r="C17" s="41">
        <v>7200</v>
      </c>
      <c r="D17" s="41">
        <v>7200</v>
      </c>
      <c r="E17" s="41">
        <v>7200</v>
      </c>
      <c r="F17" s="41">
        <v>7200</v>
      </c>
      <c r="G17" s="41">
        <v>7200</v>
      </c>
      <c r="H17" s="41">
        <v>7200</v>
      </c>
      <c r="I17" s="41">
        <v>7200</v>
      </c>
      <c r="J17" s="41">
        <v>7200</v>
      </c>
      <c r="K17" s="41">
        <v>7200</v>
      </c>
      <c r="L17" s="41">
        <v>7200</v>
      </c>
      <c r="M17" s="41">
        <v>7200</v>
      </c>
      <c r="N17" s="41">
        <v>7200</v>
      </c>
      <c r="O17" s="41">
        <v>7200</v>
      </c>
      <c r="P17" s="829">
        <f>7200+1900</f>
        <v>9100</v>
      </c>
      <c r="Q17" s="41">
        <f t="shared" ref="Q17:R17" si="13">7200+1900</f>
        <v>9100</v>
      </c>
      <c r="R17" s="41">
        <f t="shared" si="13"/>
        <v>9100</v>
      </c>
      <c r="S17" s="41">
        <v>6910</v>
      </c>
      <c r="T17" s="728">
        <f t="shared" si="5"/>
        <v>0.75934065934065931</v>
      </c>
      <c r="U17" s="1"/>
    </row>
    <row r="18" spans="1:29" ht="15.75" thickBot="1" x14ac:dyDescent="0.3">
      <c r="A18" s="35">
        <v>222</v>
      </c>
      <c r="B18" s="36" t="s">
        <v>19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728">
        <v>0</v>
      </c>
      <c r="U18" s="1"/>
    </row>
    <row r="19" spans="1:29" x14ac:dyDescent="0.25">
      <c r="A19" s="12">
        <v>223</v>
      </c>
      <c r="B19" s="13" t="s">
        <v>20</v>
      </c>
      <c r="C19" s="16">
        <v>900</v>
      </c>
      <c r="D19" s="16">
        <v>900</v>
      </c>
      <c r="E19" s="16">
        <v>900</v>
      </c>
      <c r="F19" s="16">
        <v>900</v>
      </c>
      <c r="G19" s="16">
        <v>900</v>
      </c>
      <c r="H19" s="16">
        <v>900</v>
      </c>
      <c r="I19" s="16">
        <v>900</v>
      </c>
      <c r="J19" s="16">
        <v>900</v>
      </c>
      <c r="K19" s="16">
        <v>900</v>
      </c>
      <c r="L19" s="16">
        <v>900</v>
      </c>
      <c r="M19" s="16">
        <v>900</v>
      </c>
      <c r="N19" s="16">
        <v>900</v>
      </c>
      <c r="O19" s="16">
        <v>900</v>
      </c>
      <c r="P19" s="16">
        <v>900</v>
      </c>
      <c r="Q19" s="16">
        <v>900</v>
      </c>
      <c r="R19" s="16">
        <v>900</v>
      </c>
      <c r="S19" s="16">
        <v>144</v>
      </c>
      <c r="T19" s="728">
        <f t="shared" si="5"/>
        <v>0.16</v>
      </c>
      <c r="U19" s="1"/>
    </row>
    <row r="20" spans="1:29" x14ac:dyDescent="0.25">
      <c r="A20" s="17">
        <v>223</v>
      </c>
      <c r="B20" s="18" t="s">
        <v>21</v>
      </c>
      <c r="C20" s="21">
        <v>25000</v>
      </c>
      <c r="D20" s="21">
        <v>25000</v>
      </c>
      <c r="E20" s="21">
        <v>25000</v>
      </c>
      <c r="F20" s="21">
        <v>25000</v>
      </c>
      <c r="G20" s="21">
        <v>25000</v>
      </c>
      <c r="H20" s="21">
        <v>25000</v>
      </c>
      <c r="I20" s="21">
        <v>25000</v>
      </c>
      <c r="J20" s="21">
        <v>25000</v>
      </c>
      <c r="K20" s="21">
        <v>25000</v>
      </c>
      <c r="L20" s="21">
        <v>25000</v>
      </c>
      <c r="M20" s="21">
        <v>25000</v>
      </c>
      <c r="N20" s="21">
        <v>25000</v>
      </c>
      <c r="O20" s="21">
        <v>25000</v>
      </c>
      <c r="P20" s="21">
        <v>25000</v>
      </c>
      <c r="Q20" s="21">
        <v>25000</v>
      </c>
      <c r="R20" s="21">
        <v>25000</v>
      </c>
      <c r="S20" s="21">
        <v>19228</v>
      </c>
      <c r="T20" s="728">
        <f t="shared" si="5"/>
        <v>0.76912000000000003</v>
      </c>
      <c r="U20" s="1"/>
    </row>
    <row r="21" spans="1:29" x14ac:dyDescent="0.25">
      <c r="A21" s="17">
        <v>223</v>
      </c>
      <c r="B21" s="18" t="s">
        <v>22</v>
      </c>
      <c r="C21" s="21">
        <v>100</v>
      </c>
      <c r="D21" s="21">
        <v>100</v>
      </c>
      <c r="E21" s="21">
        <v>100</v>
      </c>
      <c r="F21" s="21">
        <v>100</v>
      </c>
      <c r="G21" s="21">
        <v>100</v>
      </c>
      <c r="H21" s="21">
        <v>100</v>
      </c>
      <c r="I21" s="21">
        <v>100</v>
      </c>
      <c r="J21" s="21">
        <v>100</v>
      </c>
      <c r="K21" s="21">
        <v>100</v>
      </c>
      <c r="L21" s="21">
        <v>100</v>
      </c>
      <c r="M21" s="21">
        <v>100</v>
      </c>
      <c r="N21" s="21">
        <v>100</v>
      </c>
      <c r="O21" s="21">
        <v>100</v>
      </c>
      <c r="P21" s="21">
        <v>100</v>
      </c>
      <c r="Q21" s="21">
        <v>100</v>
      </c>
      <c r="R21" s="21">
        <v>100</v>
      </c>
      <c r="S21" s="21">
        <v>0</v>
      </c>
      <c r="T21" s="728">
        <f t="shared" si="5"/>
        <v>0</v>
      </c>
      <c r="U21" s="1"/>
    </row>
    <row r="22" spans="1:29" x14ac:dyDescent="0.25">
      <c r="A22" s="17">
        <v>223</v>
      </c>
      <c r="B22" s="18" t="s">
        <v>290</v>
      </c>
      <c r="C22" s="21">
        <v>3000</v>
      </c>
      <c r="D22" s="21">
        <v>3000</v>
      </c>
      <c r="E22" s="21">
        <v>3000</v>
      </c>
      <c r="F22" s="21">
        <v>3000</v>
      </c>
      <c r="G22" s="21">
        <v>3000</v>
      </c>
      <c r="H22" s="21">
        <v>3000</v>
      </c>
      <c r="I22" s="21">
        <v>3000</v>
      </c>
      <c r="J22" s="21">
        <v>3000</v>
      </c>
      <c r="K22" s="21">
        <v>3000</v>
      </c>
      <c r="L22" s="21">
        <v>3000</v>
      </c>
      <c r="M22" s="21">
        <v>3000</v>
      </c>
      <c r="N22" s="21">
        <v>3000</v>
      </c>
      <c r="O22" s="21">
        <v>3000</v>
      </c>
      <c r="P22" s="21">
        <v>3000</v>
      </c>
      <c r="Q22" s="21">
        <v>3000</v>
      </c>
      <c r="R22" s="21">
        <v>3000</v>
      </c>
      <c r="S22" s="21">
        <v>1659</v>
      </c>
      <c r="T22" s="728">
        <f t="shared" si="5"/>
        <v>0.55300000000000005</v>
      </c>
      <c r="U22" s="1"/>
    </row>
    <row r="23" spans="1:29" x14ac:dyDescent="0.25">
      <c r="A23" s="17">
        <v>223</v>
      </c>
      <c r="B23" s="18" t="s">
        <v>23</v>
      </c>
      <c r="C23" s="21">
        <v>2000</v>
      </c>
      <c r="D23" s="21">
        <v>2000</v>
      </c>
      <c r="E23" s="21">
        <v>2000</v>
      </c>
      <c r="F23" s="21">
        <v>2000</v>
      </c>
      <c r="G23" s="21">
        <v>2000</v>
      </c>
      <c r="H23" s="21">
        <v>2000</v>
      </c>
      <c r="I23" s="21">
        <v>2000</v>
      </c>
      <c r="J23" s="21">
        <v>2000</v>
      </c>
      <c r="K23" s="21">
        <v>2000</v>
      </c>
      <c r="L23" s="21">
        <v>2000</v>
      </c>
      <c r="M23" s="21">
        <v>2000</v>
      </c>
      <c r="N23" s="21">
        <v>2000</v>
      </c>
      <c r="O23" s="21">
        <v>2000</v>
      </c>
      <c r="P23" s="21">
        <v>2000</v>
      </c>
      <c r="Q23" s="21">
        <v>2000</v>
      </c>
      <c r="R23" s="21">
        <v>2000</v>
      </c>
      <c r="S23" s="21">
        <v>0</v>
      </c>
      <c r="T23" s="728">
        <f t="shared" si="5"/>
        <v>0</v>
      </c>
      <c r="U23" s="1"/>
    </row>
    <row r="24" spans="1:29" x14ac:dyDescent="0.25">
      <c r="A24" s="17">
        <v>223</v>
      </c>
      <c r="B24" s="18" t="s">
        <v>24</v>
      </c>
      <c r="C24" s="21">
        <v>1000</v>
      </c>
      <c r="D24" s="21">
        <v>1000</v>
      </c>
      <c r="E24" s="21">
        <v>1000</v>
      </c>
      <c r="F24" s="21">
        <v>1000</v>
      </c>
      <c r="G24" s="21">
        <v>1000</v>
      </c>
      <c r="H24" s="21">
        <v>1000</v>
      </c>
      <c r="I24" s="21">
        <v>1000</v>
      </c>
      <c r="J24" s="21">
        <v>1000</v>
      </c>
      <c r="K24" s="21">
        <v>1000</v>
      </c>
      <c r="L24" s="21">
        <v>1000</v>
      </c>
      <c r="M24" s="21">
        <v>1000</v>
      </c>
      <c r="N24" s="21">
        <v>1000</v>
      </c>
      <c r="O24" s="21">
        <v>1000</v>
      </c>
      <c r="P24" s="21">
        <v>1000</v>
      </c>
      <c r="Q24" s="21">
        <v>1000</v>
      </c>
      <c r="R24" s="21">
        <v>1000</v>
      </c>
      <c r="S24" s="21">
        <v>440</v>
      </c>
      <c r="T24" s="728">
        <f t="shared" si="5"/>
        <v>0.44</v>
      </c>
      <c r="U24" s="1"/>
    </row>
    <row r="25" spans="1:29" x14ac:dyDescent="0.25">
      <c r="A25" s="17">
        <v>223</v>
      </c>
      <c r="B25" s="18" t="s">
        <v>25</v>
      </c>
      <c r="C25" s="21">
        <v>46000</v>
      </c>
      <c r="D25" s="21">
        <v>46000</v>
      </c>
      <c r="E25" s="21">
        <v>46000</v>
      </c>
      <c r="F25" s="21">
        <v>46000</v>
      </c>
      <c r="G25" s="21">
        <v>46000</v>
      </c>
      <c r="H25" s="21">
        <v>46000</v>
      </c>
      <c r="I25" s="21">
        <v>46000</v>
      </c>
      <c r="J25" s="21">
        <v>46000</v>
      </c>
      <c r="K25" s="21">
        <v>46000</v>
      </c>
      <c r="L25" s="21">
        <v>46000</v>
      </c>
      <c r="M25" s="21">
        <v>46000</v>
      </c>
      <c r="N25" s="21">
        <v>46000</v>
      </c>
      <c r="O25" s="21">
        <v>46000</v>
      </c>
      <c r="P25" s="21">
        <v>46000</v>
      </c>
      <c r="Q25" s="21">
        <v>46000</v>
      </c>
      <c r="R25" s="21">
        <v>46000</v>
      </c>
      <c r="S25" s="21">
        <v>25974</v>
      </c>
      <c r="T25" s="728">
        <f t="shared" si="5"/>
        <v>0.56465217391304345</v>
      </c>
      <c r="U25" s="1"/>
    </row>
    <row r="26" spans="1:29" x14ac:dyDescent="0.25">
      <c r="A26" s="17">
        <v>223</v>
      </c>
      <c r="B26" s="18" t="s">
        <v>26</v>
      </c>
      <c r="C26" s="21">
        <v>61000</v>
      </c>
      <c r="D26" s="21">
        <v>61000</v>
      </c>
      <c r="E26" s="21">
        <v>61000</v>
      </c>
      <c r="F26" s="21">
        <v>61000</v>
      </c>
      <c r="G26" s="21">
        <v>61000</v>
      </c>
      <c r="H26" s="21">
        <v>61000</v>
      </c>
      <c r="I26" s="21">
        <v>61000</v>
      </c>
      <c r="J26" s="21">
        <v>61000</v>
      </c>
      <c r="K26" s="21">
        <v>61000</v>
      </c>
      <c r="L26" s="21">
        <v>61000</v>
      </c>
      <c r="M26" s="21">
        <v>61000</v>
      </c>
      <c r="N26" s="21">
        <v>61000</v>
      </c>
      <c r="O26" s="21">
        <v>61000</v>
      </c>
      <c r="P26" s="21">
        <v>61000</v>
      </c>
      <c r="Q26" s="21">
        <v>61000</v>
      </c>
      <c r="R26" s="21">
        <v>61000</v>
      </c>
      <c r="S26" s="21">
        <v>36946.1</v>
      </c>
      <c r="T26" s="728">
        <f t="shared" si="5"/>
        <v>0.60567377049180326</v>
      </c>
      <c r="U26" s="1"/>
    </row>
    <row r="27" spans="1:29" x14ac:dyDescent="0.25">
      <c r="A27" s="17">
        <v>223</v>
      </c>
      <c r="B27" s="18" t="s">
        <v>28</v>
      </c>
      <c r="C27" s="21">
        <v>2100</v>
      </c>
      <c r="D27" s="21">
        <v>2100</v>
      </c>
      <c r="E27" s="21">
        <v>2100</v>
      </c>
      <c r="F27" s="21">
        <v>2100</v>
      </c>
      <c r="G27" s="21">
        <v>2100</v>
      </c>
      <c r="H27" s="21">
        <v>2100</v>
      </c>
      <c r="I27" s="21">
        <v>2100</v>
      </c>
      <c r="J27" s="21">
        <v>2100</v>
      </c>
      <c r="K27" s="21">
        <v>2100</v>
      </c>
      <c r="L27" s="21">
        <v>2100</v>
      </c>
      <c r="M27" s="21">
        <v>2100</v>
      </c>
      <c r="N27" s="21">
        <v>2100</v>
      </c>
      <c r="O27" s="21">
        <v>2100</v>
      </c>
      <c r="P27" s="21">
        <v>2100</v>
      </c>
      <c r="Q27" s="21">
        <v>2100</v>
      </c>
      <c r="R27" s="21">
        <v>2100</v>
      </c>
      <c r="S27" s="21">
        <v>1610</v>
      </c>
      <c r="T27" s="728">
        <f t="shared" si="5"/>
        <v>0.76666666666666672</v>
      </c>
      <c r="U27" s="1"/>
    </row>
    <row r="28" spans="1:29" x14ac:dyDescent="0.25">
      <c r="A28" s="17">
        <v>223</v>
      </c>
      <c r="B28" s="18" t="s">
        <v>214</v>
      </c>
      <c r="C28" s="21">
        <v>1300</v>
      </c>
      <c r="D28" s="21">
        <v>1300</v>
      </c>
      <c r="E28" s="21">
        <v>1300</v>
      </c>
      <c r="F28" s="21">
        <v>1300</v>
      </c>
      <c r="G28" s="21">
        <v>1300</v>
      </c>
      <c r="H28" s="21">
        <v>1300</v>
      </c>
      <c r="I28" s="21">
        <v>1300</v>
      </c>
      <c r="J28" s="21">
        <v>1300</v>
      </c>
      <c r="K28" s="21">
        <v>1300</v>
      </c>
      <c r="L28" s="21">
        <v>1300</v>
      </c>
      <c r="M28" s="21">
        <v>1300</v>
      </c>
      <c r="N28" s="21">
        <v>1300</v>
      </c>
      <c r="O28" s="21">
        <v>1300</v>
      </c>
      <c r="P28" s="21">
        <v>1300</v>
      </c>
      <c r="Q28" s="21">
        <v>1300</v>
      </c>
      <c r="R28" s="21">
        <v>1300</v>
      </c>
      <c r="S28" s="21">
        <v>480</v>
      </c>
      <c r="T28" s="728">
        <f t="shared" si="5"/>
        <v>0.36923076923076925</v>
      </c>
      <c r="U28" s="1"/>
    </row>
    <row r="29" spans="1:29" x14ac:dyDescent="0.25">
      <c r="A29" s="43">
        <v>223</v>
      </c>
      <c r="B29" s="44" t="s">
        <v>29</v>
      </c>
      <c r="C29" s="46">
        <v>71000</v>
      </c>
      <c r="D29" s="46">
        <v>71000</v>
      </c>
      <c r="E29" s="46">
        <v>71000</v>
      </c>
      <c r="F29" s="46">
        <v>71000</v>
      </c>
      <c r="G29" s="46">
        <v>71000</v>
      </c>
      <c r="H29" s="46">
        <v>71000</v>
      </c>
      <c r="I29" s="46">
        <v>71000</v>
      </c>
      <c r="J29" s="46">
        <v>71000</v>
      </c>
      <c r="K29" s="46">
        <v>71000</v>
      </c>
      <c r="L29" s="46">
        <v>71000</v>
      </c>
      <c r="M29" s="46">
        <v>71000</v>
      </c>
      <c r="N29" s="46">
        <v>71000</v>
      </c>
      <c r="O29" s="46">
        <v>71000</v>
      </c>
      <c r="P29" s="46">
        <v>71000</v>
      </c>
      <c r="Q29" s="46">
        <v>71000</v>
      </c>
      <c r="R29" s="46">
        <v>71000</v>
      </c>
      <c r="S29" s="46">
        <v>27233.200000000001</v>
      </c>
      <c r="T29" s="728">
        <f t="shared" si="5"/>
        <v>0.38356619718309859</v>
      </c>
      <c r="U29" s="27"/>
    </row>
    <row r="30" spans="1:29" ht="15.75" thickBot="1" x14ac:dyDescent="0.3">
      <c r="A30" s="22">
        <v>223</v>
      </c>
      <c r="B30" s="23" t="s">
        <v>30</v>
      </c>
      <c r="C30" s="79">
        <v>100</v>
      </c>
      <c r="D30" s="79">
        <v>100</v>
      </c>
      <c r="E30" s="79">
        <v>100</v>
      </c>
      <c r="F30" s="79">
        <v>100</v>
      </c>
      <c r="G30" s="79">
        <v>100</v>
      </c>
      <c r="H30" s="79">
        <v>100</v>
      </c>
      <c r="I30" s="79">
        <v>100</v>
      </c>
      <c r="J30" s="79">
        <v>100</v>
      </c>
      <c r="K30" s="79">
        <v>100</v>
      </c>
      <c r="L30" s="79">
        <v>100</v>
      </c>
      <c r="M30" s="79">
        <v>100</v>
      </c>
      <c r="N30" s="79">
        <v>100</v>
      </c>
      <c r="O30" s="79">
        <v>100</v>
      </c>
      <c r="P30" s="79">
        <v>100</v>
      </c>
      <c r="Q30" s="79">
        <v>100</v>
      </c>
      <c r="R30" s="79">
        <v>100</v>
      </c>
      <c r="S30" s="48">
        <v>0</v>
      </c>
      <c r="T30" s="728">
        <f t="shared" si="5"/>
        <v>0</v>
      </c>
      <c r="U30" s="27">
        <f>SUM(R19:R30)</f>
        <v>213500</v>
      </c>
      <c r="V30" s="27">
        <f>SUM(S19:S30)</f>
        <v>113714.3</v>
      </c>
      <c r="W30" s="27"/>
      <c r="X30" s="27"/>
      <c r="Y30" s="27"/>
      <c r="Z30" s="27"/>
      <c r="AA30" s="27"/>
      <c r="AB30" s="426"/>
      <c r="AC30" s="426"/>
    </row>
    <row r="31" spans="1:29" ht="15.75" thickBot="1" x14ac:dyDescent="0.3">
      <c r="A31" s="822" t="s">
        <v>31</v>
      </c>
      <c r="B31" s="823"/>
      <c r="C31" s="2">
        <f t="shared" ref="C31:R31" si="14">SUM(C32)</f>
        <v>50</v>
      </c>
      <c r="D31" s="2">
        <f t="shared" si="14"/>
        <v>50</v>
      </c>
      <c r="E31" s="2">
        <f t="shared" si="14"/>
        <v>50</v>
      </c>
      <c r="F31" s="2">
        <f t="shared" si="14"/>
        <v>50</v>
      </c>
      <c r="G31" s="2">
        <f t="shared" si="14"/>
        <v>50</v>
      </c>
      <c r="H31" s="2">
        <f t="shared" si="14"/>
        <v>50</v>
      </c>
      <c r="I31" s="2">
        <f t="shared" si="14"/>
        <v>50</v>
      </c>
      <c r="J31" s="2">
        <f t="shared" si="14"/>
        <v>50</v>
      </c>
      <c r="K31" s="2">
        <f t="shared" si="14"/>
        <v>50</v>
      </c>
      <c r="L31" s="2">
        <f t="shared" si="14"/>
        <v>50</v>
      </c>
      <c r="M31" s="2">
        <f t="shared" si="14"/>
        <v>50</v>
      </c>
      <c r="N31" s="2">
        <f t="shared" si="14"/>
        <v>50</v>
      </c>
      <c r="O31" s="2">
        <f t="shared" si="14"/>
        <v>50</v>
      </c>
      <c r="P31" s="2">
        <f t="shared" si="14"/>
        <v>50</v>
      </c>
      <c r="Q31" s="2">
        <f t="shared" si="14"/>
        <v>50</v>
      </c>
      <c r="R31" s="2">
        <f t="shared" si="14"/>
        <v>50</v>
      </c>
      <c r="S31" s="2">
        <v>20</v>
      </c>
      <c r="T31" s="728">
        <f t="shared" si="5"/>
        <v>0.4</v>
      </c>
      <c r="U31" s="27">
        <f>SUM(O17:O30)</f>
        <v>220700</v>
      </c>
      <c r="V31" s="27">
        <f>SUM(S17:S30)</f>
        <v>120624.3</v>
      </c>
    </row>
    <row r="32" spans="1:29" ht="15.75" thickBot="1" x14ac:dyDescent="0.3">
      <c r="A32" s="51">
        <v>240</v>
      </c>
      <c r="B32" s="47" t="s">
        <v>32</v>
      </c>
      <c r="C32" s="38">
        <v>50</v>
      </c>
      <c r="D32" s="38">
        <v>50</v>
      </c>
      <c r="E32" s="38">
        <v>50</v>
      </c>
      <c r="F32" s="38">
        <v>50</v>
      </c>
      <c r="G32" s="38">
        <v>50</v>
      </c>
      <c r="H32" s="38">
        <v>50</v>
      </c>
      <c r="I32" s="38">
        <v>50</v>
      </c>
      <c r="J32" s="38">
        <v>50</v>
      </c>
      <c r="K32" s="38">
        <v>50</v>
      </c>
      <c r="L32" s="38">
        <v>50</v>
      </c>
      <c r="M32" s="38">
        <v>50</v>
      </c>
      <c r="N32" s="38">
        <v>50</v>
      </c>
      <c r="O32" s="38">
        <v>50</v>
      </c>
      <c r="P32" s="38">
        <v>50</v>
      </c>
      <c r="Q32" s="38">
        <v>50</v>
      </c>
      <c r="R32" s="38">
        <v>50</v>
      </c>
      <c r="S32" s="38">
        <v>21</v>
      </c>
      <c r="T32" s="728">
        <f t="shared" si="5"/>
        <v>0.42</v>
      </c>
      <c r="U32" s="1"/>
    </row>
    <row r="33" spans="1:27" ht="15.75" thickBot="1" x14ac:dyDescent="0.3">
      <c r="A33" s="822" t="s">
        <v>33</v>
      </c>
      <c r="B33" s="823"/>
      <c r="C33" s="336">
        <f t="shared" ref="C33:S33" si="15">SUM(C34:C38)</f>
        <v>60240</v>
      </c>
      <c r="D33" s="336">
        <f t="shared" si="15"/>
        <v>60255</v>
      </c>
      <c r="E33" s="336">
        <f t="shared" si="15"/>
        <v>64505</v>
      </c>
      <c r="F33" s="336">
        <f t="shared" si="15"/>
        <v>64505</v>
      </c>
      <c r="G33" s="336">
        <f t="shared" si="15"/>
        <v>64505</v>
      </c>
      <c r="H33" s="336">
        <f t="shared" si="15"/>
        <v>64505</v>
      </c>
      <c r="I33" s="336">
        <f t="shared" si="15"/>
        <v>64505</v>
      </c>
      <c r="J33" s="336">
        <f t="shared" si="15"/>
        <v>65429</v>
      </c>
      <c r="K33" s="336">
        <f t="shared" si="15"/>
        <v>65429</v>
      </c>
      <c r="L33" s="336">
        <f t="shared" si="15"/>
        <v>65969</v>
      </c>
      <c r="M33" s="336">
        <f t="shared" si="15"/>
        <v>65969</v>
      </c>
      <c r="N33" s="336">
        <f t="shared" si="15"/>
        <v>65969</v>
      </c>
      <c r="O33" s="336">
        <f t="shared" ref="O33:P33" si="16">SUM(O34:O38)</f>
        <v>65969</v>
      </c>
      <c r="P33" s="336">
        <f t="shared" si="16"/>
        <v>65969</v>
      </c>
      <c r="Q33" s="336">
        <f t="shared" ref="Q33:R33" si="17">SUM(Q34:Q38)</f>
        <v>65969</v>
      </c>
      <c r="R33" s="336">
        <f t="shared" si="17"/>
        <v>65969</v>
      </c>
      <c r="S33" s="336">
        <f t="shared" si="15"/>
        <v>38992</v>
      </c>
      <c r="T33" s="728">
        <f t="shared" si="5"/>
        <v>0.59106550046233841</v>
      </c>
      <c r="U33" s="1"/>
    </row>
    <row r="34" spans="1:27" x14ac:dyDescent="0.25">
      <c r="A34" s="57">
        <v>292</v>
      </c>
      <c r="B34" s="58" t="s">
        <v>36</v>
      </c>
      <c r="C34" s="61">
        <v>10000</v>
      </c>
      <c r="D34" s="695">
        <f t="shared" ref="D34:R34" si="18">10000+4250</f>
        <v>14250</v>
      </c>
      <c r="E34" s="61">
        <f>10000+4250</f>
        <v>14250</v>
      </c>
      <c r="F34" s="61">
        <f t="shared" si="18"/>
        <v>14250</v>
      </c>
      <c r="G34" s="61">
        <f t="shared" si="18"/>
        <v>14250</v>
      </c>
      <c r="H34" s="61">
        <f t="shared" si="18"/>
        <v>14250</v>
      </c>
      <c r="I34" s="61">
        <f t="shared" si="18"/>
        <v>14250</v>
      </c>
      <c r="J34" s="61">
        <f t="shared" si="18"/>
        <v>14250</v>
      </c>
      <c r="K34" s="61">
        <f t="shared" si="18"/>
        <v>14250</v>
      </c>
      <c r="L34" s="61">
        <f t="shared" si="18"/>
        <v>14250</v>
      </c>
      <c r="M34" s="61">
        <f t="shared" si="18"/>
        <v>14250</v>
      </c>
      <c r="N34" s="61">
        <f t="shared" si="18"/>
        <v>14250</v>
      </c>
      <c r="O34" s="61">
        <f t="shared" si="18"/>
        <v>14250</v>
      </c>
      <c r="P34" s="61">
        <f t="shared" si="18"/>
        <v>14250</v>
      </c>
      <c r="Q34" s="61">
        <f t="shared" si="18"/>
        <v>14250</v>
      </c>
      <c r="R34" s="61">
        <f t="shared" si="18"/>
        <v>14250</v>
      </c>
      <c r="S34" s="61">
        <v>14231</v>
      </c>
      <c r="T34" s="728">
        <f t="shared" si="5"/>
        <v>0.9986666666666667</v>
      </c>
      <c r="U34" s="1"/>
    </row>
    <row r="35" spans="1:27" x14ac:dyDescent="0.25">
      <c r="A35" s="57">
        <v>292</v>
      </c>
      <c r="B35" s="58" t="s">
        <v>37</v>
      </c>
      <c r="C35" s="60">
        <v>500</v>
      </c>
      <c r="D35" s="60">
        <v>500</v>
      </c>
      <c r="E35" s="60">
        <v>500</v>
      </c>
      <c r="F35" s="60">
        <v>500</v>
      </c>
      <c r="G35" s="60">
        <v>500</v>
      </c>
      <c r="H35" s="60">
        <v>500</v>
      </c>
      <c r="I35" s="60">
        <v>500</v>
      </c>
      <c r="J35" s="60">
        <v>500</v>
      </c>
      <c r="K35" s="60">
        <v>500</v>
      </c>
      <c r="L35" s="60">
        <v>500</v>
      </c>
      <c r="M35" s="60">
        <v>500</v>
      </c>
      <c r="N35" s="60">
        <v>500</v>
      </c>
      <c r="O35" s="60">
        <v>500</v>
      </c>
      <c r="P35" s="60">
        <v>500</v>
      </c>
      <c r="Q35" s="60">
        <v>500</v>
      </c>
      <c r="R35" s="60">
        <v>500</v>
      </c>
      <c r="S35" s="60">
        <v>197</v>
      </c>
      <c r="T35" s="728">
        <f t="shared" si="5"/>
        <v>0.39400000000000002</v>
      </c>
      <c r="U35" s="1"/>
    </row>
    <row r="36" spans="1:27" x14ac:dyDescent="0.25">
      <c r="A36" s="57">
        <v>292</v>
      </c>
      <c r="B36" s="18" t="s">
        <v>38</v>
      </c>
      <c r="C36" s="64">
        <v>380</v>
      </c>
      <c r="D36" s="689">
        <f t="shared" ref="D36:R36" si="19">380+15</f>
        <v>395</v>
      </c>
      <c r="E36" s="64">
        <f t="shared" si="19"/>
        <v>395</v>
      </c>
      <c r="F36" s="64">
        <f t="shared" si="19"/>
        <v>395</v>
      </c>
      <c r="G36" s="64">
        <f t="shared" si="19"/>
        <v>395</v>
      </c>
      <c r="H36" s="64">
        <f t="shared" si="19"/>
        <v>395</v>
      </c>
      <c r="I36" s="64">
        <f t="shared" si="19"/>
        <v>395</v>
      </c>
      <c r="J36" s="64">
        <f t="shared" si="19"/>
        <v>395</v>
      </c>
      <c r="K36" s="64">
        <f t="shared" si="19"/>
        <v>395</v>
      </c>
      <c r="L36" s="64">
        <f t="shared" si="19"/>
        <v>395</v>
      </c>
      <c r="M36" s="64">
        <f t="shared" si="19"/>
        <v>395</v>
      </c>
      <c r="N36" s="64">
        <f t="shared" si="19"/>
        <v>395</v>
      </c>
      <c r="O36" s="64">
        <f t="shared" si="19"/>
        <v>395</v>
      </c>
      <c r="P36" s="64">
        <f t="shared" si="19"/>
        <v>395</v>
      </c>
      <c r="Q36" s="64">
        <f t="shared" si="19"/>
        <v>395</v>
      </c>
      <c r="R36" s="64">
        <f t="shared" si="19"/>
        <v>395</v>
      </c>
      <c r="S36" s="64">
        <v>0</v>
      </c>
      <c r="T36" s="728">
        <f t="shared" si="5"/>
        <v>0</v>
      </c>
      <c r="U36" s="1"/>
    </row>
    <row r="37" spans="1:27" x14ac:dyDescent="0.25">
      <c r="A37" s="57">
        <v>292</v>
      </c>
      <c r="B37" s="58" t="s">
        <v>188</v>
      </c>
      <c r="C37" s="60">
        <f>49730-C36</f>
        <v>49350</v>
      </c>
      <c r="D37" s="694">
        <f>49730+15-4250-D36</f>
        <v>45100</v>
      </c>
      <c r="E37" s="694">
        <f t="shared" ref="E37:H37" si="20">49730+15-4250-E36+4250</f>
        <v>49350</v>
      </c>
      <c r="F37" s="60">
        <f t="shared" si="20"/>
        <v>49350</v>
      </c>
      <c r="G37" s="60">
        <f t="shared" si="20"/>
        <v>49350</v>
      </c>
      <c r="H37" s="60">
        <f t="shared" si="20"/>
        <v>49350</v>
      </c>
      <c r="I37" s="694">
        <f>49730+15-4250-I36+4250-924</f>
        <v>48426</v>
      </c>
      <c r="J37" s="60">
        <f>49730+15-4250-J36+4250-924</f>
        <v>48426</v>
      </c>
      <c r="K37" s="60">
        <f>49730+15-4250-K36+4250-924</f>
        <v>48426</v>
      </c>
      <c r="L37" s="694">
        <f>49730+15-4250-L36+4250-924+540</f>
        <v>48966</v>
      </c>
      <c r="M37" s="60">
        <f>49730+15-4250-M36+4250-924+540</f>
        <v>48966</v>
      </c>
      <c r="N37" s="694">
        <f>49730+15-4250-N36+4250-924+540+924</f>
        <v>49890</v>
      </c>
      <c r="O37" s="60">
        <f>49730+15-4250-O36+4250-924+540+924</f>
        <v>49890</v>
      </c>
      <c r="P37" s="60">
        <f>49730+15-4250-P36+4250-924+540+924</f>
        <v>49890</v>
      </c>
      <c r="Q37" s="60">
        <f t="shared" ref="Q37:R37" si="21">49730+15-4250-Q36+4250-924+540+924</f>
        <v>49890</v>
      </c>
      <c r="R37" s="60">
        <f t="shared" si="21"/>
        <v>49890</v>
      </c>
      <c r="S37" s="60">
        <v>23789</v>
      </c>
      <c r="T37" s="728">
        <f t="shared" si="5"/>
        <v>0.47682902385247544</v>
      </c>
      <c r="U37" s="27">
        <f>SUM(R36:R37)</f>
        <v>50285</v>
      </c>
      <c r="V37" s="27">
        <f>SUM(S36:S37)</f>
        <v>23789</v>
      </c>
      <c r="W37" s="27"/>
      <c r="X37" s="27"/>
      <c r="Y37" s="27"/>
      <c r="Z37" s="27"/>
      <c r="AA37" s="27"/>
    </row>
    <row r="38" spans="1:27" ht="15.75" thickBot="1" x14ac:dyDescent="0.3">
      <c r="A38" s="57">
        <v>292</v>
      </c>
      <c r="B38" s="58" t="s">
        <v>260</v>
      </c>
      <c r="C38" s="60">
        <v>10</v>
      </c>
      <c r="D38" s="60">
        <v>10</v>
      </c>
      <c r="E38" s="60">
        <v>10</v>
      </c>
      <c r="F38" s="60">
        <v>10</v>
      </c>
      <c r="G38" s="60">
        <v>10</v>
      </c>
      <c r="H38" s="60">
        <v>10</v>
      </c>
      <c r="I38" s="694">
        <f t="shared" ref="I38" si="22">10+924</f>
        <v>934</v>
      </c>
      <c r="J38" s="694">
        <f>10+924+924</f>
        <v>1858</v>
      </c>
      <c r="K38" s="60">
        <f t="shared" ref="K38:M38" si="23">10+924+924</f>
        <v>1858</v>
      </c>
      <c r="L38" s="60">
        <f t="shared" si="23"/>
        <v>1858</v>
      </c>
      <c r="M38" s="60">
        <f t="shared" si="23"/>
        <v>1858</v>
      </c>
      <c r="N38" s="694">
        <f>10+924+924-924</f>
        <v>934</v>
      </c>
      <c r="O38" s="60">
        <f>10+924+924-924</f>
        <v>934</v>
      </c>
      <c r="P38" s="60">
        <f>10+924+924-924</f>
        <v>934</v>
      </c>
      <c r="Q38" s="60">
        <f t="shared" ref="Q38:R38" si="24">10+924+924-924</f>
        <v>934</v>
      </c>
      <c r="R38" s="60">
        <f t="shared" si="24"/>
        <v>934</v>
      </c>
      <c r="S38" s="60">
        <v>775</v>
      </c>
      <c r="T38" s="728">
        <f t="shared" si="5"/>
        <v>0.82976445396145615</v>
      </c>
      <c r="U38" s="1"/>
      <c r="V38" s="426">
        <f>V16+S17+S18+V30+S32+S33+0</f>
        <v>177711.3</v>
      </c>
    </row>
    <row r="39" spans="1:27" ht="15.75" thickBot="1" x14ac:dyDescent="0.3">
      <c r="A39" s="65" t="s">
        <v>39</v>
      </c>
      <c r="B39" s="340"/>
      <c r="C39" s="336">
        <f t="shared" ref="C39:S39" si="25">SUM(C40:C64)</f>
        <v>1306665</v>
      </c>
      <c r="D39" s="336">
        <f t="shared" si="25"/>
        <v>1306322</v>
      </c>
      <c r="E39" s="336">
        <f t="shared" si="25"/>
        <v>1319182</v>
      </c>
      <c r="F39" s="336">
        <f t="shared" si="25"/>
        <v>1312406</v>
      </c>
      <c r="G39" s="336">
        <f t="shared" si="25"/>
        <v>1312406</v>
      </c>
      <c r="H39" s="336">
        <f t="shared" si="25"/>
        <v>1312406</v>
      </c>
      <c r="I39" s="336">
        <f t="shared" si="25"/>
        <v>1324362</v>
      </c>
      <c r="J39" s="336">
        <f t="shared" si="25"/>
        <v>1324362</v>
      </c>
      <c r="K39" s="336">
        <f t="shared" si="25"/>
        <v>1422191</v>
      </c>
      <c r="L39" s="336">
        <f t="shared" si="25"/>
        <v>1422191</v>
      </c>
      <c r="M39" s="336">
        <f t="shared" si="25"/>
        <v>1422191</v>
      </c>
      <c r="N39" s="336">
        <f t="shared" si="25"/>
        <v>1426590</v>
      </c>
      <c r="O39" s="336">
        <f t="shared" ref="O39:P39" si="26">SUM(O40:O64)</f>
        <v>1428787</v>
      </c>
      <c r="P39" s="336">
        <f t="shared" si="26"/>
        <v>1430387</v>
      </c>
      <c r="Q39" s="336">
        <f t="shared" ref="Q39:R39" si="27">SUM(Q40:Q64)</f>
        <v>1430387</v>
      </c>
      <c r="R39" s="336">
        <f t="shared" si="27"/>
        <v>1471668</v>
      </c>
      <c r="S39" s="336">
        <f t="shared" si="25"/>
        <v>1159440</v>
      </c>
      <c r="T39" s="728">
        <f t="shared" si="5"/>
        <v>0.78784073581813285</v>
      </c>
      <c r="U39" s="1"/>
    </row>
    <row r="40" spans="1:27" ht="15.75" thickBot="1" x14ac:dyDescent="0.3">
      <c r="A40" s="787">
        <v>311</v>
      </c>
      <c r="B40" s="788" t="s">
        <v>40</v>
      </c>
      <c r="C40" s="789">
        <v>0</v>
      </c>
      <c r="D40" s="789">
        <v>0</v>
      </c>
      <c r="E40" s="789">
        <v>0</v>
      </c>
      <c r="F40" s="789">
        <v>0</v>
      </c>
      <c r="G40" s="789">
        <v>0</v>
      </c>
      <c r="H40" s="789">
        <v>0</v>
      </c>
      <c r="I40" s="789">
        <v>0</v>
      </c>
      <c r="J40" s="789">
        <v>0</v>
      </c>
      <c r="K40" s="789">
        <v>0</v>
      </c>
      <c r="L40" s="789">
        <v>0</v>
      </c>
      <c r="M40" s="789">
        <v>0</v>
      </c>
      <c r="N40" s="814">
        <v>3000</v>
      </c>
      <c r="O40" s="789">
        <v>3000</v>
      </c>
      <c r="P40" s="789">
        <v>3000</v>
      </c>
      <c r="Q40" s="789">
        <v>3000</v>
      </c>
      <c r="R40" s="789">
        <v>3000</v>
      </c>
      <c r="S40" s="789">
        <v>3000</v>
      </c>
      <c r="T40" s="728">
        <f t="shared" si="5"/>
        <v>1</v>
      </c>
      <c r="U40" s="1"/>
    </row>
    <row r="41" spans="1:27" x14ac:dyDescent="0.25">
      <c r="A41" s="817">
        <v>312</v>
      </c>
      <c r="B41" s="818" t="s">
        <v>660</v>
      </c>
      <c r="C41" s="819">
        <v>0</v>
      </c>
      <c r="D41" s="819">
        <v>0</v>
      </c>
      <c r="E41" s="819">
        <v>0</v>
      </c>
      <c r="F41" s="819">
        <v>0</v>
      </c>
      <c r="G41" s="819">
        <v>0</v>
      </c>
      <c r="H41" s="819">
        <v>0</v>
      </c>
      <c r="I41" s="819">
        <v>0</v>
      </c>
      <c r="J41" s="819">
        <v>0</v>
      </c>
      <c r="K41" s="820">
        <f>63800</f>
        <v>63800</v>
      </c>
      <c r="L41" s="819">
        <f>63800</f>
        <v>63800</v>
      </c>
      <c r="M41" s="819">
        <f>63800</f>
        <v>63800</v>
      </c>
      <c r="N41" s="820">
        <f>63800+4</f>
        <v>63804</v>
      </c>
      <c r="O41" s="819">
        <f>63800+4</f>
        <v>63804</v>
      </c>
      <c r="P41" s="819">
        <f>63800+4</f>
        <v>63804</v>
      </c>
      <c r="Q41" s="819">
        <f t="shared" ref="Q41" si="28">63800+4</f>
        <v>63804</v>
      </c>
      <c r="R41" s="820">
        <f>63800+4-2597</f>
        <v>61207</v>
      </c>
      <c r="S41" s="819">
        <v>61200</v>
      </c>
      <c r="T41" s="728">
        <f t="shared" si="5"/>
        <v>0.99988563399611152</v>
      </c>
      <c r="U41" s="1"/>
    </row>
    <row r="42" spans="1:27" x14ac:dyDescent="0.25">
      <c r="A42" s="69">
        <v>312</v>
      </c>
      <c r="B42" s="333" t="s">
        <v>823</v>
      </c>
      <c r="C42" s="70">
        <v>69225</v>
      </c>
      <c r="D42" s="70">
        <v>69225</v>
      </c>
      <c r="E42" s="70">
        <v>69225</v>
      </c>
      <c r="F42" s="70">
        <v>69225</v>
      </c>
      <c r="G42" s="70">
        <v>69225</v>
      </c>
      <c r="H42" s="70">
        <v>69225</v>
      </c>
      <c r="I42" s="70">
        <v>69225</v>
      </c>
      <c r="J42" s="70">
        <v>69225</v>
      </c>
      <c r="K42" s="70">
        <v>69225</v>
      </c>
      <c r="L42" s="70">
        <v>69225</v>
      </c>
      <c r="M42" s="70">
        <v>69225</v>
      </c>
      <c r="N42" s="70">
        <v>69225</v>
      </c>
      <c r="O42" s="70">
        <v>69225</v>
      </c>
      <c r="P42" s="70">
        <v>69225</v>
      </c>
      <c r="Q42" s="70">
        <v>69225</v>
      </c>
      <c r="R42" s="847">
        <f>69225+30025</f>
        <v>99250</v>
      </c>
      <c r="S42" s="70">
        <v>99246</v>
      </c>
      <c r="T42" s="728">
        <f t="shared" si="5"/>
        <v>0.99995969773299753</v>
      </c>
      <c r="U42" s="1"/>
    </row>
    <row r="43" spans="1:27" x14ac:dyDescent="0.25">
      <c r="A43" s="71">
        <v>312</v>
      </c>
      <c r="B43" s="334" t="s">
        <v>193</v>
      </c>
      <c r="C43" s="16">
        <f t="shared" ref="C43:R43" si="29">62400+500</f>
        <v>62900</v>
      </c>
      <c r="D43" s="16">
        <f t="shared" si="29"/>
        <v>62900</v>
      </c>
      <c r="E43" s="16">
        <f t="shared" si="29"/>
        <v>62900</v>
      </c>
      <c r="F43" s="16">
        <f t="shared" si="29"/>
        <v>62900</v>
      </c>
      <c r="G43" s="16">
        <f t="shared" si="29"/>
        <v>62900</v>
      </c>
      <c r="H43" s="16">
        <f t="shared" si="29"/>
        <v>62900</v>
      </c>
      <c r="I43" s="16">
        <f t="shared" si="29"/>
        <v>62900</v>
      </c>
      <c r="J43" s="16">
        <f t="shared" si="29"/>
        <v>62900</v>
      </c>
      <c r="K43" s="16">
        <f t="shared" si="29"/>
        <v>62900</v>
      </c>
      <c r="L43" s="16">
        <f t="shared" si="29"/>
        <v>62900</v>
      </c>
      <c r="M43" s="16">
        <f t="shared" si="29"/>
        <v>62900</v>
      </c>
      <c r="N43" s="16">
        <f t="shared" si="29"/>
        <v>62900</v>
      </c>
      <c r="O43" s="16">
        <f t="shared" si="29"/>
        <v>62900</v>
      </c>
      <c r="P43" s="16">
        <f t="shared" si="29"/>
        <v>62900</v>
      </c>
      <c r="Q43" s="16">
        <f t="shared" si="29"/>
        <v>62900</v>
      </c>
      <c r="R43" s="16">
        <f t="shared" si="29"/>
        <v>62900</v>
      </c>
      <c r="S43" s="16">
        <v>60966</v>
      </c>
      <c r="T43" s="728">
        <f t="shared" si="5"/>
        <v>0.96925278219395872</v>
      </c>
      <c r="U43" s="1"/>
    </row>
    <row r="44" spans="1:27" x14ac:dyDescent="0.25">
      <c r="A44" s="71">
        <v>312</v>
      </c>
      <c r="B44" s="334" t="s">
        <v>194</v>
      </c>
      <c r="C44" s="16">
        <v>500</v>
      </c>
      <c r="D44" s="16">
        <v>500</v>
      </c>
      <c r="E44" s="16">
        <v>500</v>
      </c>
      <c r="F44" s="16">
        <v>500</v>
      </c>
      <c r="G44" s="16">
        <v>500</v>
      </c>
      <c r="H44" s="16">
        <v>500</v>
      </c>
      <c r="I44" s="781">
        <f t="shared" ref="I44:O44" si="30">500+580</f>
        <v>1080</v>
      </c>
      <c r="J44" s="16">
        <f t="shared" si="30"/>
        <v>1080</v>
      </c>
      <c r="K44" s="16">
        <f t="shared" si="30"/>
        <v>1080</v>
      </c>
      <c r="L44" s="16">
        <f t="shared" si="30"/>
        <v>1080</v>
      </c>
      <c r="M44" s="16">
        <f t="shared" si="30"/>
        <v>1080</v>
      </c>
      <c r="N44" s="16">
        <f t="shared" si="30"/>
        <v>1080</v>
      </c>
      <c r="O44" s="16">
        <f t="shared" si="30"/>
        <v>1080</v>
      </c>
      <c r="P44" s="781">
        <f>500+580+600</f>
        <v>1680</v>
      </c>
      <c r="Q44" s="16">
        <f t="shared" ref="Q44:R44" si="31">500+580+600</f>
        <v>1680</v>
      </c>
      <c r="R44" s="16">
        <f t="shared" si="31"/>
        <v>1680</v>
      </c>
      <c r="S44" s="16">
        <v>1320</v>
      </c>
      <c r="T44" s="728">
        <f t="shared" si="5"/>
        <v>0.7857142857142857</v>
      </c>
      <c r="U44" s="27"/>
    </row>
    <row r="45" spans="1:27" x14ac:dyDescent="0.25">
      <c r="A45" s="71">
        <v>312</v>
      </c>
      <c r="B45" s="114" t="s">
        <v>41</v>
      </c>
      <c r="C45" s="73">
        <v>0</v>
      </c>
      <c r="D45" s="696">
        <f t="shared" ref="D45:M45" si="32">57+660</f>
        <v>717</v>
      </c>
      <c r="E45" s="73">
        <f t="shared" si="32"/>
        <v>717</v>
      </c>
      <c r="F45" s="73">
        <f t="shared" si="32"/>
        <v>717</v>
      </c>
      <c r="G45" s="73">
        <f t="shared" si="32"/>
        <v>717</v>
      </c>
      <c r="H45" s="73">
        <f t="shared" si="32"/>
        <v>717</v>
      </c>
      <c r="I45" s="73">
        <f t="shared" si="32"/>
        <v>717</v>
      </c>
      <c r="J45" s="73">
        <f t="shared" si="32"/>
        <v>717</v>
      </c>
      <c r="K45" s="73">
        <f t="shared" si="32"/>
        <v>717</v>
      </c>
      <c r="L45" s="73">
        <f t="shared" si="32"/>
        <v>717</v>
      </c>
      <c r="M45" s="73">
        <f t="shared" si="32"/>
        <v>717</v>
      </c>
      <c r="N45" s="696">
        <f>57+660+570</f>
        <v>1287</v>
      </c>
      <c r="O45" s="73">
        <f>57+660+570</f>
        <v>1287</v>
      </c>
      <c r="P45" s="73">
        <f>57+660+570</f>
        <v>1287</v>
      </c>
      <c r="Q45" s="73">
        <f t="shared" ref="Q45:R45" si="33">57+660+570</f>
        <v>1287</v>
      </c>
      <c r="R45" s="73">
        <f t="shared" si="33"/>
        <v>1287</v>
      </c>
      <c r="S45" s="73">
        <v>687</v>
      </c>
      <c r="T45" s="728">
        <f t="shared" si="5"/>
        <v>0.53379953379953382</v>
      </c>
      <c r="U45" s="27"/>
    </row>
    <row r="46" spans="1:27" x14ac:dyDescent="0.25">
      <c r="A46" s="83">
        <v>312</v>
      </c>
      <c r="B46" s="114" t="s">
        <v>344</v>
      </c>
      <c r="C46" s="501">
        <v>9680</v>
      </c>
      <c r="D46" s="501">
        <v>9680</v>
      </c>
      <c r="E46" s="501">
        <v>9680</v>
      </c>
      <c r="F46" s="501">
        <v>9680</v>
      </c>
      <c r="G46" s="501">
        <v>9680</v>
      </c>
      <c r="H46" s="501">
        <v>9680</v>
      </c>
      <c r="I46" s="501">
        <v>9680</v>
      </c>
      <c r="J46" s="501">
        <v>9680</v>
      </c>
      <c r="K46" s="501">
        <v>9680</v>
      </c>
      <c r="L46" s="501">
        <v>9680</v>
      </c>
      <c r="M46" s="501">
        <v>9680</v>
      </c>
      <c r="N46" s="501">
        <v>9680</v>
      </c>
      <c r="O46" s="501">
        <v>9680</v>
      </c>
      <c r="P46" s="501">
        <v>9680</v>
      </c>
      <c r="Q46" s="501">
        <v>9680</v>
      </c>
      <c r="R46" s="501">
        <v>9680</v>
      </c>
      <c r="S46" s="501">
        <v>0</v>
      </c>
      <c r="T46" s="728">
        <f t="shared" si="5"/>
        <v>0</v>
      </c>
      <c r="U46" s="27"/>
      <c r="V46" s="426"/>
    </row>
    <row r="47" spans="1:27" x14ac:dyDescent="0.25">
      <c r="A47" s="83">
        <v>312</v>
      </c>
      <c r="B47" s="114" t="s">
        <v>346</v>
      </c>
      <c r="C47" s="501">
        <v>1450</v>
      </c>
      <c r="D47" s="501">
        <v>1450</v>
      </c>
      <c r="E47" s="501">
        <v>1450</v>
      </c>
      <c r="F47" s="501">
        <v>1450</v>
      </c>
      <c r="G47" s="501">
        <v>1450</v>
      </c>
      <c r="H47" s="501">
        <v>1450</v>
      </c>
      <c r="I47" s="501">
        <v>1450</v>
      </c>
      <c r="J47" s="501">
        <v>1450</v>
      </c>
      <c r="K47" s="501">
        <v>1450</v>
      </c>
      <c r="L47" s="501">
        <v>1450</v>
      </c>
      <c r="M47" s="501">
        <v>1450</v>
      </c>
      <c r="N47" s="501">
        <v>1450</v>
      </c>
      <c r="O47" s="501">
        <v>1450</v>
      </c>
      <c r="P47" s="501">
        <v>1450</v>
      </c>
      <c r="Q47" s="501">
        <v>1450</v>
      </c>
      <c r="R47" s="501">
        <v>1450</v>
      </c>
      <c r="S47" s="501">
        <v>0</v>
      </c>
      <c r="T47" s="728">
        <f t="shared" si="5"/>
        <v>0</v>
      </c>
      <c r="U47" s="27"/>
      <c r="V47" s="426"/>
    </row>
    <row r="48" spans="1:27" x14ac:dyDescent="0.25">
      <c r="A48" s="83">
        <v>312</v>
      </c>
      <c r="B48" s="114" t="s">
        <v>336</v>
      </c>
      <c r="C48" s="501">
        <v>5000</v>
      </c>
      <c r="D48" s="34">
        <v>5000</v>
      </c>
      <c r="E48" s="34">
        <v>5000</v>
      </c>
      <c r="F48" s="34">
        <v>5000</v>
      </c>
      <c r="G48" s="34">
        <v>5000</v>
      </c>
      <c r="H48" s="34">
        <v>5000</v>
      </c>
      <c r="I48" s="34">
        <v>5000</v>
      </c>
      <c r="J48" s="34">
        <v>5000</v>
      </c>
      <c r="K48" s="34">
        <v>5000</v>
      </c>
      <c r="L48" s="34">
        <v>5000</v>
      </c>
      <c r="M48" s="34">
        <v>5000</v>
      </c>
      <c r="N48" s="34">
        <v>5000</v>
      </c>
      <c r="O48" s="34">
        <v>5000</v>
      </c>
      <c r="P48" s="34">
        <v>5000</v>
      </c>
      <c r="Q48" s="34">
        <v>5000</v>
      </c>
      <c r="R48" s="34">
        <v>5000</v>
      </c>
      <c r="S48" s="501">
        <v>0</v>
      </c>
      <c r="T48" s="728">
        <f t="shared" si="5"/>
        <v>0</v>
      </c>
      <c r="U48" s="27"/>
      <c r="V48" s="426"/>
    </row>
    <row r="49" spans="1:23" x14ac:dyDescent="0.25">
      <c r="A49" s="476">
        <v>312</v>
      </c>
      <c r="B49" s="155" t="s">
        <v>501</v>
      </c>
      <c r="C49" s="561">
        <v>0</v>
      </c>
      <c r="D49" s="561">
        <v>0</v>
      </c>
      <c r="E49" s="756">
        <v>12860</v>
      </c>
      <c r="F49" s="561">
        <v>12860</v>
      </c>
      <c r="G49" s="561">
        <v>12860</v>
      </c>
      <c r="H49" s="561">
        <v>12860</v>
      </c>
      <c r="I49" s="561">
        <v>12860</v>
      </c>
      <c r="J49" s="561">
        <v>12860</v>
      </c>
      <c r="K49" s="561">
        <v>12860</v>
      </c>
      <c r="L49" s="561">
        <v>12860</v>
      </c>
      <c r="M49" s="561">
        <v>12860</v>
      </c>
      <c r="N49" s="561">
        <v>12860</v>
      </c>
      <c r="O49" s="561">
        <v>12860</v>
      </c>
      <c r="P49" s="561">
        <v>12860</v>
      </c>
      <c r="Q49" s="561">
        <v>12860</v>
      </c>
      <c r="R49" s="561">
        <v>12860</v>
      </c>
      <c r="S49" s="561">
        <v>439</v>
      </c>
      <c r="T49" s="728">
        <f t="shared" si="5"/>
        <v>3.4136858475894247E-2</v>
      </c>
      <c r="U49" s="27"/>
      <c r="V49" s="426"/>
    </row>
    <row r="50" spans="1:23" x14ac:dyDescent="0.25">
      <c r="A50" s="83">
        <v>312</v>
      </c>
      <c r="B50" s="848" t="s">
        <v>345</v>
      </c>
      <c r="C50" s="501">
        <v>0</v>
      </c>
      <c r="D50" s="501">
        <v>0</v>
      </c>
      <c r="E50" s="501">
        <v>0</v>
      </c>
      <c r="F50" s="501">
        <v>0</v>
      </c>
      <c r="G50" s="501">
        <v>0</v>
      </c>
      <c r="H50" s="501">
        <v>0</v>
      </c>
      <c r="I50" s="501">
        <v>0</v>
      </c>
      <c r="J50" s="501">
        <v>0</v>
      </c>
      <c r="K50" s="501">
        <v>0</v>
      </c>
      <c r="L50" s="501">
        <v>0</v>
      </c>
      <c r="M50" s="501">
        <v>0</v>
      </c>
      <c r="N50" s="501">
        <v>0</v>
      </c>
      <c r="O50" s="501">
        <v>0</v>
      </c>
      <c r="P50" s="501">
        <v>0</v>
      </c>
      <c r="Q50" s="501">
        <v>0</v>
      </c>
      <c r="R50" s="501">
        <v>0</v>
      </c>
      <c r="S50" s="501">
        <v>0</v>
      </c>
      <c r="T50" s="728">
        <v>0</v>
      </c>
      <c r="U50" s="27"/>
      <c r="V50" s="426"/>
    </row>
    <row r="51" spans="1:23" x14ac:dyDescent="0.25">
      <c r="A51" s="67">
        <v>312</v>
      </c>
      <c r="B51" s="341" t="s">
        <v>43</v>
      </c>
      <c r="C51" s="68">
        <v>50</v>
      </c>
      <c r="D51" s="68">
        <v>50</v>
      </c>
      <c r="E51" s="68">
        <v>50</v>
      </c>
      <c r="F51" s="68">
        <v>50</v>
      </c>
      <c r="G51" s="68">
        <v>50</v>
      </c>
      <c r="H51" s="68">
        <v>50</v>
      </c>
      <c r="I51" s="68">
        <v>50</v>
      </c>
      <c r="J51" s="68">
        <v>50</v>
      </c>
      <c r="K51" s="68">
        <v>50</v>
      </c>
      <c r="L51" s="68">
        <v>50</v>
      </c>
      <c r="M51" s="68">
        <v>50</v>
      </c>
      <c r="N51" s="68">
        <v>50</v>
      </c>
      <c r="O51" s="68">
        <v>50</v>
      </c>
      <c r="P51" s="68">
        <v>50</v>
      </c>
      <c r="Q51" s="68">
        <v>50</v>
      </c>
      <c r="R51" s="68">
        <v>50</v>
      </c>
      <c r="S51" s="68">
        <v>47</v>
      </c>
      <c r="T51" s="728">
        <f t="shared" si="5"/>
        <v>0.94</v>
      </c>
      <c r="U51" s="1"/>
    </row>
    <row r="52" spans="1:23" ht="15.75" thickBot="1" x14ac:dyDescent="0.3">
      <c r="A52" s="330">
        <v>312</v>
      </c>
      <c r="B52" s="342" t="s">
        <v>273</v>
      </c>
      <c r="C52" s="331">
        <v>4000</v>
      </c>
      <c r="D52" s="331">
        <v>4000</v>
      </c>
      <c r="E52" s="331">
        <v>4000</v>
      </c>
      <c r="F52" s="331">
        <v>4000</v>
      </c>
      <c r="G52" s="331">
        <v>4000</v>
      </c>
      <c r="H52" s="331">
        <v>4000</v>
      </c>
      <c r="I52" s="331">
        <v>4000</v>
      </c>
      <c r="J52" s="331">
        <v>4000</v>
      </c>
      <c r="K52" s="796">
        <f t="shared" ref="K52:R52" si="34">4000+380</f>
        <v>4380</v>
      </c>
      <c r="L52" s="331">
        <f t="shared" si="34"/>
        <v>4380</v>
      </c>
      <c r="M52" s="331">
        <f t="shared" si="34"/>
        <v>4380</v>
      </c>
      <c r="N52" s="331">
        <f t="shared" si="34"/>
        <v>4380</v>
      </c>
      <c r="O52" s="331">
        <f t="shared" si="34"/>
        <v>4380</v>
      </c>
      <c r="P52" s="331">
        <f t="shared" si="34"/>
        <v>4380</v>
      </c>
      <c r="Q52" s="331">
        <f t="shared" si="34"/>
        <v>4380</v>
      </c>
      <c r="R52" s="331">
        <f t="shared" si="34"/>
        <v>4380</v>
      </c>
      <c r="S52" s="331">
        <v>4379</v>
      </c>
      <c r="T52" s="728">
        <f t="shared" si="5"/>
        <v>0.99977168949771689</v>
      </c>
      <c r="U52" s="27"/>
    </row>
    <row r="53" spans="1:23" x14ac:dyDescent="0.25">
      <c r="A53" s="71">
        <v>312</v>
      </c>
      <c r="B53" s="84" t="s">
        <v>44</v>
      </c>
      <c r="C53" s="16">
        <v>1600</v>
      </c>
      <c r="D53" s="16">
        <v>1600</v>
      </c>
      <c r="E53" s="16">
        <v>1600</v>
      </c>
      <c r="F53" s="16">
        <v>1600</v>
      </c>
      <c r="G53" s="16">
        <v>1600</v>
      </c>
      <c r="H53" s="16">
        <v>1600</v>
      </c>
      <c r="I53" s="16">
        <v>1600</v>
      </c>
      <c r="J53" s="16">
        <v>1600</v>
      </c>
      <c r="K53" s="16">
        <v>1600</v>
      </c>
      <c r="L53" s="16">
        <v>1600</v>
      </c>
      <c r="M53" s="16">
        <v>1600</v>
      </c>
      <c r="N53" s="16">
        <v>1600</v>
      </c>
      <c r="O53" s="16">
        <v>1600</v>
      </c>
      <c r="P53" s="16">
        <v>1600</v>
      </c>
      <c r="Q53" s="16">
        <v>1600</v>
      </c>
      <c r="R53" s="16">
        <v>1600</v>
      </c>
      <c r="S53" s="16">
        <v>1300</v>
      </c>
      <c r="T53" s="728">
        <f t="shared" si="5"/>
        <v>0.8125</v>
      </c>
      <c r="U53" s="1"/>
    </row>
    <row r="54" spans="1:23" ht="15.75" thickBot="1" x14ac:dyDescent="0.3">
      <c r="A54" s="77">
        <v>312</v>
      </c>
      <c r="B54" s="161" t="s">
        <v>46</v>
      </c>
      <c r="C54" s="79">
        <f t="shared" ref="C54:M54" si="35">350+5600</f>
        <v>5950</v>
      </c>
      <c r="D54" s="79">
        <f t="shared" si="35"/>
        <v>5950</v>
      </c>
      <c r="E54" s="79">
        <f t="shared" si="35"/>
        <v>5950</v>
      </c>
      <c r="F54" s="79">
        <f t="shared" si="35"/>
        <v>5950</v>
      </c>
      <c r="G54" s="79">
        <f t="shared" si="35"/>
        <v>5950</v>
      </c>
      <c r="H54" s="79">
        <f t="shared" si="35"/>
        <v>5950</v>
      </c>
      <c r="I54" s="79">
        <f t="shared" si="35"/>
        <v>5950</v>
      </c>
      <c r="J54" s="79">
        <f t="shared" si="35"/>
        <v>5950</v>
      </c>
      <c r="K54" s="79">
        <f t="shared" si="35"/>
        <v>5950</v>
      </c>
      <c r="L54" s="79">
        <f t="shared" si="35"/>
        <v>5950</v>
      </c>
      <c r="M54" s="79">
        <f t="shared" si="35"/>
        <v>5950</v>
      </c>
      <c r="N54" s="815">
        <f>350+5600-3755</f>
        <v>2195</v>
      </c>
      <c r="O54" s="79">
        <f>350+5600-3755</f>
        <v>2195</v>
      </c>
      <c r="P54" s="79">
        <f>350+5600-3755</f>
        <v>2195</v>
      </c>
      <c r="Q54" s="79">
        <f t="shared" ref="Q54:R54" si="36">350+5600-3755</f>
        <v>2195</v>
      </c>
      <c r="R54" s="79">
        <f t="shared" si="36"/>
        <v>2195</v>
      </c>
      <c r="S54" s="79">
        <v>2194</v>
      </c>
      <c r="T54" s="728">
        <f t="shared" si="5"/>
        <v>0.9995444191343964</v>
      </c>
      <c r="U54" s="1"/>
    </row>
    <row r="55" spans="1:23" x14ac:dyDescent="0.25">
      <c r="A55" s="71">
        <v>312</v>
      </c>
      <c r="B55" s="84" t="s">
        <v>347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781">
        <v>2000</v>
      </c>
      <c r="J55" s="16">
        <v>2000</v>
      </c>
      <c r="K55" s="16">
        <v>2000</v>
      </c>
      <c r="L55" s="16">
        <v>2000</v>
      </c>
      <c r="M55" s="16">
        <v>2000</v>
      </c>
      <c r="N55" s="16">
        <v>2000</v>
      </c>
      <c r="O55" s="16">
        <v>2000</v>
      </c>
      <c r="P55" s="16">
        <v>2000</v>
      </c>
      <c r="Q55" s="16">
        <v>2000</v>
      </c>
      <c r="R55" s="16">
        <v>2000</v>
      </c>
      <c r="S55" s="16">
        <v>2000</v>
      </c>
      <c r="T55" s="728">
        <f t="shared" si="5"/>
        <v>1</v>
      </c>
      <c r="U55" s="1"/>
    </row>
    <row r="56" spans="1:23" ht="15.75" thickBot="1" x14ac:dyDescent="0.3">
      <c r="A56" s="74">
        <v>312</v>
      </c>
      <c r="B56" s="81" t="s">
        <v>48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82">
        <v>4000</v>
      </c>
      <c r="J56" s="75">
        <v>4000</v>
      </c>
      <c r="K56" s="782">
        <f>4000+3000</f>
        <v>7000</v>
      </c>
      <c r="L56" s="75">
        <f>4000+3000</f>
        <v>7000</v>
      </c>
      <c r="M56" s="75">
        <f>4000+3000</f>
        <v>7000</v>
      </c>
      <c r="N56" s="75">
        <f>4000+3000</f>
        <v>7000</v>
      </c>
      <c r="O56" s="75">
        <f>4000+3000</f>
        <v>7000</v>
      </c>
      <c r="P56" s="782">
        <f>4000+3000+1000</f>
        <v>8000</v>
      </c>
      <c r="Q56" s="75">
        <f t="shared" ref="Q56:R56" si="37">4000+3000+1000</f>
        <v>8000</v>
      </c>
      <c r="R56" s="75">
        <f t="shared" si="37"/>
        <v>8000</v>
      </c>
      <c r="S56" s="75">
        <v>8000</v>
      </c>
      <c r="T56" s="728">
        <f t="shared" si="5"/>
        <v>1</v>
      </c>
      <c r="U56" s="1"/>
    </row>
    <row r="57" spans="1:23" x14ac:dyDescent="0.25">
      <c r="A57" s="71">
        <v>312</v>
      </c>
      <c r="B57" s="333" t="s">
        <v>49</v>
      </c>
      <c r="C57" s="82">
        <f>4800+810+40</f>
        <v>5650</v>
      </c>
      <c r="D57" s="697">
        <f t="shared" ref="D57:J57" si="38">5650-10-10</f>
        <v>5630</v>
      </c>
      <c r="E57" s="82">
        <f t="shared" si="38"/>
        <v>5630</v>
      </c>
      <c r="F57" s="82">
        <f t="shared" si="38"/>
        <v>5630</v>
      </c>
      <c r="G57" s="82">
        <f t="shared" si="38"/>
        <v>5630</v>
      </c>
      <c r="H57" s="82">
        <f t="shared" si="38"/>
        <v>5630</v>
      </c>
      <c r="I57" s="82">
        <f t="shared" si="38"/>
        <v>5630</v>
      </c>
      <c r="J57" s="82">
        <f t="shared" si="38"/>
        <v>5630</v>
      </c>
      <c r="K57" s="697">
        <f t="shared" ref="K57:R57" si="39">5650-10-10+220</f>
        <v>5850</v>
      </c>
      <c r="L57" s="82">
        <f t="shared" si="39"/>
        <v>5850</v>
      </c>
      <c r="M57" s="82">
        <f t="shared" si="39"/>
        <v>5850</v>
      </c>
      <c r="N57" s="82">
        <f t="shared" si="39"/>
        <v>5850</v>
      </c>
      <c r="O57" s="82">
        <f t="shared" si="39"/>
        <v>5850</v>
      </c>
      <c r="P57" s="82">
        <f t="shared" si="39"/>
        <v>5850</v>
      </c>
      <c r="Q57" s="82">
        <f t="shared" si="39"/>
        <v>5850</v>
      </c>
      <c r="R57" s="82">
        <f t="shared" si="39"/>
        <v>5850</v>
      </c>
      <c r="S57" s="82">
        <v>5810</v>
      </c>
      <c r="T57" s="728">
        <f t="shared" si="5"/>
        <v>0.99316239316239319</v>
      </c>
      <c r="U57" s="27"/>
      <c r="V57" s="27"/>
      <c r="W57" s="27"/>
    </row>
    <row r="58" spans="1:23" x14ac:dyDescent="0.25">
      <c r="A58" s="83">
        <v>312</v>
      </c>
      <c r="B58" s="343" t="s">
        <v>50</v>
      </c>
      <c r="C58" s="21">
        <f>7050+300+110</f>
        <v>7460</v>
      </c>
      <c r="D58" s="693">
        <f t="shared" ref="D58:H58" si="40">7460+70</f>
        <v>7530</v>
      </c>
      <c r="E58" s="21">
        <f t="shared" si="40"/>
        <v>7530</v>
      </c>
      <c r="F58" s="21">
        <f t="shared" si="40"/>
        <v>7530</v>
      </c>
      <c r="G58" s="21">
        <f t="shared" si="40"/>
        <v>7530</v>
      </c>
      <c r="H58" s="21">
        <f t="shared" si="40"/>
        <v>7530</v>
      </c>
      <c r="I58" s="693">
        <f t="shared" ref="I58:M58" si="41">7460+70+15</f>
        <v>7545</v>
      </c>
      <c r="J58" s="21">
        <f t="shared" si="41"/>
        <v>7545</v>
      </c>
      <c r="K58" s="21">
        <f t="shared" si="41"/>
        <v>7545</v>
      </c>
      <c r="L58" s="21">
        <f t="shared" si="41"/>
        <v>7545</v>
      </c>
      <c r="M58" s="21">
        <f t="shared" si="41"/>
        <v>7545</v>
      </c>
      <c r="N58" s="693">
        <f>7460+70+15-3190</f>
        <v>4355</v>
      </c>
      <c r="O58" s="21">
        <f>7460+70+15-3190</f>
        <v>4355</v>
      </c>
      <c r="P58" s="21">
        <f>7460+70+15-3190</f>
        <v>4355</v>
      </c>
      <c r="Q58" s="21">
        <f t="shared" ref="Q58:R58" si="42">7460+70+15-3190</f>
        <v>4355</v>
      </c>
      <c r="R58" s="21">
        <f t="shared" si="42"/>
        <v>4355</v>
      </c>
      <c r="S58" s="21">
        <v>4347</v>
      </c>
      <c r="T58" s="728">
        <f t="shared" si="5"/>
        <v>0.99816303099885184</v>
      </c>
      <c r="U58" s="27"/>
      <c r="V58" s="27"/>
      <c r="W58" s="27"/>
    </row>
    <row r="59" spans="1:23" x14ac:dyDescent="0.25">
      <c r="A59" s="83">
        <v>312</v>
      </c>
      <c r="B59" s="344" t="s">
        <v>502</v>
      </c>
      <c r="C59" s="33">
        <v>161700</v>
      </c>
      <c r="D59" s="698">
        <f>161700+3</f>
        <v>161703</v>
      </c>
      <c r="E59" s="33">
        <f>161700+3</f>
        <v>161703</v>
      </c>
      <c r="F59" s="698">
        <f>161700+3+3863</f>
        <v>165566</v>
      </c>
      <c r="G59" s="33">
        <f>161700+3+3863</f>
        <v>165566</v>
      </c>
      <c r="H59" s="33">
        <f>161700+3+3863</f>
        <v>165566</v>
      </c>
      <c r="I59" s="698">
        <f>161700+3+3863+1722</f>
        <v>167288</v>
      </c>
      <c r="J59" s="33">
        <f>161700+3+3863+1722</f>
        <v>167288</v>
      </c>
      <c r="K59" s="698">
        <f>161700+3+3863+1722+7627</f>
        <v>174915</v>
      </c>
      <c r="L59" s="33">
        <f>161700+3+3863+1722+7627</f>
        <v>174915</v>
      </c>
      <c r="M59" s="33">
        <f>161700+3+3863+1722+7627</f>
        <v>174915</v>
      </c>
      <c r="N59" s="33">
        <f>161700+3+3863+1722+7627</f>
        <v>174915</v>
      </c>
      <c r="O59" s="698">
        <f>161700+3+3863+1722+7627+3063</f>
        <v>177978</v>
      </c>
      <c r="P59" s="33">
        <f>161700+3+3863+1722+7627+3063</f>
        <v>177978</v>
      </c>
      <c r="Q59" s="33">
        <f t="shared" ref="Q59" si="43">161700+3+3863+1722+7627+3063</f>
        <v>177978</v>
      </c>
      <c r="R59" s="698">
        <f>161700+3+3863+1722+7627+3063+3274</f>
        <v>181252</v>
      </c>
      <c r="S59" s="33">
        <v>139287</v>
      </c>
      <c r="T59" s="728">
        <f t="shared" si="5"/>
        <v>0.76847152031425858</v>
      </c>
      <c r="U59" s="27"/>
      <c r="V59" s="27"/>
      <c r="W59" s="27"/>
    </row>
    <row r="60" spans="1:23" x14ac:dyDescent="0.25">
      <c r="A60" s="71">
        <v>312</v>
      </c>
      <c r="B60" s="114" t="s">
        <v>249</v>
      </c>
      <c r="C60" s="16">
        <v>190000</v>
      </c>
      <c r="D60" s="16">
        <v>190000</v>
      </c>
      <c r="E60" s="16">
        <v>190000</v>
      </c>
      <c r="F60" s="16">
        <v>190000</v>
      </c>
      <c r="G60" s="16">
        <v>190000</v>
      </c>
      <c r="H60" s="16">
        <v>190000</v>
      </c>
      <c r="I60" s="16">
        <v>190000</v>
      </c>
      <c r="J60" s="16">
        <v>190000</v>
      </c>
      <c r="K60" s="16">
        <v>190000</v>
      </c>
      <c r="L60" s="16">
        <v>190000</v>
      </c>
      <c r="M60" s="16">
        <v>190000</v>
      </c>
      <c r="N60" s="781">
        <f>190000+7770</f>
        <v>197770</v>
      </c>
      <c r="O60" s="16">
        <f>190000+7770</f>
        <v>197770</v>
      </c>
      <c r="P60" s="16">
        <f>190000+7770</f>
        <v>197770</v>
      </c>
      <c r="Q60" s="16">
        <f t="shared" ref="Q60:R60" si="44">190000+7770</f>
        <v>197770</v>
      </c>
      <c r="R60" s="16">
        <f t="shared" si="44"/>
        <v>197770</v>
      </c>
      <c r="S60" s="16">
        <v>138339</v>
      </c>
      <c r="T60" s="728">
        <f t="shared" si="5"/>
        <v>0.69949436213783689</v>
      </c>
      <c r="U60" s="27"/>
    </row>
    <row r="61" spans="1:23" ht="15.75" thickBot="1" x14ac:dyDescent="0.3">
      <c r="A61" s="77">
        <v>312</v>
      </c>
      <c r="B61" s="161" t="s">
        <v>51</v>
      </c>
      <c r="C61" s="79">
        <v>58200</v>
      </c>
      <c r="D61" s="79">
        <v>58200</v>
      </c>
      <c r="E61" s="79">
        <v>58200</v>
      </c>
      <c r="F61" s="79">
        <v>58200</v>
      </c>
      <c r="G61" s="79">
        <v>58200</v>
      </c>
      <c r="H61" s="79">
        <v>58200</v>
      </c>
      <c r="I61" s="79">
        <v>58200</v>
      </c>
      <c r="J61" s="79">
        <v>58200</v>
      </c>
      <c r="K61" s="79">
        <v>58200</v>
      </c>
      <c r="L61" s="79">
        <v>58200</v>
      </c>
      <c r="M61" s="79">
        <v>58200</v>
      </c>
      <c r="N61" s="79">
        <v>58200</v>
      </c>
      <c r="O61" s="79">
        <v>58200</v>
      </c>
      <c r="P61" s="79">
        <v>58200</v>
      </c>
      <c r="Q61" s="79">
        <v>58200</v>
      </c>
      <c r="R61" s="79">
        <v>58200</v>
      </c>
      <c r="S61" s="79">
        <v>37151</v>
      </c>
      <c r="T61" s="728">
        <f t="shared" si="5"/>
        <v>0.63833333333333331</v>
      </c>
      <c r="U61" s="27"/>
    </row>
    <row r="62" spans="1:23" x14ac:dyDescent="0.25">
      <c r="A62" s="71">
        <v>315</v>
      </c>
      <c r="B62" s="76" t="s">
        <v>47</v>
      </c>
      <c r="C62" s="16">
        <v>3000</v>
      </c>
      <c r="D62" s="16">
        <v>3000</v>
      </c>
      <c r="E62" s="16">
        <v>3000</v>
      </c>
      <c r="F62" s="16">
        <v>3000</v>
      </c>
      <c r="G62" s="16">
        <v>3000</v>
      </c>
      <c r="H62" s="16">
        <v>3000</v>
      </c>
      <c r="I62" s="16">
        <v>3000</v>
      </c>
      <c r="J62" s="16">
        <v>3000</v>
      </c>
      <c r="K62" s="16">
        <v>3000</v>
      </c>
      <c r="L62" s="16">
        <v>3000</v>
      </c>
      <c r="M62" s="16">
        <v>3000</v>
      </c>
      <c r="N62" s="16">
        <v>3000</v>
      </c>
      <c r="O62" s="16">
        <v>3000</v>
      </c>
      <c r="P62" s="16">
        <v>3000</v>
      </c>
      <c r="Q62" s="16">
        <v>3000</v>
      </c>
      <c r="R62" s="16">
        <v>3000</v>
      </c>
      <c r="S62" s="16">
        <v>3000</v>
      </c>
      <c r="T62" s="728">
        <f t="shared" si="5"/>
        <v>1</v>
      </c>
      <c r="U62" s="1"/>
    </row>
    <row r="63" spans="1:23" ht="15.75" thickBot="1" x14ac:dyDescent="0.3">
      <c r="A63" s="77">
        <v>315</v>
      </c>
      <c r="B63" s="78" t="s">
        <v>236</v>
      </c>
      <c r="C63" s="79">
        <v>300</v>
      </c>
      <c r="D63" s="79">
        <v>300</v>
      </c>
      <c r="E63" s="79">
        <v>300</v>
      </c>
      <c r="F63" s="79">
        <v>300</v>
      </c>
      <c r="G63" s="79">
        <v>300</v>
      </c>
      <c r="H63" s="79">
        <v>300</v>
      </c>
      <c r="I63" s="79">
        <v>300</v>
      </c>
      <c r="J63" s="79">
        <v>300</v>
      </c>
      <c r="K63" s="79">
        <v>300</v>
      </c>
      <c r="L63" s="79">
        <v>300</v>
      </c>
      <c r="M63" s="79">
        <v>300</v>
      </c>
      <c r="N63" s="79">
        <v>300</v>
      </c>
      <c r="O63" s="79">
        <v>300</v>
      </c>
      <c r="P63" s="79">
        <v>300</v>
      </c>
      <c r="Q63" s="79">
        <v>300</v>
      </c>
      <c r="R63" s="79">
        <v>300</v>
      </c>
      <c r="S63" s="79">
        <v>300</v>
      </c>
      <c r="T63" s="728">
        <f t="shared" si="5"/>
        <v>1</v>
      </c>
      <c r="U63" s="27">
        <f>SUM(O62:O63)</f>
        <v>3300</v>
      </c>
      <c r="V63" s="27">
        <f>SUM(S62:S63)</f>
        <v>3300</v>
      </c>
    </row>
    <row r="64" spans="1:23" ht="15.75" thickBot="1" x14ac:dyDescent="0.3">
      <c r="A64" s="514">
        <v>312</v>
      </c>
      <c r="B64" s="515" t="s">
        <v>307</v>
      </c>
      <c r="C64" s="519">
        <v>720000</v>
      </c>
      <c r="D64" s="724">
        <f>720000-1806+693</f>
        <v>718887</v>
      </c>
      <c r="E64" s="519">
        <f>720000-1806+693</f>
        <v>718887</v>
      </c>
      <c r="F64" s="724">
        <f>720000-1806+693-10639</f>
        <v>708248</v>
      </c>
      <c r="G64" s="519">
        <f>720000-1806+693-10639</f>
        <v>708248</v>
      </c>
      <c r="H64" s="519">
        <f>720000-1806+693-10639</f>
        <v>708248</v>
      </c>
      <c r="I64" s="724">
        <f>720000-1806+693-10639+3639</f>
        <v>711887</v>
      </c>
      <c r="J64" s="519">
        <f>720000-1806+693-10639+3639</f>
        <v>711887</v>
      </c>
      <c r="K64" s="724">
        <f>720000-1806+693-10639+3639+22802</f>
        <v>734689</v>
      </c>
      <c r="L64" s="519">
        <f>720000-1806+693-10639+3639+22802</f>
        <v>734689</v>
      </c>
      <c r="M64" s="519">
        <f>720000-1806+693-10639+3639+22802</f>
        <v>734689</v>
      </c>
      <c r="N64" s="519">
        <f>720000-1806+693-10639+3639+22802</f>
        <v>734689</v>
      </c>
      <c r="O64" s="724">
        <f>720000-1806+693-10639+3639+22802-866</f>
        <v>733823</v>
      </c>
      <c r="P64" s="519">
        <f>720000-1806+693-10639+3639+22802-866</f>
        <v>733823</v>
      </c>
      <c r="Q64" s="519">
        <f t="shared" ref="Q64" si="45">720000-1806+693-10639+3639+22802-866</f>
        <v>733823</v>
      </c>
      <c r="R64" s="724">
        <f>720000-1806+693-10639+3639+22802-866+10579</f>
        <v>744402</v>
      </c>
      <c r="S64" s="519">
        <v>586428</v>
      </c>
      <c r="T64" s="728">
        <f t="shared" si="5"/>
        <v>0.78778401992471814</v>
      </c>
      <c r="U64" s="27">
        <f>SUM(R41:R61)+R64</f>
        <v>1465368</v>
      </c>
      <c r="V64" s="27">
        <f>SUM(S41:S61)+S64</f>
        <v>1153140</v>
      </c>
      <c r="W64" s="27"/>
    </row>
    <row r="65" spans="1:35" ht="21" customHeight="1" thickBot="1" x14ac:dyDescent="0.3">
      <c r="A65" s="85" t="s">
        <v>52</v>
      </c>
      <c r="B65" s="345"/>
      <c r="C65" s="358">
        <f t="shared" ref="C65:S65" si="46">SUM(C3+C11+C31+C33+C39)</f>
        <v>2952875</v>
      </c>
      <c r="D65" s="358">
        <f t="shared" si="46"/>
        <v>2952547</v>
      </c>
      <c r="E65" s="358">
        <f t="shared" si="46"/>
        <v>2969657</v>
      </c>
      <c r="F65" s="358">
        <f t="shared" si="46"/>
        <v>2962881</v>
      </c>
      <c r="G65" s="358">
        <f t="shared" si="46"/>
        <v>2962881</v>
      </c>
      <c r="H65" s="358">
        <f t="shared" si="46"/>
        <v>2962881</v>
      </c>
      <c r="I65" s="358">
        <f t="shared" si="46"/>
        <v>2974837</v>
      </c>
      <c r="J65" s="358">
        <f t="shared" si="46"/>
        <v>2975761</v>
      </c>
      <c r="K65" s="358">
        <f t="shared" si="46"/>
        <v>3073590</v>
      </c>
      <c r="L65" s="358">
        <f t="shared" si="46"/>
        <v>3075135</v>
      </c>
      <c r="M65" s="358">
        <f t="shared" si="46"/>
        <v>3075135</v>
      </c>
      <c r="N65" s="358">
        <f t="shared" si="46"/>
        <v>3079534</v>
      </c>
      <c r="O65" s="358">
        <f t="shared" ref="O65:P65" si="47">SUM(O3+O11+O31+O33+O39)</f>
        <v>3081731</v>
      </c>
      <c r="P65" s="358">
        <f t="shared" si="47"/>
        <v>3083331</v>
      </c>
      <c r="Q65" s="358">
        <f t="shared" ref="Q65:R65" si="48">SUM(Q3+Q11+Q31+Q33+Q39)</f>
        <v>3083331</v>
      </c>
      <c r="R65" s="358">
        <f t="shared" si="48"/>
        <v>3124612</v>
      </c>
      <c r="S65" s="358">
        <f t="shared" si="46"/>
        <v>2274957.2999999998</v>
      </c>
      <c r="T65" s="728">
        <f t="shared" si="5"/>
        <v>0.72807673400729433</v>
      </c>
      <c r="U65" s="27">
        <f t="shared" ref="U65:AG65" si="49">D65-C65</f>
        <v>-328</v>
      </c>
      <c r="V65" s="27">
        <f t="shared" si="49"/>
        <v>17110</v>
      </c>
      <c r="W65" s="27">
        <f t="shared" si="49"/>
        <v>-6776</v>
      </c>
      <c r="X65" s="27">
        <f t="shared" si="49"/>
        <v>0</v>
      </c>
      <c r="Y65" s="27">
        <f t="shared" si="49"/>
        <v>0</v>
      </c>
      <c r="Z65" s="27">
        <f t="shared" si="49"/>
        <v>11956</v>
      </c>
      <c r="AA65" s="27">
        <f t="shared" si="49"/>
        <v>924</v>
      </c>
      <c r="AB65" s="27">
        <f t="shared" si="49"/>
        <v>97829</v>
      </c>
      <c r="AC65" s="27">
        <f t="shared" si="49"/>
        <v>1545</v>
      </c>
      <c r="AD65" s="27">
        <f t="shared" si="49"/>
        <v>0</v>
      </c>
      <c r="AE65" s="27">
        <f t="shared" si="49"/>
        <v>4399</v>
      </c>
      <c r="AF65" s="27">
        <f t="shared" si="49"/>
        <v>2197</v>
      </c>
      <c r="AG65" s="27">
        <f t="shared" si="49"/>
        <v>1600</v>
      </c>
      <c r="AH65" s="27">
        <f t="shared" ref="AH65" si="50">Q65-P65</f>
        <v>0</v>
      </c>
      <c r="AI65" s="27">
        <f t="shared" ref="AI65" si="51">R65-Q65</f>
        <v>41281</v>
      </c>
    </row>
    <row r="66" spans="1:35" x14ac:dyDescent="0.25">
      <c r="A66" s="87" t="s">
        <v>53</v>
      </c>
      <c r="B66" s="88" t="s">
        <v>54</v>
      </c>
      <c r="C66" s="89">
        <f>1500</f>
        <v>1500</v>
      </c>
      <c r="D66" s="89">
        <f>1500</f>
        <v>1500</v>
      </c>
      <c r="E66" s="89">
        <f>1500</f>
        <v>1500</v>
      </c>
      <c r="F66" s="89">
        <f>1500</f>
        <v>1500</v>
      </c>
      <c r="G66" s="89">
        <f>1500</f>
        <v>1500</v>
      </c>
      <c r="H66" s="89">
        <f>1500</f>
        <v>1500</v>
      </c>
      <c r="I66" s="89">
        <f>1500</f>
        <v>1500</v>
      </c>
      <c r="J66" s="89">
        <f>1500</f>
        <v>1500</v>
      </c>
      <c r="K66" s="89">
        <f>1500</f>
        <v>1500</v>
      </c>
      <c r="L66" s="89">
        <f>1500</f>
        <v>1500</v>
      </c>
      <c r="M66" s="89">
        <f>1500</f>
        <v>1500</v>
      </c>
      <c r="N66" s="89">
        <f>1500</f>
        <v>1500</v>
      </c>
      <c r="O66" s="89">
        <f>1500</f>
        <v>1500</v>
      </c>
      <c r="P66" s="89">
        <f>1500</f>
        <v>1500</v>
      </c>
      <c r="Q66" s="705">
        <f>1500-1000</f>
        <v>500</v>
      </c>
      <c r="R66" s="89">
        <f>1500-1000</f>
        <v>500</v>
      </c>
      <c r="S66" s="89">
        <v>25</v>
      </c>
      <c r="T66" s="728">
        <f t="shared" si="5"/>
        <v>0.05</v>
      </c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5.75" thickBot="1" x14ac:dyDescent="0.3">
      <c r="A67" s="90" t="s">
        <v>53</v>
      </c>
      <c r="B67" s="88" t="s">
        <v>55</v>
      </c>
      <c r="C67" s="91">
        <v>3600</v>
      </c>
      <c r="D67" s="91">
        <v>3600</v>
      </c>
      <c r="E67" s="91">
        <v>3600</v>
      </c>
      <c r="F67" s="91">
        <v>3600</v>
      </c>
      <c r="G67" s="91">
        <v>3600</v>
      </c>
      <c r="H67" s="91">
        <v>3600</v>
      </c>
      <c r="I67" s="91">
        <v>3600</v>
      </c>
      <c r="J67" s="91">
        <v>3600</v>
      </c>
      <c r="K67" s="91">
        <v>3600</v>
      </c>
      <c r="L67" s="91">
        <v>3600</v>
      </c>
      <c r="M67" s="91">
        <v>3600</v>
      </c>
      <c r="N67" s="91">
        <v>3600</v>
      </c>
      <c r="O67" s="91">
        <v>3600</v>
      </c>
      <c r="P67" s="91">
        <v>3600</v>
      </c>
      <c r="Q67" s="91">
        <v>3600</v>
      </c>
      <c r="R67" s="91">
        <v>3600</v>
      </c>
      <c r="S67" s="91">
        <v>2184</v>
      </c>
      <c r="T67" s="728">
        <f t="shared" si="5"/>
        <v>0.60666666666666669</v>
      </c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9.899999999999999" customHeight="1" thickBot="1" x14ac:dyDescent="0.3">
      <c r="A68" s="894" t="s">
        <v>57</v>
      </c>
      <c r="B68" s="895"/>
      <c r="C68" s="95">
        <f t="shared" ref="C68:S68" si="52">SUM(C66:C67)</f>
        <v>5100</v>
      </c>
      <c r="D68" s="95">
        <f t="shared" si="52"/>
        <v>5100</v>
      </c>
      <c r="E68" s="95">
        <f t="shared" si="52"/>
        <v>5100</v>
      </c>
      <c r="F68" s="95">
        <f t="shared" si="52"/>
        <v>5100</v>
      </c>
      <c r="G68" s="95">
        <f t="shared" si="52"/>
        <v>5100</v>
      </c>
      <c r="H68" s="95">
        <f t="shared" si="52"/>
        <v>5100</v>
      </c>
      <c r="I68" s="95">
        <f t="shared" ref="I68:N68" si="53">SUM(I66:I67)</f>
        <v>5100</v>
      </c>
      <c r="J68" s="95">
        <f t="shared" si="53"/>
        <v>5100</v>
      </c>
      <c r="K68" s="95">
        <f t="shared" si="53"/>
        <v>5100</v>
      </c>
      <c r="L68" s="95">
        <f t="shared" si="53"/>
        <v>5100</v>
      </c>
      <c r="M68" s="95">
        <f t="shared" si="53"/>
        <v>5100</v>
      </c>
      <c r="N68" s="95">
        <f t="shared" si="53"/>
        <v>5100</v>
      </c>
      <c r="O68" s="95">
        <f t="shared" ref="O68:P68" si="54">SUM(O66:O67)</f>
        <v>5100</v>
      </c>
      <c r="P68" s="95">
        <f t="shared" si="54"/>
        <v>5100</v>
      </c>
      <c r="Q68" s="95">
        <f t="shared" ref="Q68:R68" si="55">SUM(Q66:Q67)</f>
        <v>4100</v>
      </c>
      <c r="R68" s="95">
        <f t="shared" si="55"/>
        <v>4100</v>
      </c>
      <c r="S68" s="95">
        <f t="shared" si="52"/>
        <v>2209</v>
      </c>
      <c r="T68" s="728">
        <f t="shared" ref="T68:T131" si="56">S68/R68</f>
        <v>0.53878048780487808</v>
      </c>
      <c r="U68" s="27">
        <f t="shared" ref="U68:AG68" si="57">D68-C68</f>
        <v>0</v>
      </c>
      <c r="V68" s="27">
        <f t="shared" si="57"/>
        <v>0</v>
      </c>
      <c r="W68" s="27">
        <f t="shared" si="57"/>
        <v>0</v>
      </c>
      <c r="X68" s="27">
        <f t="shared" si="57"/>
        <v>0</v>
      </c>
      <c r="Y68" s="27">
        <f t="shared" si="57"/>
        <v>0</v>
      </c>
      <c r="Z68" s="27">
        <f t="shared" si="57"/>
        <v>0</v>
      </c>
      <c r="AA68" s="27">
        <f t="shared" si="57"/>
        <v>0</v>
      </c>
      <c r="AB68" s="27">
        <f t="shared" si="57"/>
        <v>0</v>
      </c>
      <c r="AC68" s="27">
        <f t="shared" si="57"/>
        <v>0</v>
      </c>
      <c r="AD68" s="27">
        <f t="shared" si="57"/>
        <v>0</v>
      </c>
      <c r="AE68" s="27">
        <f t="shared" si="57"/>
        <v>0</v>
      </c>
      <c r="AF68" s="27">
        <f t="shared" si="57"/>
        <v>0</v>
      </c>
      <c r="AG68" s="27">
        <f t="shared" si="57"/>
        <v>0</v>
      </c>
      <c r="AH68" s="27">
        <f t="shared" ref="AH68" si="58">Q68-P68</f>
        <v>-1000</v>
      </c>
      <c r="AI68" s="27">
        <f t="shared" ref="AI68" si="59">R68-Q68</f>
        <v>0</v>
      </c>
    </row>
    <row r="69" spans="1:35" ht="16.5" thickBot="1" x14ac:dyDescent="0.3">
      <c r="A69" s="96" t="s">
        <v>53</v>
      </c>
      <c r="B69" s="97" t="s">
        <v>58</v>
      </c>
      <c r="C69" s="418">
        <v>13600</v>
      </c>
      <c r="D69" s="418">
        <v>13600</v>
      </c>
      <c r="E69" s="418">
        <v>13600</v>
      </c>
      <c r="F69" s="418">
        <v>13600</v>
      </c>
      <c r="G69" s="418">
        <v>13600</v>
      </c>
      <c r="H69" s="418">
        <v>13600</v>
      </c>
      <c r="I69" s="418">
        <v>13600</v>
      </c>
      <c r="J69" s="418">
        <v>13600</v>
      </c>
      <c r="K69" s="418">
        <v>13600</v>
      </c>
      <c r="L69" s="418">
        <v>13600</v>
      </c>
      <c r="M69" s="418">
        <v>13600</v>
      </c>
      <c r="N69" s="418">
        <v>13600</v>
      </c>
      <c r="O69" s="418">
        <v>13600</v>
      </c>
      <c r="P69" s="418">
        <v>13600</v>
      </c>
      <c r="Q69" s="418">
        <v>13600</v>
      </c>
      <c r="R69" s="418">
        <v>13600</v>
      </c>
      <c r="S69" s="418">
        <v>12070</v>
      </c>
      <c r="T69" s="728">
        <f t="shared" si="56"/>
        <v>0.88749999999999996</v>
      </c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</row>
    <row r="70" spans="1:35" ht="21" customHeight="1" thickBot="1" x14ac:dyDescent="0.3">
      <c r="A70" s="894" t="s">
        <v>217</v>
      </c>
      <c r="B70" s="895"/>
      <c r="C70" s="414">
        <f t="shared" ref="C70:S70" si="60">SUM(C69:C69)</f>
        <v>13600</v>
      </c>
      <c r="D70" s="414">
        <f t="shared" si="60"/>
        <v>13600</v>
      </c>
      <c r="E70" s="414">
        <f t="shared" si="60"/>
        <v>13600</v>
      </c>
      <c r="F70" s="414">
        <f t="shared" si="60"/>
        <v>13600</v>
      </c>
      <c r="G70" s="414">
        <f t="shared" si="60"/>
        <v>13600</v>
      </c>
      <c r="H70" s="414">
        <f t="shared" si="60"/>
        <v>13600</v>
      </c>
      <c r="I70" s="414">
        <f t="shared" si="60"/>
        <v>13600</v>
      </c>
      <c r="J70" s="414">
        <f t="shared" si="60"/>
        <v>13600</v>
      </c>
      <c r="K70" s="414">
        <f t="shared" si="60"/>
        <v>13600</v>
      </c>
      <c r="L70" s="414">
        <f t="shared" si="60"/>
        <v>13600</v>
      </c>
      <c r="M70" s="414">
        <f t="shared" si="60"/>
        <v>13600</v>
      </c>
      <c r="N70" s="414">
        <f t="shared" si="60"/>
        <v>13600</v>
      </c>
      <c r="O70" s="414">
        <f t="shared" ref="O70:P70" si="61">SUM(O69:O69)</f>
        <v>13600</v>
      </c>
      <c r="P70" s="414">
        <f t="shared" si="61"/>
        <v>13600</v>
      </c>
      <c r="Q70" s="414">
        <f t="shared" ref="Q70:R70" si="62">SUM(Q69:Q69)</f>
        <v>13600</v>
      </c>
      <c r="R70" s="414">
        <f t="shared" si="62"/>
        <v>13600</v>
      </c>
      <c r="S70" s="414">
        <f t="shared" si="60"/>
        <v>12070</v>
      </c>
      <c r="T70" s="728">
        <f t="shared" si="56"/>
        <v>0.88749999999999996</v>
      </c>
      <c r="U70" s="27">
        <f t="shared" ref="U70:AG72" si="63">D70-C70</f>
        <v>0</v>
      </c>
      <c r="V70" s="27">
        <f t="shared" si="63"/>
        <v>0</v>
      </c>
      <c r="W70" s="27">
        <f t="shared" si="63"/>
        <v>0</v>
      </c>
      <c r="X70" s="27">
        <f t="shared" si="63"/>
        <v>0</v>
      </c>
      <c r="Y70" s="27">
        <f t="shared" si="63"/>
        <v>0</v>
      </c>
      <c r="Z70" s="27">
        <f t="shared" si="63"/>
        <v>0</v>
      </c>
      <c r="AA70" s="27">
        <f t="shared" si="63"/>
        <v>0</v>
      </c>
      <c r="AB70" s="27">
        <f t="shared" si="63"/>
        <v>0</v>
      </c>
      <c r="AC70" s="27">
        <f t="shared" si="63"/>
        <v>0</v>
      </c>
      <c r="AD70" s="27">
        <f t="shared" si="63"/>
        <v>0</v>
      </c>
      <c r="AE70" s="27">
        <f t="shared" si="63"/>
        <v>0</v>
      </c>
      <c r="AF70" s="27">
        <f t="shared" si="63"/>
        <v>0</v>
      </c>
      <c r="AG70" s="27">
        <f t="shared" si="63"/>
        <v>0</v>
      </c>
      <c r="AH70" s="27">
        <f t="shared" ref="AH70:AH72" si="64">Q70-P70</f>
        <v>0</v>
      </c>
      <c r="AI70" s="27">
        <f t="shared" ref="AI70:AI72" si="65">R70-Q70</f>
        <v>0</v>
      </c>
    </row>
    <row r="71" spans="1:35" ht="19.5" customHeight="1" thickBot="1" x14ac:dyDescent="0.3">
      <c r="A71" s="896" t="s">
        <v>59</v>
      </c>
      <c r="B71" s="897"/>
      <c r="C71" s="99">
        <f t="shared" ref="C71:S71" si="66">C68+C70</f>
        <v>18700</v>
      </c>
      <c r="D71" s="99">
        <f t="shared" si="66"/>
        <v>18700</v>
      </c>
      <c r="E71" s="99">
        <f t="shared" si="66"/>
        <v>18700</v>
      </c>
      <c r="F71" s="99">
        <f t="shared" si="66"/>
        <v>18700</v>
      </c>
      <c r="G71" s="99">
        <f t="shared" si="66"/>
        <v>18700</v>
      </c>
      <c r="H71" s="99">
        <f t="shared" si="66"/>
        <v>18700</v>
      </c>
      <c r="I71" s="99">
        <f t="shared" si="66"/>
        <v>18700</v>
      </c>
      <c r="J71" s="99">
        <f t="shared" si="66"/>
        <v>18700</v>
      </c>
      <c r="K71" s="99">
        <f t="shared" si="66"/>
        <v>18700</v>
      </c>
      <c r="L71" s="99">
        <f t="shared" si="66"/>
        <v>18700</v>
      </c>
      <c r="M71" s="99">
        <f t="shared" si="66"/>
        <v>18700</v>
      </c>
      <c r="N71" s="99">
        <f t="shared" si="66"/>
        <v>18700</v>
      </c>
      <c r="O71" s="99">
        <f t="shared" ref="O71:P71" si="67">O68+O70</f>
        <v>18700</v>
      </c>
      <c r="P71" s="99">
        <f t="shared" si="67"/>
        <v>18700</v>
      </c>
      <c r="Q71" s="99">
        <f t="shared" ref="Q71:R71" si="68">Q68+Q70</f>
        <v>17700</v>
      </c>
      <c r="R71" s="99">
        <f t="shared" si="68"/>
        <v>17700</v>
      </c>
      <c r="S71" s="99">
        <f t="shared" si="66"/>
        <v>14279</v>
      </c>
      <c r="T71" s="728">
        <f t="shared" si="56"/>
        <v>0.80672316384180787</v>
      </c>
      <c r="U71" s="27">
        <f t="shared" si="63"/>
        <v>0</v>
      </c>
      <c r="V71" s="27">
        <f t="shared" si="63"/>
        <v>0</v>
      </c>
      <c r="W71" s="27">
        <f t="shared" si="63"/>
        <v>0</v>
      </c>
      <c r="X71" s="27">
        <f t="shared" si="63"/>
        <v>0</v>
      </c>
      <c r="Y71" s="27">
        <f t="shared" si="63"/>
        <v>0</v>
      </c>
      <c r="Z71" s="27">
        <f t="shared" si="63"/>
        <v>0</v>
      </c>
      <c r="AA71" s="27">
        <f t="shared" si="63"/>
        <v>0</v>
      </c>
      <c r="AB71" s="27">
        <f t="shared" si="63"/>
        <v>0</v>
      </c>
      <c r="AC71" s="27">
        <f t="shared" si="63"/>
        <v>0</v>
      </c>
      <c r="AD71" s="27">
        <f t="shared" si="63"/>
        <v>0</v>
      </c>
      <c r="AE71" s="27">
        <f t="shared" si="63"/>
        <v>0</v>
      </c>
      <c r="AF71" s="27">
        <f t="shared" si="63"/>
        <v>0</v>
      </c>
      <c r="AG71" s="27">
        <f t="shared" si="63"/>
        <v>0</v>
      </c>
      <c r="AH71" s="27">
        <f t="shared" si="64"/>
        <v>-1000</v>
      </c>
      <c r="AI71" s="27">
        <f t="shared" si="65"/>
        <v>0</v>
      </c>
    </row>
    <row r="72" spans="1:35" ht="30.75" customHeight="1" thickBot="1" x14ac:dyDescent="0.3">
      <c r="A72" s="85" t="s">
        <v>60</v>
      </c>
      <c r="B72" s="66"/>
      <c r="C72" s="86">
        <f t="shared" ref="C72:S72" si="69">C65+C71</f>
        <v>2971575</v>
      </c>
      <c r="D72" s="86">
        <f t="shared" si="69"/>
        <v>2971247</v>
      </c>
      <c r="E72" s="86">
        <f t="shared" si="69"/>
        <v>2988357</v>
      </c>
      <c r="F72" s="86">
        <f t="shared" si="69"/>
        <v>2981581</v>
      </c>
      <c r="G72" s="86">
        <f t="shared" si="69"/>
        <v>2981581</v>
      </c>
      <c r="H72" s="86">
        <f t="shared" si="69"/>
        <v>2981581</v>
      </c>
      <c r="I72" s="86">
        <f t="shared" si="69"/>
        <v>2993537</v>
      </c>
      <c r="J72" s="86">
        <f t="shared" si="69"/>
        <v>2994461</v>
      </c>
      <c r="K72" s="86">
        <f t="shared" si="69"/>
        <v>3092290</v>
      </c>
      <c r="L72" s="86">
        <f t="shared" si="69"/>
        <v>3093835</v>
      </c>
      <c r="M72" s="86">
        <f t="shared" si="69"/>
        <v>3093835</v>
      </c>
      <c r="N72" s="86">
        <f t="shared" si="69"/>
        <v>3098234</v>
      </c>
      <c r="O72" s="86">
        <f t="shared" ref="O72:P72" si="70">O65+O71</f>
        <v>3100431</v>
      </c>
      <c r="P72" s="86">
        <f t="shared" si="70"/>
        <v>3102031</v>
      </c>
      <c r="Q72" s="86">
        <f t="shared" ref="Q72:R72" si="71">Q65+Q71</f>
        <v>3101031</v>
      </c>
      <c r="R72" s="86">
        <f t="shared" si="71"/>
        <v>3142312</v>
      </c>
      <c r="S72" s="86">
        <f t="shared" si="69"/>
        <v>2289236.2999999998</v>
      </c>
      <c r="T72" s="728">
        <f t="shared" si="56"/>
        <v>0.72851973324100205</v>
      </c>
      <c r="U72" s="27">
        <f t="shared" si="63"/>
        <v>-328</v>
      </c>
      <c r="V72" s="27">
        <f t="shared" si="63"/>
        <v>17110</v>
      </c>
      <c r="W72" s="27">
        <f t="shared" si="63"/>
        <v>-6776</v>
      </c>
      <c r="X72" s="27">
        <f t="shared" si="63"/>
        <v>0</v>
      </c>
      <c r="Y72" s="27">
        <f t="shared" si="63"/>
        <v>0</v>
      </c>
      <c r="Z72" s="27">
        <f t="shared" si="63"/>
        <v>11956</v>
      </c>
      <c r="AA72" s="27">
        <f t="shared" si="63"/>
        <v>924</v>
      </c>
      <c r="AB72" s="27">
        <f t="shared" si="63"/>
        <v>97829</v>
      </c>
      <c r="AC72" s="27">
        <f t="shared" si="63"/>
        <v>1545</v>
      </c>
      <c r="AD72" s="27">
        <f t="shared" si="63"/>
        <v>0</v>
      </c>
      <c r="AE72" s="27">
        <f t="shared" si="63"/>
        <v>4399</v>
      </c>
      <c r="AF72" s="27">
        <f t="shared" si="63"/>
        <v>2197</v>
      </c>
      <c r="AG72" s="27">
        <f t="shared" si="63"/>
        <v>1600</v>
      </c>
      <c r="AH72" s="27">
        <f t="shared" si="64"/>
        <v>-1000</v>
      </c>
      <c r="AI72" s="27">
        <f t="shared" si="65"/>
        <v>41281</v>
      </c>
    </row>
    <row r="73" spans="1:35" x14ac:dyDescent="0.25">
      <c r="A73" s="1"/>
      <c r="B73" s="1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728"/>
      <c r="U73" s="1"/>
    </row>
    <row r="74" spans="1:35" ht="15.75" x14ac:dyDescent="0.25">
      <c r="A74" s="101"/>
      <c r="B74" s="102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728"/>
      <c r="U74" s="1"/>
    </row>
    <row r="75" spans="1:35" ht="18.75" thickBot="1" x14ac:dyDescent="0.3">
      <c r="A75" s="898" t="s">
        <v>61</v>
      </c>
      <c r="B75" s="899"/>
      <c r="C75" s="899"/>
      <c r="D75" s="899"/>
      <c r="E75" s="899"/>
      <c r="F75" s="899"/>
      <c r="G75" s="899"/>
      <c r="H75" s="899"/>
      <c r="I75" s="899"/>
      <c r="J75" s="899"/>
      <c r="K75" s="899"/>
      <c r="L75" s="899"/>
      <c r="M75" s="899"/>
      <c r="N75" s="899"/>
      <c r="O75" s="899"/>
      <c r="P75" s="899"/>
      <c r="Q75" s="899"/>
      <c r="R75" s="899"/>
      <c r="S75" s="899"/>
      <c r="T75" s="728"/>
      <c r="U75" s="1"/>
    </row>
    <row r="76" spans="1:35" ht="36" customHeight="1" thickBot="1" x14ac:dyDescent="0.3">
      <c r="A76" s="876" t="s">
        <v>1</v>
      </c>
      <c r="B76" s="900"/>
      <c r="C76" s="387" t="s">
        <v>467</v>
      </c>
      <c r="D76" s="387" t="s">
        <v>465</v>
      </c>
      <c r="E76" s="387" t="s">
        <v>483</v>
      </c>
      <c r="F76" s="387" t="s">
        <v>500</v>
      </c>
      <c r="G76" s="387" t="s">
        <v>533</v>
      </c>
      <c r="H76" s="387" t="s">
        <v>578</v>
      </c>
      <c r="I76" s="387" t="s">
        <v>610</v>
      </c>
      <c r="J76" s="387" t="s">
        <v>579</v>
      </c>
      <c r="K76" s="387" t="s">
        <v>646</v>
      </c>
      <c r="L76" s="387" t="s">
        <v>637</v>
      </c>
      <c r="M76" s="387" t="s">
        <v>670</v>
      </c>
      <c r="N76" s="387" t="s">
        <v>680</v>
      </c>
      <c r="O76" s="387" t="s">
        <v>749</v>
      </c>
      <c r="P76" s="387" t="s">
        <v>774</v>
      </c>
      <c r="Q76" s="387" t="s">
        <v>783</v>
      </c>
      <c r="R76" s="387" t="s">
        <v>784</v>
      </c>
      <c r="S76" s="387" t="s">
        <v>853</v>
      </c>
      <c r="T76" s="728"/>
      <c r="U76" s="1"/>
    </row>
    <row r="77" spans="1:35" ht="15.75" thickBot="1" x14ac:dyDescent="0.3">
      <c r="A77" s="104" t="s">
        <v>62</v>
      </c>
      <c r="B77" s="105"/>
      <c r="C77" s="108">
        <f t="shared" ref="C77:S77" si="72">SUM(C78:C82)</f>
        <v>317110</v>
      </c>
      <c r="D77" s="108">
        <f t="shared" si="72"/>
        <v>317090</v>
      </c>
      <c r="E77" s="108">
        <f t="shared" si="72"/>
        <v>317090</v>
      </c>
      <c r="F77" s="108">
        <f t="shared" si="72"/>
        <v>317090</v>
      </c>
      <c r="G77" s="108">
        <f t="shared" si="72"/>
        <v>317090</v>
      </c>
      <c r="H77" s="108">
        <f t="shared" si="72"/>
        <v>317090</v>
      </c>
      <c r="I77" s="108">
        <f t="shared" si="72"/>
        <v>317090</v>
      </c>
      <c r="J77" s="108">
        <f t="shared" si="72"/>
        <v>317090</v>
      </c>
      <c r="K77" s="108">
        <f t="shared" si="72"/>
        <v>367915</v>
      </c>
      <c r="L77" s="108">
        <f t="shared" si="72"/>
        <v>367915</v>
      </c>
      <c r="M77" s="108">
        <f t="shared" si="72"/>
        <v>367915</v>
      </c>
      <c r="N77" s="108">
        <f t="shared" si="72"/>
        <v>367974</v>
      </c>
      <c r="O77" s="108">
        <f t="shared" ref="O77:P77" si="73">SUM(O78:O82)</f>
        <v>367974</v>
      </c>
      <c r="P77" s="108">
        <f t="shared" si="73"/>
        <v>367974</v>
      </c>
      <c r="Q77" s="108">
        <f t="shared" ref="Q77:R77" si="74">SUM(Q78:Q82)</f>
        <v>367974</v>
      </c>
      <c r="R77" s="108">
        <f t="shared" si="74"/>
        <v>365377</v>
      </c>
      <c r="S77" s="108">
        <f t="shared" si="72"/>
        <v>256936</v>
      </c>
      <c r="T77" s="728">
        <f t="shared" si="56"/>
        <v>0.70320791949137462</v>
      </c>
      <c r="U77" s="1"/>
    </row>
    <row r="78" spans="1:35" x14ac:dyDescent="0.25">
      <c r="A78" s="109" t="s">
        <v>63</v>
      </c>
      <c r="B78" s="84" t="s">
        <v>64</v>
      </c>
      <c r="C78" s="56">
        <v>155310</v>
      </c>
      <c r="D78" s="56">
        <v>155310</v>
      </c>
      <c r="E78" s="56">
        <v>155310</v>
      </c>
      <c r="F78" s="56">
        <v>155310</v>
      </c>
      <c r="G78" s="56">
        <v>155310</v>
      </c>
      <c r="H78" s="56">
        <v>155310</v>
      </c>
      <c r="I78" s="56">
        <v>155310</v>
      </c>
      <c r="J78" s="56">
        <v>155310</v>
      </c>
      <c r="K78" s="705">
        <f>155310+50605</f>
        <v>205915</v>
      </c>
      <c r="L78" s="56">
        <f>155310+50605</f>
        <v>205915</v>
      </c>
      <c r="M78" s="56">
        <f>155310+50605</f>
        <v>205915</v>
      </c>
      <c r="N78" s="705">
        <f>155310+50605+59</f>
        <v>205974</v>
      </c>
      <c r="O78" s="56">
        <f>155310+50605+59</f>
        <v>205974</v>
      </c>
      <c r="P78" s="56">
        <f>155310+50605+59</f>
        <v>205974</v>
      </c>
      <c r="Q78" s="56">
        <f t="shared" ref="Q78" si="75">155310+50605+59</f>
        <v>205974</v>
      </c>
      <c r="R78" s="705">
        <f>155310+50605+59-2597</f>
        <v>203377</v>
      </c>
      <c r="S78" s="56">
        <v>142894</v>
      </c>
      <c r="T78" s="728">
        <f t="shared" si="56"/>
        <v>0.70260648942604131</v>
      </c>
      <c r="U78" s="1"/>
    </row>
    <row r="79" spans="1:35" x14ac:dyDescent="0.25">
      <c r="A79" s="113" t="s">
        <v>65</v>
      </c>
      <c r="B79" s="114" t="s">
        <v>66</v>
      </c>
      <c r="C79" s="61">
        <v>91700</v>
      </c>
      <c r="D79" s="61">
        <v>91700</v>
      </c>
      <c r="E79" s="61">
        <v>91700</v>
      </c>
      <c r="F79" s="61">
        <v>91700</v>
      </c>
      <c r="G79" s="61">
        <v>91700</v>
      </c>
      <c r="H79" s="61">
        <v>91700</v>
      </c>
      <c r="I79" s="61">
        <v>91700</v>
      </c>
      <c r="J79" s="61">
        <v>91700</v>
      </c>
      <c r="K79" s="61">
        <v>91700</v>
      </c>
      <c r="L79" s="61">
        <v>91700</v>
      </c>
      <c r="M79" s="61">
        <v>91700</v>
      </c>
      <c r="N79" s="61">
        <v>91700</v>
      </c>
      <c r="O79" s="61">
        <v>91700</v>
      </c>
      <c r="P79" s="61">
        <v>91700</v>
      </c>
      <c r="Q79" s="61">
        <v>91700</v>
      </c>
      <c r="R79" s="61">
        <v>91700</v>
      </c>
      <c r="S79" s="61">
        <v>74980</v>
      </c>
      <c r="T79" s="728">
        <f t="shared" si="56"/>
        <v>0.81766630316248634</v>
      </c>
      <c r="U79" s="1"/>
    </row>
    <row r="80" spans="1:35" x14ac:dyDescent="0.25">
      <c r="A80" s="113" t="s">
        <v>67</v>
      </c>
      <c r="B80" s="114" t="s">
        <v>68</v>
      </c>
      <c r="C80" s="61">
        <v>5200</v>
      </c>
      <c r="D80" s="61">
        <v>5200</v>
      </c>
      <c r="E80" s="61">
        <v>5200</v>
      </c>
      <c r="F80" s="61">
        <v>5200</v>
      </c>
      <c r="G80" s="61">
        <v>5200</v>
      </c>
      <c r="H80" s="61">
        <v>5200</v>
      </c>
      <c r="I80" s="61">
        <v>5200</v>
      </c>
      <c r="J80" s="61">
        <v>5200</v>
      </c>
      <c r="K80" s="61">
        <v>5200</v>
      </c>
      <c r="L80" s="61">
        <v>5200</v>
      </c>
      <c r="M80" s="61">
        <v>5200</v>
      </c>
      <c r="N80" s="61">
        <v>5200</v>
      </c>
      <c r="O80" s="61">
        <v>5200</v>
      </c>
      <c r="P80" s="61">
        <v>5200</v>
      </c>
      <c r="Q80" s="61">
        <v>5200</v>
      </c>
      <c r="R80" s="61">
        <v>5200</v>
      </c>
      <c r="S80" s="61">
        <v>2412</v>
      </c>
      <c r="T80" s="728">
        <f t="shared" si="56"/>
        <v>0.46384615384615385</v>
      </c>
      <c r="U80" s="1"/>
    </row>
    <row r="81" spans="1:21" x14ac:dyDescent="0.25">
      <c r="A81" s="117" t="s">
        <v>69</v>
      </c>
      <c r="B81" s="114" t="s">
        <v>70</v>
      </c>
      <c r="C81" s="61">
        <v>64900</v>
      </c>
      <c r="D81" s="695">
        <f t="shared" ref="D81:J81" si="76">64900-10-10</f>
        <v>64880</v>
      </c>
      <c r="E81" s="61">
        <f t="shared" si="76"/>
        <v>64880</v>
      </c>
      <c r="F81" s="61">
        <f t="shared" si="76"/>
        <v>64880</v>
      </c>
      <c r="G81" s="61">
        <f t="shared" si="76"/>
        <v>64880</v>
      </c>
      <c r="H81" s="61">
        <f t="shared" si="76"/>
        <v>64880</v>
      </c>
      <c r="I81" s="61">
        <f t="shared" si="76"/>
        <v>64880</v>
      </c>
      <c r="J81" s="61">
        <f t="shared" si="76"/>
        <v>64880</v>
      </c>
      <c r="K81" s="695">
        <f t="shared" ref="K81:R81" si="77">64900-10-10+220</f>
        <v>65100</v>
      </c>
      <c r="L81" s="61">
        <f t="shared" si="77"/>
        <v>65100</v>
      </c>
      <c r="M81" s="61">
        <f t="shared" si="77"/>
        <v>65100</v>
      </c>
      <c r="N81" s="61">
        <f t="shared" si="77"/>
        <v>65100</v>
      </c>
      <c r="O81" s="61">
        <f t="shared" si="77"/>
        <v>65100</v>
      </c>
      <c r="P81" s="61">
        <f t="shared" si="77"/>
        <v>65100</v>
      </c>
      <c r="Q81" s="61">
        <f t="shared" si="77"/>
        <v>65100</v>
      </c>
      <c r="R81" s="61">
        <f t="shared" si="77"/>
        <v>65100</v>
      </c>
      <c r="S81" s="61">
        <v>36650</v>
      </c>
      <c r="T81" s="728">
        <f t="shared" si="56"/>
        <v>0.56298003072196623</v>
      </c>
      <c r="U81" s="1"/>
    </row>
    <row r="82" spans="1:21" ht="15.75" thickBot="1" x14ac:dyDescent="0.3">
      <c r="A82" s="119" t="s">
        <v>71</v>
      </c>
      <c r="B82" s="120" t="s">
        <v>196</v>
      </c>
      <c r="C82" s="124">
        <v>0</v>
      </c>
      <c r="D82" s="124">
        <v>0</v>
      </c>
      <c r="E82" s="124">
        <v>0</v>
      </c>
      <c r="F82" s="124">
        <v>0</v>
      </c>
      <c r="G82" s="124">
        <v>0</v>
      </c>
      <c r="H82" s="124">
        <v>0</v>
      </c>
      <c r="I82" s="124">
        <v>0</v>
      </c>
      <c r="J82" s="124">
        <v>0</v>
      </c>
      <c r="K82" s="124">
        <v>0</v>
      </c>
      <c r="L82" s="124">
        <v>0</v>
      </c>
      <c r="M82" s="124">
        <v>0</v>
      </c>
      <c r="N82" s="124">
        <v>0</v>
      </c>
      <c r="O82" s="124">
        <v>0</v>
      </c>
      <c r="P82" s="124">
        <v>0</v>
      </c>
      <c r="Q82" s="124">
        <v>0</v>
      </c>
      <c r="R82" s="124">
        <v>0</v>
      </c>
      <c r="S82" s="124">
        <v>0</v>
      </c>
      <c r="T82" s="728">
        <v>0</v>
      </c>
      <c r="U82" s="1"/>
    </row>
    <row r="83" spans="1:21" ht="15.75" thickBot="1" x14ac:dyDescent="0.3">
      <c r="A83" s="125" t="s">
        <v>72</v>
      </c>
      <c r="B83" s="126"/>
      <c r="C83" s="108">
        <f t="shared" ref="C83:S83" si="78">SUM(C84)</f>
        <v>2670</v>
      </c>
      <c r="D83" s="108">
        <f t="shared" si="78"/>
        <v>2685</v>
      </c>
      <c r="E83" s="108">
        <f t="shared" si="78"/>
        <v>2685</v>
      </c>
      <c r="F83" s="108">
        <f t="shared" si="78"/>
        <v>2685</v>
      </c>
      <c r="G83" s="108">
        <f t="shared" si="78"/>
        <v>2685</v>
      </c>
      <c r="H83" s="108">
        <f t="shared" si="78"/>
        <v>2685</v>
      </c>
      <c r="I83" s="108">
        <f t="shared" si="78"/>
        <v>2685</v>
      </c>
      <c r="J83" s="108">
        <f t="shared" si="78"/>
        <v>2685</v>
      </c>
      <c r="K83" s="108">
        <f t="shared" si="78"/>
        <v>2685</v>
      </c>
      <c r="L83" s="108">
        <f t="shared" si="78"/>
        <v>2685</v>
      </c>
      <c r="M83" s="108">
        <f t="shared" si="78"/>
        <v>2685</v>
      </c>
      <c r="N83" s="108">
        <f t="shared" si="78"/>
        <v>2685</v>
      </c>
      <c r="O83" s="108">
        <f t="shared" si="78"/>
        <v>2685</v>
      </c>
      <c r="P83" s="108">
        <f t="shared" si="78"/>
        <v>2685</v>
      </c>
      <c r="Q83" s="108">
        <f t="shared" si="78"/>
        <v>2685</v>
      </c>
      <c r="R83" s="108">
        <f t="shared" si="78"/>
        <v>2685</v>
      </c>
      <c r="S83" s="108">
        <f t="shared" si="78"/>
        <v>2097</v>
      </c>
      <c r="T83" s="728">
        <f t="shared" si="56"/>
        <v>0.78100558659217878</v>
      </c>
      <c r="U83" s="1"/>
    </row>
    <row r="84" spans="1:21" ht="15.75" thickBot="1" x14ac:dyDescent="0.3">
      <c r="A84" s="127" t="s">
        <v>73</v>
      </c>
      <c r="B84" s="102" t="s">
        <v>219</v>
      </c>
      <c r="C84" s="130">
        <v>2670</v>
      </c>
      <c r="D84" s="713">
        <f t="shared" ref="D84:R84" si="79">2670+15</f>
        <v>2685</v>
      </c>
      <c r="E84" s="130">
        <f t="shared" si="79"/>
        <v>2685</v>
      </c>
      <c r="F84" s="130">
        <f t="shared" si="79"/>
        <v>2685</v>
      </c>
      <c r="G84" s="130">
        <f t="shared" si="79"/>
        <v>2685</v>
      </c>
      <c r="H84" s="130">
        <f t="shared" si="79"/>
        <v>2685</v>
      </c>
      <c r="I84" s="130">
        <f t="shared" si="79"/>
        <v>2685</v>
      </c>
      <c r="J84" s="130">
        <f t="shared" si="79"/>
        <v>2685</v>
      </c>
      <c r="K84" s="130">
        <f t="shared" si="79"/>
        <v>2685</v>
      </c>
      <c r="L84" s="130">
        <f t="shared" si="79"/>
        <v>2685</v>
      </c>
      <c r="M84" s="130">
        <f t="shared" si="79"/>
        <v>2685</v>
      </c>
      <c r="N84" s="130">
        <f t="shared" si="79"/>
        <v>2685</v>
      </c>
      <c r="O84" s="130">
        <f t="shared" si="79"/>
        <v>2685</v>
      </c>
      <c r="P84" s="130">
        <f t="shared" si="79"/>
        <v>2685</v>
      </c>
      <c r="Q84" s="130">
        <f t="shared" si="79"/>
        <v>2685</v>
      </c>
      <c r="R84" s="130">
        <f t="shared" si="79"/>
        <v>2685</v>
      </c>
      <c r="S84" s="130">
        <v>2097</v>
      </c>
      <c r="T84" s="728">
        <f t="shared" si="56"/>
        <v>0.78100558659217878</v>
      </c>
      <c r="U84" s="1"/>
    </row>
    <row r="85" spans="1:21" ht="15.75" thickBot="1" x14ac:dyDescent="0.3">
      <c r="A85" s="125" t="s">
        <v>74</v>
      </c>
      <c r="B85" s="126"/>
      <c r="C85" s="108">
        <f t="shared" ref="C85:S85" si="80">SUM(C86:C87)</f>
        <v>96625</v>
      </c>
      <c r="D85" s="108">
        <f t="shared" si="80"/>
        <v>97008</v>
      </c>
      <c r="E85" s="108">
        <f t="shared" si="80"/>
        <v>94508</v>
      </c>
      <c r="F85" s="108">
        <f t="shared" si="80"/>
        <v>94508</v>
      </c>
      <c r="G85" s="108">
        <f t="shared" si="80"/>
        <v>94508</v>
      </c>
      <c r="H85" s="108">
        <f t="shared" si="80"/>
        <v>94508</v>
      </c>
      <c r="I85" s="108">
        <f t="shared" si="80"/>
        <v>94508</v>
      </c>
      <c r="J85" s="108">
        <f t="shared" si="80"/>
        <v>94508</v>
      </c>
      <c r="K85" s="108">
        <f t="shared" si="80"/>
        <v>94508</v>
      </c>
      <c r="L85" s="108">
        <f t="shared" si="80"/>
        <v>94508</v>
      </c>
      <c r="M85" s="108">
        <f t="shared" ref="M85:N85" si="81">SUM(M86:M87)</f>
        <v>94508</v>
      </c>
      <c r="N85" s="108">
        <f t="shared" si="81"/>
        <v>94508</v>
      </c>
      <c r="O85" s="108">
        <f t="shared" ref="O85:P85" si="82">SUM(O86:O87)</f>
        <v>94508</v>
      </c>
      <c r="P85" s="108">
        <f t="shared" si="82"/>
        <v>94508</v>
      </c>
      <c r="Q85" s="108">
        <f t="shared" ref="Q85:R85" si="83">SUM(Q86:Q87)</f>
        <v>94508</v>
      </c>
      <c r="R85" s="108">
        <f t="shared" si="83"/>
        <v>124533</v>
      </c>
      <c r="S85" s="108">
        <f t="shared" si="80"/>
        <v>58059</v>
      </c>
      <c r="T85" s="728">
        <f t="shared" si="56"/>
        <v>0.46621377466213776</v>
      </c>
      <c r="U85" s="1"/>
    </row>
    <row r="86" spans="1:21" x14ac:dyDescent="0.25">
      <c r="A86" s="131" t="s">
        <v>75</v>
      </c>
      <c r="B86" s="132" t="s">
        <v>76</v>
      </c>
      <c r="C86" s="135">
        <v>17600</v>
      </c>
      <c r="D86" s="135">
        <v>17600</v>
      </c>
      <c r="E86" s="759">
        <f t="shared" ref="E86:R86" si="84">17600-2500</f>
        <v>15100</v>
      </c>
      <c r="F86" s="135">
        <f t="shared" si="84"/>
        <v>15100</v>
      </c>
      <c r="G86" s="135">
        <f t="shared" si="84"/>
        <v>15100</v>
      </c>
      <c r="H86" s="135">
        <f t="shared" si="84"/>
        <v>15100</v>
      </c>
      <c r="I86" s="135">
        <f t="shared" si="84"/>
        <v>15100</v>
      </c>
      <c r="J86" s="135">
        <f t="shared" si="84"/>
        <v>15100</v>
      </c>
      <c r="K86" s="135">
        <f t="shared" si="84"/>
        <v>15100</v>
      </c>
      <c r="L86" s="135">
        <f t="shared" si="84"/>
        <v>15100</v>
      </c>
      <c r="M86" s="135">
        <f t="shared" si="84"/>
        <v>15100</v>
      </c>
      <c r="N86" s="135">
        <f t="shared" si="84"/>
        <v>15100</v>
      </c>
      <c r="O86" s="135">
        <f t="shared" si="84"/>
        <v>15100</v>
      </c>
      <c r="P86" s="135">
        <f t="shared" si="84"/>
        <v>15100</v>
      </c>
      <c r="Q86" s="135">
        <f t="shared" si="84"/>
        <v>15100</v>
      </c>
      <c r="R86" s="135">
        <f t="shared" si="84"/>
        <v>15100</v>
      </c>
      <c r="S86" s="135">
        <v>8612</v>
      </c>
      <c r="T86" s="728">
        <f t="shared" si="56"/>
        <v>0.57033112582781453</v>
      </c>
      <c r="U86" s="1"/>
    </row>
    <row r="87" spans="1:21" ht="15.75" thickBot="1" x14ac:dyDescent="0.3">
      <c r="A87" s="136" t="s">
        <v>77</v>
      </c>
      <c r="B87" s="137" t="s">
        <v>78</v>
      </c>
      <c r="C87" s="124">
        <v>79025</v>
      </c>
      <c r="D87" s="714">
        <f t="shared" ref="D87:Q87" si="85">79025+383</f>
        <v>79408</v>
      </c>
      <c r="E87" s="124">
        <f t="shared" si="85"/>
        <v>79408</v>
      </c>
      <c r="F87" s="124">
        <f t="shared" si="85"/>
        <v>79408</v>
      </c>
      <c r="G87" s="124">
        <f t="shared" si="85"/>
        <v>79408</v>
      </c>
      <c r="H87" s="124">
        <f t="shared" si="85"/>
        <v>79408</v>
      </c>
      <c r="I87" s="124">
        <f t="shared" si="85"/>
        <v>79408</v>
      </c>
      <c r="J87" s="124">
        <f t="shared" si="85"/>
        <v>79408</v>
      </c>
      <c r="K87" s="124">
        <f t="shared" si="85"/>
        <v>79408</v>
      </c>
      <c r="L87" s="124">
        <f t="shared" si="85"/>
        <v>79408</v>
      </c>
      <c r="M87" s="124">
        <f t="shared" si="85"/>
        <v>79408</v>
      </c>
      <c r="N87" s="124">
        <f t="shared" si="85"/>
        <v>79408</v>
      </c>
      <c r="O87" s="124">
        <f t="shared" si="85"/>
        <v>79408</v>
      </c>
      <c r="P87" s="124">
        <f t="shared" si="85"/>
        <v>79408</v>
      </c>
      <c r="Q87" s="124">
        <f t="shared" si="85"/>
        <v>79408</v>
      </c>
      <c r="R87" s="714">
        <f>79025+383+30025</f>
        <v>109433</v>
      </c>
      <c r="S87" s="124">
        <v>49447</v>
      </c>
      <c r="T87" s="728">
        <f t="shared" si="56"/>
        <v>0.45184724900167228</v>
      </c>
      <c r="U87" s="1"/>
    </row>
    <row r="88" spans="1:21" ht="15.75" thickBot="1" x14ac:dyDescent="0.3">
      <c r="A88" s="104" t="s">
        <v>79</v>
      </c>
      <c r="B88" s="140"/>
      <c r="C88" s="108">
        <f t="shared" ref="C88:S88" si="86">SUM(C89:C91)</f>
        <v>122230</v>
      </c>
      <c r="D88" s="108">
        <f t="shared" si="86"/>
        <v>122300</v>
      </c>
      <c r="E88" s="108">
        <f t="shared" si="86"/>
        <v>122300</v>
      </c>
      <c r="F88" s="108">
        <f t="shared" si="86"/>
        <v>122300</v>
      </c>
      <c r="G88" s="108">
        <f t="shared" si="86"/>
        <v>117000</v>
      </c>
      <c r="H88" s="108">
        <f t="shared" si="86"/>
        <v>117000</v>
      </c>
      <c r="I88" s="108">
        <f t="shared" si="86"/>
        <v>117015</v>
      </c>
      <c r="J88" s="108">
        <f t="shared" si="86"/>
        <v>117015</v>
      </c>
      <c r="K88" s="108">
        <f t="shared" si="86"/>
        <v>117015</v>
      </c>
      <c r="L88" s="108">
        <f t="shared" si="86"/>
        <v>117015</v>
      </c>
      <c r="M88" s="108">
        <f t="shared" si="86"/>
        <v>115015</v>
      </c>
      <c r="N88" s="108">
        <f t="shared" si="86"/>
        <v>108070</v>
      </c>
      <c r="O88" s="108">
        <f t="shared" ref="O88:P88" si="87">SUM(O89:O91)</f>
        <v>108070</v>
      </c>
      <c r="P88" s="108">
        <f t="shared" si="87"/>
        <v>108070</v>
      </c>
      <c r="Q88" s="108">
        <f t="shared" ref="Q88:R88" si="88">SUM(Q89:Q91)</f>
        <v>108070</v>
      </c>
      <c r="R88" s="108">
        <f t="shared" si="88"/>
        <v>108070</v>
      </c>
      <c r="S88" s="108">
        <f t="shared" si="86"/>
        <v>57202</v>
      </c>
      <c r="T88" s="728">
        <f t="shared" si="56"/>
        <v>0.5293050800407143</v>
      </c>
      <c r="U88" s="1"/>
    </row>
    <row r="89" spans="1:21" x14ac:dyDescent="0.25">
      <c r="A89" s="141" t="s">
        <v>80</v>
      </c>
      <c r="B89" s="142" t="s">
        <v>81</v>
      </c>
      <c r="C89" s="55">
        <v>44750</v>
      </c>
      <c r="D89" s="55">
        <v>44750</v>
      </c>
      <c r="E89" s="55">
        <v>44750</v>
      </c>
      <c r="F89" s="55">
        <v>44750</v>
      </c>
      <c r="G89" s="55">
        <v>44750</v>
      </c>
      <c r="H89" s="55">
        <v>44750</v>
      </c>
      <c r="I89" s="55">
        <v>44750</v>
      </c>
      <c r="J89" s="55">
        <v>44750</v>
      </c>
      <c r="K89" s="55">
        <v>44750</v>
      </c>
      <c r="L89" s="55">
        <v>44750</v>
      </c>
      <c r="M89" s="55">
        <v>44750</v>
      </c>
      <c r="N89" s="55">
        <v>44750</v>
      </c>
      <c r="O89" s="55">
        <v>44750</v>
      </c>
      <c r="P89" s="55">
        <v>44750</v>
      </c>
      <c r="Q89" s="55">
        <v>44750</v>
      </c>
      <c r="R89" s="55">
        <v>44750</v>
      </c>
      <c r="S89" s="55">
        <v>34026</v>
      </c>
      <c r="T89" s="728">
        <f t="shared" si="56"/>
        <v>0.76035754189944138</v>
      </c>
      <c r="U89" s="1"/>
    </row>
    <row r="90" spans="1:21" x14ac:dyDescent="0.25">
      <c r="A90" s="117" t="s">
        <v>82</v>
      </c>
      <c r="B90" s="114" t="s">
        <v>83</v>
      </c>
      <c r="C90" s="60">
        <v>39680</v>
      </c>
      <c r="D90" s="694">
        <f>39680+70</f>
        <v>39750</v>
      </c>
      <c r="E90" s="60">
        <f>39680+70</f>
        <v>39750</v>
      </c>
      <c r="F90" s="60">
        <f>39680+70</f>
        <v>39750</v>
      </c>
      <c r="G90" s="694">
        <f>39680+70-5300</f>
        <v>34450</v>
      </c>
      <c r="H90" s="60">
        <f>39680+70-5300</f>
        <v>34450</v>
      </c>
      <c r="I90" s="694">
        <f t="shared" ref="I90:M90" si="89">39680+70-5300+15</f>
        <v>34465</v>
      </c>
      <c r="J90" s="60">
        <f t="shared" si="89"/>
        <v>34465</v>
      </c>
      <c r="K90" s="60">
        <f t="shared" si="89"/>
        <v>34465</v>
      </c>
      <c r="L90" s="60">
        <f t="shared" si="89"/>
        <v>34465</v>
      </c>
      <c r="M90" s="60">
        <f t="shared" si="89"/>
        <v>34465</v>
      </c>
      <c r="N90" s="694">
        <f>39680+70-5300+15-6945</f>
        <v>27520</v>
      </c>
      <c r="O90" s="60">
        <f>39680+70-5300+15-6945</f>
        <v>27520</v>
      </c>
      <c r="P90" s="60">
        <f>39680+70-5300+15-6945</f>
        <v>27520</v>
      </c>
      <c r="Q90" s="60">
        <f t="shared" ref="Q90:R90" si="90">39680+70-5300+15-6945</f>
        <v>27520</v>
      </c>
      <c r="R90" s="60">
        <f t="shared" si="90"/>
        <v>27520</v>
      </c>
      <c r="S90" s="60">
        <v>10573</v>
      </c>
      <c r="T90" s="728">
        <f t="shared" si="56"/>
        <v>0.38419331395348838</v>
      </c>
      <c r="U90" s="1"/>
    </row>
    <row r="91" spans="1:21" ht="15.75" thickBot="1" x14ac:dyDescent="0.3">
      <c r="A91" s="117" t="s">
        <v>84</v>
      </c>
      <c r="B91" s="114" t="s">
        <v>85</v>
      </c>
      <c r="C91" s="60">
        <v>37800</v>
      </c>
      <c r="D91" s="60">
        <v>37800</v>
      </c>
      <c r="E91" s="60">
        <v>37800</v>
      </c>
      <c r="F91" s="60">
        <v>37800</v>
      </c>
      <c r="G91" s="60">
        <v>37800</v>
      </c>
      <c r="H91" s="60">
        <v>37800</v>
      </c>
      <c r="I91" s="60">
        <v>37800</v>
      </c>
      <c r="J91" s="60">
        <v>37800</v>
      </c>
      <c r="K91" s="60">
        <v>37800</v>
      </c>
      <c r="L91" s="60">
        <v>37800</v>
      </c>
      <c r="M91" s="694">
        <f>37800-2000</f>
        <v>35800</v>
      </c>
      <c r="N91" s="60">
        <f>37800-2000</f>
        <v>35800</v>
      </c>
      <c r="O91" s="60">
        <f>37800-2000</f>
        <v>35800</v>
      </c>
      <c r="P91" s="60">
        <f>37800-2000</f>
        <v>35800</v>
      </c>
      <c r="Q91" s="60">
        <f t="shared" ref="Q91:R91" si="91">37800-2000</f>
        <v>35800</v>
      </c>
      <c r="R91" s="60">
        <f t="shared" si="91"/>
        <v>35800</v>
      </c>
      <c r="S91" s="60">
        <v>12603</v>
      </c>
      <c r="T91" s="728">
        <f t="shared" si="56"/>
        <v>0.35203910614525141</v>
      </c>
      <c r="U91" s="1"/>
    </row>
    <row r="92" spans="1:21" ht="15.75" thickBot="1" x14ac:dyDescent="0.3">
      <c r="A92" s="901" t="s">
        <v>86</v>
      </c>
      <c r="B92" s="902"/>
      <c r="C92" s="108">
        <f t="shared" ref="C92:S92" si="92">SUM(C93:C96)</f>
        <v>148830</v>
      </c>
      <c r="D92" s="108">
        <f t="shared" si="92"/>
        <v>148830</v>
      </c>
      <c r="E92" s="108">
        <f t="shared" si="92"/>
        <v>173440</v>
      </c>
      <c r="F92" s="108">
        <f t="shared" si="92"/>
        <v>173440</v>
      </c>
      <c r="G92" s="108">
        <f t="shared" si="92"/>
        <v>173440</v>
      </c>
      <c r="H92" s="108">
        <f t="shared" si="92"/>
        <v>173440</v>
      </c>
      <c r="I92" s="108">
        <f t="shared" si="92"/>
        <v>173440</v>
      </c>
      <c r="J92" s="108">
        <f t="shared" si="92"/>
        <v>173440</v>
      </c>
      <c r="K92" s="108">
        <f t="shared" si="92"/>
        <v>173820</v>
      </c>
      <c r="L92" s="108">
        <f t="shared" si="92"/>
        <v>173820</v>
      </c>
      <c r="M92" s="108">
        <f t="shared" ref="M92:N92" si="93">SUM(M93:M96)</f>
        <v>175820</v>
      </c>
      <c r="N92" s="108">
        <f t="shared" si="93"/>
        <v>175820</v>
      </c>
      <c r="O92" s="108">
        <f t="shared" ref="O92:P92" si="94">SUM(O93:O96)</f>
        <v>175820</v>
      </c>
      <c r="P92" s="108">
        <f t="shared" si="94"/>
        <v>175820</v>
      </c>
      <c r="Q92" s="108">
        <f t="shared" ref="Q92:R92" si="95">SUM(Q93:Q96)</f>
        <v>175820</v>
      </c>
      <c r="R92" s="108">
        <f t="shared" si="95"/>
        <v>175820</v>
      </c>
      <c r="S92" s="108">
        <f t="shared" si="92"/>
        <v>107991</v>
      </c>
      <c r="T92" s="728">
        <f t="shared" si="56"/>
        <v>0.61421340006825165</v>
      </c>
      <c r="U92" s="1"/>
    </row>
    <row r="93" spans="1:21" x14ac:dyDescent="0.25">
      <c r="A93" s="149" t="s">
        <v>87</v>
      </c>
      <c r="B93" s="150" t="s">
        <v>88</v>
      </c>
      <c r="C93" s="135">
        <v>95830</v>
      </c>
      <c r="D93" s="135">
        <v>95830</v>
      </c>
      <c r="E93" s="135">
        <v>95830</v>
      </c>
      <c r="F93" s="135">
        <v>95830</v>
      </c>
      <c r="G93" s="135">
        <v>95830</v>
      </c>
      <c r="H93" s="135">
        <v>95830</v>
      </c>
      <c r="I93" s="135">
        <v>95830</v>
      </c>
      <c r="J93" s="135">
        <v>95830</v>
      </c>
      <c r="K93" s="759">
        <f>95830+380</f>
        <v>96210</v>
      </c>
      <c r="L93" s="135">
        <f>95830+380</f>
        <v>96210</v>
      </c>
      <c r="M93" s="759">
        <f>95830+380+2000</f>
        <v>98210</v>
      </c>
      <c r="N93" s="135">
        <f>95830+380+2000</f>
        <v>98210</v>
      </c>
      <c r="O93" s="135">
        <f>95830+380+2000</f>
        <v>98210</v>
      </c>
      <c r="P93" s="759">
        <f>95830+380+2000+9885-9885</f>
        <v>98210</v>
      </c>
      <c r="Q93" s="135">
        <f t="shared" ref="Q93:R93" si="96">95830+380+2000+9885-9885</f>
        <v>98210</v>
      </c>
      <c r="R93" s="135">
        <f t="shared" si="96"/>
        <v>98210</v>
      </c>
      <c r="S93" s="135">
        <v>63440</v>
      </c>
      <c r="T93" s="728">
        <f t="shared" si="56"/>
        <v>0.64596273291925466</v>
      </c>
      <c r="U93" s="1"/>
    </row>
    <row r="94" spans="1:21" x14ac:dyDescent="0.25">
      <c r="A94" s="117" t="s">
        <v>89</v>
      </c>
      <c r="B94" s="114" t="s">
        <v>90</v>
      </c>
      <c r="C94" s="148">
        <v>39000</v>
      </c>
      <c r="D94" s="148">
        <v>39000</v>
      </c>
      <c r="E94" s="757">
        <f t="shared" ref="E94:R94" si="97">39000-1575</f>
        <v>37425</v>
      </c>
      <c r="F94" s="148">
        <f t="shared" si="97"/>
        <v>37425</v>
      </c>
      <c r="G94" s="148">
        <f t="shared" si="97"/>
        <v>37425</v>
      </c>
      <c r="H94" s="148">
        <f t="shared" si="97"/>
        <v>37425</v>
      </c>
      <c r="I94" s="148">
        <f t="shared" si="97"/>
        <v>37425</v>
      </c>
      <c r="J94" s="148">
        <f t="shared" si="97"/>
        <v>37425</v>
      </c>
      <c r="K94" s="148">
        <f t="shared" si="97"/>
        <v>37425</v>
      </c>
      <c r="L94" s="148">
        <f t="shared" si="97"/>
        <v>37425</v>
      </c>
      <c r="M94" s="148">
        <f t="shared" si="97"/>
        <v>37425</v>
      </c>
      <c r="N94" s="148">
        <f t="shared" si="97"/>
        <v>37425</v>
      </c>
      <c r="O94" s="148">
        <f t="shared" si="97"/>
        <v>37425</v>
      </c>
      <c r="P94" s="148">
        <f t="shared" si="97"/>
        <v>37425</v>
      </c>
      <c r="Q94" s="148">
        <f t="shared" si="97"/>
        <v>37425</v>
      </c>
      <c r="R94" s="148">
        <f t="shared" si="97"/>
        <v>37425</v>
      </c>
      <c r="S94" s="148">
        <v>24369</v>
      </c>
      <c r="T94" s="728">
        <f t="shared" si="56"/>
        <v>0.65114228456913825</v>
      </c>
      <c r="U94" s="1"/>
    </row>
    <row r="95" spans="1:21" x14ac:dyDescent="0.25">
      <c r="A95" s="127" t="s">
        <v>91</v>
      </c>
      <c r="B95" s="155" t="s">
        <v>92</v>
      </c>
      <c r="C95" s="159">
        <v>2000</v>
      </c>
      <c r="D95" s="159">
        <v>2000</v>
      </c>
      <c r="E95" s="159">
        <v>2000</v>
      </c>
      <c r="F95" s="159">
        <v>2000</v>
      </c>
      <c r="G95" s="159">
        <v>2000</v>
      </c>
      <c r="H95" s="159">
        <v>2000</v>
      </c>
      <c r="I95" s="159">
        <v>2000</v>
      </c>
      <c r="J95" s="159">
        <v>2000</v>
      </c>
      <c r="K95" s="159">
        <v>2000</v>
      </c>
      <c r="L95" s="159">
        <v>2000</v>
      </c>
      <c r="M95" s="159">
        <v>2000</v>
      </c>
      <c r="N95" s="159">
        <v>2000</v>
      </c>
      <c r="O95" s="159">
        <v>2000</v>
      </c>
      <c r="P95" s="159">
        <v>2000</v>
      </c>
      <c r="Q95" s="159">
        <v>2000</v>
      </c>
      <c r="R95" s="159">
        <v>2000</v>
      </c>
      <c r="S95" s="159">
        <v>1778</v>
      </c>
      <c r="T95" s="728">
        <f t="shared" si="56"/>
        <v>0.88900000000000001</v>
      </c>
      <c r="U95" s="1"/>
    </row>
    <row r="96" spans="1:21" ht="15.75" thickBot="1" x14ac:dyDescent="0.3">
      <c r="A96" s="160" t="s">
        <v>93</v>
      </c>
      <c r="B96" s="161" t="s">
        <v>94</v>
      </c>
      <c r="C96" s="170">
        <v>12000</v>
      </c>
      <c r="D96" s="170">
        <v>12000</v>
      </c>
      <c r="E96" s="758">
        <f t="shared" ref="E96:R96" si="98">12000+26185</f>
        <v>38185</v>
      </c>
      <c r="F96" s="170">
        <f t="shared" si="98"/>
        <v>38185</v>
      </c>
      <c r="G96" s="170">
        <f t="shared" si="98"/>
        <v>38185</v>
      </c>
      <c r="H96" s="170">
        <f t="shared" si="98"/>
        <v>38185</v>
      </c>
      <c r="I96" s="170">
        <f t="shared" si="98"/>
        <v>38185</v>
      </c>
      <c r="J96" s="170">
        <f t="shared" si="98"/>
        <v>38185</v>
      </c>
      <c r="K96" s="170">
        <f t="shared" si="98"/>
        <v>38185</v>
      </c>
      <c r="L96" s="170">
        <f t="shared" si="98"/>
        <v>38185</v>
      </c>
      <c r="M96" s="170">
        <f t="shared" si="98"/>
        <v>38185</v>
      </c>
      <c r="N96" s="170">
        <f t="shared" si="98"/>
        <v>38185</v>
      </c>
      <c r="O96" s="170">
        <f t="shared" si="98"/>
        <v>38185</v>
      </c>
      <c r="P96" s="170">
        <f t="shared" si="98"/>
        <v>38185</v>
      </c>
      <c r="Q96" s="170">
        <f t="shared" si="98"/>
        <v>38185</v>
      </c>
      <c r="R96" s="170">
        <f t="shared" si="98"/>
        <v>38185</v>
      </c>
      <c r="S96" s="164">
        <v>18404</v>
      </c>
      <c r="T96" s="728">
        <f t="shared" si="56"/>
        <v>0.48196935969621579</v>
      </c>
      <c r="U96" s="1"/>
    </row>
    <row r="97" spans="1:23" ht="15.75" thickBot="1" x14ac:dyDescent="0.3">
      <c r="A97" s="104" t="s">
        <v>95</v>
      </c>
      <c r="B97" s="140"/>
      <c r="C97" s="106">
        <f t="shared" ref="C97:S97" si="99">SUM(C98:C101)</f>
        <v>222450</v>
      </c>
      <c r="D97" s="106">
        <f t="shared" si="99"/>
        <v>222450</v>
      </c>
      <c r="E97" s="106">
        <f t="shared" si="99"/>
        <v>208450</v>
      </c>
      <c r="F97" s="106">
        <f t="shared" si="99"/>
        <v>208450</v>
      </c>
      <c r="G97" s="106">
        <f t="shared" si="99"/>
        <v>208450</v>
      </c>
      <c r="H97" s="106">
        <f t="shared" si="99"/>
        <v>208450</v>
      </c>
      <c r="I97" s="106">
        <f t="shared" si="99"/>
        <v>208450</v>
      </c>
      <c r="J97" s="106">
        <f t="shared" si="99"/>
        <v>208450</v>
      </c>
      <c r="K97" s="106">
        <f t="shared" si="99"/>
        <v>208450</v>
      </c>
      <c r="L97" s="106">
        <f t="shared" si="99"/>
        <v>206795</v>
      </c>
      <c r="M97" s="106">
        <f t="shared" ref="M97:N97" si="100">SUM(M98:M101)</f>
        <v>207795</v>
      </c>
      <c r="N97" s="106">
        <f t="shared" si="100"/>
        <v>207795</v>
      </c>
      <c r="O97" s="106">
        <f t="shared" ref="O97:P97" si="101">SUM(O98:O101)</f>
        <v>207795</v>
      </c>
      <c r="P97" s="106">
        <f t="shared" si="101"/>
        <v>207795</v>
      </c>
      <c r="Q97" s="106">
        <f t="shared" ref="Q97:R97" si="102">SUM(Q98:Q101)</f>
        <v>207795</v>
      </c>
      <c r="R97" s="106">
        <f t="shared" si="102"/>
        <v>207795</v>
      </c>
      <c r="S97" s="106">
        <f t="shared" si="99"/>
        <v>115570</v>
      </c>
      <c r="T97" s="728">
        <f t="shared" si="56"/>
        <v>0.55617315142327772</v>
      </c>
      <c r="U97" s="1"/>
    </row>
    <row r="98" spans="1:23" x14ac:dyDescent="0.25">
      <c r="A98" s="141" t="s">
        <v>96</v>
      </c>
      <c r="B98" s="84" t="s">
        <v>97</v>
      </c>
      <c r="C98" s="112">
        <v>168170</v>
      </c>
      <c r="D98" s="112">
        <v>168170</v>
      </c>
      <c r="E98" s="112">
        <v>168170</v>
      </c>
      <c r="F98" s="112">
        <v>168170</v>
      </c>
      <c r="G98" s="112">
        <v>168170</v>
      </c>
      <c r="H98" s="112">
        <v>168170</v>
      </c>
      <c r="I98" s="112">
        <v>168170</v>
      </c>
      <c r="J98" s="112">
        <v>168170</v>
      </c>
      <c r="K98" s="112">
        <v>168170</v>
      </c>
      <c r="L98" s="792">
        <f>168170-1655</f>
        <v>166515</v>
      </c>
      <c r="M98" s="112">
        <f>168170-1655</f>
        <v>166515</v>
      </c>
      <c r="N98" s="112">
        <f>168170-1655</f>
        <v>166515</v>
      </c>
      <c r="O98" s="112">
        <f>168170-1655</f>
        <v>166515</v>
      </c>
      <c r="P98" s="112">
        <f>168170-1655</f>
        <v>166515</v>
      </c>
      <c r="Q98" s="112">
        <f t="shared" ref="Q98:R98" si="103">168170-1655</f>
        <v>166515</v>
      </c>
      <c r="R98" s="112">
        <f t="shared" si="103"/>
        <v>166515</v>
      </c>
      <c r="S98" s="112">
        <v>90386</v>
      </c>
      <c r="T98" s="728">
        <f t="shared" si="56"/>
        <v>0.5428099570609255</v>
      </c>
      <c r="U98" s="1"/>
    </row>
    <row r="99" spans="1:23" x14ac:dyDescent="0.25">
      <c r="A99" s="141" t="s">
        <v>301</v>
      </c>
      <c r="B99" s="84" t="s">
        <v>321</v>
      </c>
      <c r="C99" s="112">
        <v>1580</v>
      </c>
      <c r="D99" s="112">
        <v>1580</v>
      </c>
      <c r="E99" s="112">
        <v>1580</v>
      </c>
      <c r="F99" s="112">
        <v>1580</v>
      </c>
      <c r="G99" s="112">
        <v>1580</v>
      </c>
      <c r="H99" s="112">
        <v>1580</v>
      </c>
      <c r="I99" s="112">
        <v>1580</v>
      </c>
      <c r="J99" s="112">
        <v>1580</v>
      </c>
      <c r="K99" s="112">
        <v>1580</v>
      </c>
      <c r="L99" s="112">
        <v>1580</v>
      </c>
      <c r="M99" s="112">
        <v>1580</v>
      </c>
      <c r="N99" s="112">
        <v>1580</v>
      </c>
      <c r="O99" s="112">
        <v>1580</v>
      </c>
      <c r="P99" s="112">
        <v>1580</v>
      </c>
      <c r="Q99" s="112">
        <v>1580</v>
      </c>
      <c r="R99" s="112">
        <v>1580</v>
      </c>
      <c r="S99" s="112">
        <v>0</v>
      </c>
      <c r="T99" s="728">
        <f t="shared" si="56"/>
        <v>0</v>
      </c>
      <c r="U99" s="1"/>
    </row>
    <row r="100" spans="1:23" x14ac:dyDescent="0.25">
      <c r="A100" s="166" t="s">
        <v>98</v>
      </c>
      <c r="B100" s="114" t="s">
        <v>99</v>
      </c>
      <c r="C100" s="148">
        <v>35700</v>
      </c>
      <c r="D100" s="148">
        <v>35700</v>
      </c>
      <c r="E100" s="757">
        <f t="shared" ref="E100:L100" si="104">35700-14000</f>
        <v>21700</v>
      </c>
      <c r="F100" s="148">
        <f t="shared" si="104"/>
        <v>21700</v>
      </c>
      <c r="G100" s="148">
        <f t="shared" si="104"/>
        <v>21700</v>
      </c>
      <c r="H100" s="148">
        <f t="shared" si="104"/>
        <v>21700</v>
      </c>
      <c r="I100" s="148">
        <f t="shared" si="104"/>
        <v>21700</v>
      </c>
      <c r="J100" s="148">
        <f t="shared" si="104"/>
        <v>21700</v>
      </c>
      <c r="K100" s="148">
        <f t="shared" si="104"/>
        <v>21700</v>
      </c>
      <c r="L100" s="148">
        <f t="shared" si="104"/>
        <v>21700</v>
      </c>
      <c r="M100" s="757">
        <f>35700-14000+1000</f>
        <v>22700</v>
      </c>
      <c r="N100" s="148">
        <f>35700-14000+1000</f>
        <v>22700</v>
      </c>
      <c r="O100" s="148">
        <f>35700-14000+1000</f>
        <v>22700</v>
      </c>
      <c r="P100" s="148">
        <f>35700-14000+1000</f>
        <v>22700</v>
      </c>
      <c r="Q100" s="148">
        <f t="shared" ref="Q100:R100" si="105">35700-14000+1000</f>
        <v>22700</v>
      </c>
      <c r="R100" s="148">
        <f t="shared" si="105"/>
        <v>22700</v>
      </c>
      <c r="S100" s="148">
        <v>16365</v>
      </c>
      <c r="T100" s="728">
        <f t="shared" si="56"/>
        <v>0.72092511013215854</v>
      </c>
      <c r="U100" s="1"/>
    </row>
    <row r="101" spans="1:23" ht="15.75" thickBot="1" x14ac:dyDescent="0.3">
      <c r="A101" s="167" t="s">
        <v>100</v>
      </c>
      <c r="B101" s="161" t="s">
        <v>101</v>
      </c>
      <c r="C101" s="170">
        <v>17000</v>
      </c>
      <c r="D101" s="170">
        <v>17000</v>
      </c>
      <c r="E101" s="170">
        <v>17000</v>
      </c>
      <c r="F101" s="170">
        <v>17000</v>
      </c>
      <c r="G101" s="170">
        <v>17000</v>
      </c>
      <c r="H101" s="170">
        <v>17000</v>
      </c>
      <c r="I101" s="170">
        <v>17000</v>
      </c>
      <c r="J101" s="170">
        <v>17000</v>
      </c>
      <c r="K101" s="170">
        <v>17000</v>
      </c>
      <c r="L101" s="170">
        <v>17000</v>
      </c>
      <c r="M101" s="170">
        <v>17000</v>
      </c>
      <c r="N101" s="170">
        <v>17000</v>
      </c>
      <c r="O101" s="170">
        <v>17000</v>
      </c>
      <c r="P101" s="170">
        <v>17000</v>
      </c>
      <c r="Q101" s="170">
        <v>17000</v>
      </c>
      <c r="R101" s="170">
        <v>17000</v>
      </c>
      <c r="S101" s="170">
        <v>8819</v>
      </c>
      <c r="T101" s="728">
        <f t="shared" si="56"/>
        <v>0.51876470588235291</v>
      </c>
      <c r="U101" s="1"/>
    </row>
    <row r="102" spans="1:23" ht="15.75" thickBot="1" x14ac:dyDescent="0.3">
      <c r="A102" s="171" t="s">
        <v>102</v>
      </c>
      <c r="B102" s="172"/>
      <c r="C102" s="173">
        <f t="shared" ref="C102:S102" si="106">SUM(C103:C105)</f>
        <v>850</v>
      </c>
      <c r="D102" s="173">
        <f t="shared" si="106"/>
        <v>850</v>
      </c>
      <c r="E102" s="173">
        <f t="shared" si="106"/>
        <v>850</v>
      </c>
      <c r="F102" s="173">
        <f t="shared" si="106"/>
        <v>850</v>
      </c>
      <c r="G102" s="173">
        <f t="shared" si="106"/>
        <v>850</v>
      </c>
      <c r="H102" s="173">
        <f t="shared" si="106"/>
        <v>850</v>
      </c>
      <c r="I102" s="173">
        <f t="shared" si="106"/>
        <v>850</v>
      </c>
      <c r="J102" s="173">
        <f t="shared" si="106"/>
        <v>850</v>
      </c>
      <c r="K102" s="173">
        <f t="shared" si="106"/>
        <v>850</v>
      </c>
      <c r="L102" s="173">
        <f t="shared" si="106"/>
        <v>850</v>
      </c>
      <c r="M102" s="173">
        <f t="shared" si="106"/>
        <v>850</v>
      </c>
      <c r="N102" s="173">
        <f t="shared" si="106"/>
        <v>850</v>
      </c>
      <c r="O102" s="173">
        <f t="shared" ref="O102:P102" si="107">SUM(O103:O105)</f>
        <v>850</v>
      </c>
      <c r="P102" s="173">
        <f t="shared" si="107"/>
        <v>850</v>
      </c>
      <c r="Q102" s="173">
        <f t="shared" ref="Q102:R102" si="108">SUM(Q103:Q105)</f>
        <v>850</v>
      </c>
      <c r="R102" s="173">
        <f t="shared" si="108"/>
        <v>850</v>
      </c>
      <c r="S102" s="173">
        <f t="shared" si="106"/>
        <v>267</v>
      </c>
      <c r="T102" s="728">
        <f t="shared" si="56"/>
        <v>0.31411764705882356</v>
      </c>
      <c r="U102" s="1"/>
    </row>
    <row r="103" spans="1:23" x14ac:dyDescent="0.25">
      <c r="A103" s="131" t="s">
        <v>103</v>
      </c>
      <c r="B103" s="150" t="s">
        <v>104</v>
      </c>
      <c r="C103" s="177">
        <v>100</v>
      </c>
      <c r="D103" s="177">
        <v>100</v>
      </c>
      <c r="E103" s="177">
        <v>100</v>
      </c>
      <c r="F103" s="177">
        <v>100</v>
      </c>
      <c r="G103" s="177">
        <v>100</v>
      </c>
      <c r="H103" s="177">
        <v>100</v>
      </c>
      <c r="I103" s="177">
        <v>100</v>
      </c>
      <c r="J103" s="177">
        <v>100</v>
      </c>
      <c r="K103" s="177">
        <v>100</v>
      </c>
      <c r="L103" s="177">
        <v>100</v>
      </c>
      <c r="M103" s="177">
        <v>100</v>
      </c>
      <c r="N103" s="177">
        <v>100</v>
      </c>
      <c r="O103" s="177">
        <v>100</v>
      </c>
      <c r="P103" s="177">
        <v>100</v>
      </c>
      <c r="Q103" s="177">
        <v>100</v>
      </c>
      <c r="R103" s="177">
        <v>100</v>
      </c>
      <c r="S103" s="177">
        <v>43</v>
      </c>
      <c r="T103" s="728">
        <f t="shared" si="56"/>
        <v>0.43</v>
      </c>
      <c r="U103" s="1"/>
    </row>
    <row r="104" spans="1:23" x14ac:dyDescent="0.25">
      <c r="A104" s="166" t="s">
        <v>105</v>
      </c>
      <c r="B104" s="114" t="s">
        <v>106</v>
      </c>
      <c r="C104" s="180">
        <v>100</v>
      </c>
      <c r="D104" s="180">
        <v>100</v>
      </c>
      <c r="E104" s="180">
        <v>100</v>
      </c>
      <c r="F104" s="180">
        <v>100</v>
      </c>
      <c r="G104" s="180">
        <v>100</v>
      </c>
      <c r="H104" s="180">
        <v>100</v>
      </c>
      <c r="I104" s="180">
        <v>100</v>
      </c>
      <c r="J104" s="180">
        <v>100</v>
      </c>
      <c r="K104" s="180">
        <v>100</v>
      </c>
      <c r="L104" s="180">
        <v>100</v>
      </c>
      <c r="M104" s="180">
        <v>100</v>
      </c>
      <c r="N104" s="180">
        <v>100</v>
      </c>
      <c r="O104" s="180">
        <v>100</v>
      </c>
      <c r="P104" s="180">
        <v>100</v>
      </c>
      <c r="Q104" s="180">
        <v>100</v>
      </c>
      <c r="R104" s="180">
        <v>100</v>
      </c>
      <c r="S104" s="180">
        <v>24</v>
      </c>
      <c r="T104" s="728">
        <f t="shared" si="56"/>
        <v>0.24</v>
      </c>
      <c r="U104" s="1"/>
    </row>
    <row r="105" spans="1:23" ht="15.75" thickBot="1" x14ac:dyDescent="0.3">
      <c r="A105" s="720" t="s">
        <v>107</v>
      </c>
      <c r="B105" s="721" t="s">
        <v>108</v>
      </c>
      <c r="C105" s="208">
        <v>650</v>
      </c>
      <c r="D105" s="208">
        <v>650</v>
      </c>
      <c r="E105" s="208">
        <v>650</v>
      </c>
      <c r="F105" s="208">
        <v>650</v>
      </c>
      <c r="G105" s="208">
        <v>650</v>
      </c>
      <c r="H105" s="208">
        <v>650</v>
      </c>
      <c r="I105" s="208">
        <v>650</v>
      </c>
      <c r="J105" s="208">
        <v>650</v>
      </c>
      <c r="K105" s="208">
        <v>650</v>
      </c>
      <c r="L105" s="208">
        <v>650</v>
      </c>
      <c r="M105" s="208">
        <v>650</v>
      </c>
      <c r="N105" s="208">
        <v>650</v>
      </c>
      <c r="O105" s="208">
        <v>650</v>
      </c>
      <c r="P105" s="208">
        <v>650</v>
      </c>
      <c r="Q105" s="208">
        <v>650</v>
      </c>
      <c r="R105" s="208">
        <v>650</v>
      </c>
      <c r="S105" s="208">
        <v>200</v>
      </c>
      <c r="T105" s="728">
        <f t="shared" si="56"/>
        <v>0.30769230769230771</v>
      </c>
      <c r="U105" s="1"/>
    </row>
    <row r="106" spans="1:23" ht="15.75" thickBot="1" x14ac:dyDescent="0.3">
      <c r="A106" s="722" t="s">
        <v>110</v>
      </c>
      <c r="B106" s="105"/>
      <c r="C106" s="106">
        <f t="shared" ref="C106:S106" si="109">SUM(C107:C111)</f>
        <v>131700</v>
      </c>
      <c r="D106" s="106">
        <f t="shared" si="109"/>
        <v>131700</v>
      </c>
      <c r="E106" s="106">
        <f t="shared" si="109"/>
        <v>132000</v>
      </c>
      <c r="F106" s="106">
        <f t="shared" si="109"/>
        <v>132000</v>
      </c>
      <c r="G106" s="106">
        <f t="shared" si="109"/>
        <v>132000</v>
      </c>
      <c r="H106" s="106">
        <f t="shared" si="109"/>
        <v>132000</v>
      </c>
      <c r="I106" s="106">
        <f t="shared" si="109"/>
        <v>138000</v>
      </c>
      <c r="J106" s="106">
        <f t="shared" si="109"/>
        <v>138924</v>
      </c>
      <c r="K106" s="106">
        <f t="shared" si="109"/>
        <v>141924</v>
      </c>
      <c r="L106" s="106">
        <f t="shared" si="109"/>
        <v>149124</v>
      </c>
      <c r="M106" s="106">
        <f t="shared" si="109"/>
        <v>148124</v>
      </c>
      <c r="N106" s="106">
        <f t="shared" si="109"/>
        <v>151124</v>
      </c>
      <c r="O106" s="106">
        <f t="shared" ref="O106:P106" si="110">SUM(O107:O111)</f>
        <v>151124</v>
      </c>
      <c r="P106" s="106">
        <f t="shared" si="110"/>
        <v>152124</v>
      </c>
      <c r="Q106" s="106">
        <f t="shared" ref="Q106:R106" si="111">SUM(Q107:Q111)</f>
        <v>152124</v>
      </c>
      <c r="R106" s="106">
        <f t="shared" si="111"/>
        <v>152124</v>
      </c>
      <c r="S106" s="106">
        <f t="shared" si="109"/>
        <v>89481</v>
      </c>
      <c r="T106" s="728">
        <f t="shared" si="56"/>
        <v>0.58821093318608508</v>
      </c>
      <c r="U106" s="1"/>
    </row>
    <row r="107" spans="1:23" x14ac:dyDescent="0.25">
      <c r="A107" s="149" t="s">
        <v>111</v>
      </c>
      <c r="B107" s="150" t="s">
        <v>112</v>
      </c>
      <c r="C107" s="135">
        <v>40000</v>
      </c>
      <c r="D107" s="135">
        <v>40000</v>
      </c>
      <c r="E107" s="759">
        <f t="shared" ref="E107:R107" si="112">40000-2000</f>
        <v>38000</v>
      </c>
      <c r="F107" s="135">
        <f t="shared" si="112"/>
        <v>38000</v>
      </c>
      <c r="G107" s="135">
        <f t="shared" si="112"/>
        <v>38000</v>
      </c>
      <c r="H107" s="135">
        <f t="shared" si="112"/>
        <v>38000</v>
      </c>
      <c r="I107" s="135">
        <f t="shared" si="112"/>
        <v>38000</v>
      </c>
      <c r="J107" s="135">
        <f t="shared" si="112"/>
        <v>38000</v>
      </c>
      <c r="K107" s="135">
        <f t="shared" si="112"/>
        <v>38000</v>
      </c>
      <c r="L107" s="135">
        <f t="shared" si="112"/>
        <v>38000</v>
      </c>
      <c r="M107" s="135">
        <f t="shared" si="112"/>
        <v>38000</v>
      </c>
      <c r="N107" s="135">
        <f t="shared" si="112"/>
        <v>38000</v>
      </c>
      <c r="O107" s="135">
        <f t="shared" si="112"/>
        <v>38000</v>
      </c>
      <c r="P107" s="135">
        <f t="shared" si="112"/>
        <v>38000</v>
      </c>
      <c r="Q107" s="135">
        <f t="shared" si="112"/>
        <v>38000</v>
      </c>
      <c r="R107" s="135">
        <f t="shared" si="112"/>
        <v>38000</v>
      </c>
      <c r="S107" s="135">
        <v>25063</v>
      </c>
      <c r="T107" s="728">
        <f t="shared" si="56"/>
        <v>0.65955263157894739</v>
      </c>
      <c r="U107" s="1"/>
    </row>
    <row r="108" spans="1:23" x14ac:dyDescent="0.25">
      <c r="A108" s="192" t="s">
        <v>113</v>
      </c>
      <c r="B108" s="193" t="s">
        <v>114</v>
      </c>
      <c r="C108" s="55">
        <v>61600</v>
      </c>
      <c r="D108" s="55">
        <v>61600</v>
      </c>
      <c r="E108" s="716">
        <f>61600+1700</f>
        <v>63300</v>
      </c>
      <c r="F108" s="55">
        <f>61600+1700</f>
        <v>63300</v>
      </c>
      <c r="G108" s="55">
        <f>61600+1700</f>
        <v>63300</v>
      </c>
      <c r="H108" s="55">
        <f>61600+1700</f>
        <v>63300</v>
      </c>
      <c r="I108" s="716">
        <f>61600+1700+2000+4000</f>
        <v>69300</v>
      </c>
      <c r="J108" s="55">
        <f>61600+1700+2000+4000</f>
        <v>69300</v>
      </c>
      <c r="K108" s="55">
        <f>61600+1700+2000+4000+3000</f>
        <v>72300</v>
      </c>
      <c r="L108" s="716">
        <f>61600+1700+2000+4000+3000+7200</f>
        <v>79500</v>
      </c>
      <c r="M108" s="55">
        <f>61600+1700+2000+4000+3000+7200</f>
        <v>79500</v>
      </c>
      <c r="N108" s="716">
        <f>61600+1700+2000+4000+3000+7200+3000</f>
        <v>82500</v>
      </c>
      <c r="O108" s="55">
        <f>61600+1700+2000+4000+3000+7200+3000</f>
        <v>82500</v>
      </c>
      <c r="P108" s="716">
        <f>61600+1700+2000+4000+3000+7200+3000+1000</f>
        <v>83500</v>
      </c>
      <c r="Q108" s="55">
        <f t="shared" ref="Q108:R108" si="113">61600+1700+2000+4000+3000+7200+3000+1000</f>
        <v>83500</v>
      </c>
      <c r="R108" s="55">
        <f t="shared" si="113"/>
        <v>83500</v>
      </c>
      <c r="S108" s="55">
        <v>48401</v>
      </c>
      <c r="T108" s="728">
        <f t="shared" si="56"/>
        <v>0.5796526946107784</v>
      </c>
      <c r="U108" s="1"/>
    </row>
    <row r="109" spans="1:23" x14ac:dyDescent="0.25">
      <c r="A109" s="192" t="s">
        <v>115</v>
      </c>
      <c r="B109" s="84" t="s">
        <v>116</v>
      </c>
      <c r="C109" s="55">
        <v>5900</v>
      </c>
      <c r="D109" s="55">
        <v>5900</v>
      </c>
      <c r="E109" s="55">
        <v>5900</v>
      </c>
      <c r="F109" s="55">
        <v>5900</v>
      </c>
      <c r="G109" s="55">
        <v>5900</v>
      </c>
      <c r="H109" s="55">
        <v>5900</v>
      </c>
      <c r="I109" s="55">
        <v>5900</v>
      </c>
      <c r="J109" s="55">
        <v>5900</v>
      </c>
      <c r="K109" s="55">
        <v>5900</v>
      </c>
      <c r="L109" s="55">
        <v>5900</v>
      </c>
      <c r="M109" s="55">
        <v>5900</v>
      </c>
      <c r="N109" s="55">
        <v>5900</v>
      </c>
      <c r="O109" s="55">
        <v>5900</v>
      </c>
      <c r="P109" s="55">
        <v>5900</v>
      </c>
      <c r="Q109" s="55">
        <v>5900</v>
      </c>
      <c r="R109" s="55">
        <v>5900</v>
      </c>
      <c r="S109" s="55">
        <v>4491</v>
      </c>
      <c r="T109" s="728">
        <f t="shared" si="56"/>
        <v>0.76118644067796615</v>
      </c>
      <c r="U109" s="1"/>
    </row>
    <row r="110" spans="1:23" x14ac:dyDescent="0.25">
      <c r="A110" s="192" t="s">
        <v>117</v>
      </c>
      <c r="B110" s="84" t="s">
        <v>118</v>
      </c>
      <c r="C110" s="55">
        <v>22400</v>
      </c>
      <c r="D110" s="55">
        <v>22400</v>
      </c>
      <c r="E110" s="55">
        <v>22400</v>
      </c>
      <c r="F110" s="55">
        <v>22400</v>
      </c>
      <c r="G110" s="55">
        <v>22400</v>
      </c>
      <c r="H110" s="55">
        <v>22400</v>
      </c>
      <c r="I110" s="55">
        <v>22400</v>
      </c>
      <c r="J110" s="55">
        <v>22400</v>
      </c>
      <c r="K110" s="55">
        <v>22400</v>
      </c>
      <c r="L110" s="55">
        <v>22400</v>
      </c>
      <c r="M110" s="716">
        <f>22400-1000</f>
        <v>21400</v>
      </c>
      <c r="N110" s="55">
        <f>22400-1000</f>
        <v>21400</v>
      </c>
      <c r="O110" s="55">
        <f>22400-1000</f>
        <v>21400</v>
      </c>
      <c r="P110" s="55">
        <f>22400-1000</f>
        <v>21400</v>
      </c>
      <c r="Q110" s="55">
        <f t="shared" ref="Q110:R110" si="114">22400-1000</f>
        <v>21400</v>
      </c>
      <c r="R110" s="55">
        <f t="shared" si="114"/>
        <v>21400</v>
      </c>
      <c r="S110" s="55">
        <v>8243</v>
      </c>
      <c r="T110" s="728">
        <f t="shared" si="56"/>
        <v>0.38518691588785048</v>
      </c>
      <c r="U110" s="1"/>
    </row>
    <row r="111" spans="1:23" ht="15.75" thickBot="1" x14ac:dyDescent="0.3">
      <c r="A111" s="160" t="s">
        <v>119</v>
      </c>
      <c r="B111" s="161" t="s">
        <v>120</v>
      </c>
      <c r="C111" s="182">
        <v>1800</v>
      </c>
      <c r="D111" s="182">
        <v>1800</v>
      </c>
      <c r="E111" s="764">
        <f>1800+100+500</f>
        <v>2400</v>
      </c>
      <c r="F111" s="182">
        <f>1800+100+500</f>
        <v>2400</v>
      </c>
      <c r="G111" s="182">
        <f>1800+100+500</f>
        <v>2400</v>
      </c>
      <c r="H111" s="182">
        <f>1800+100+500</f>
        <v>2400</v>
      </c>
      <c r="I111" s="182">
        <f>1800+100+500</f>
        <v>2400</v>
      </c>
      <c r="J111" s="764">
        <f t="shared" ref="J111:R111" si="115">1800+100+500+924</f>
        <v>3324</v>
      </c>
      <c r="K111" s="182">
        <f t="shared" si="115"/>
        <v>3324</v>
      </c>
      <c r="L111" s="182">
        <f t="shared" si="115"/>
        <v>3324</v>
      </c>
      <c r="M111" s="182">
        <f t="shared" si="115"/>
        <v>3324</v>
      </c>
      <c r="N111" s="182">
        <f t="shared" si="115"/>
        <v>3324</v>
      </c>
      <c r="O111" s="182">
        <f t="shared" si="115"/>
        <v>3324</v>
      </c>
      <c r="P111" s="182">
        <f t="shared" si="115"/>
        <v>3324</v>
      </c>
      <c r="Q111" s="182">
        <f t="shared" si="115"/>
        <v>3324</v>
      </c>
      <c r="R111" s="182">
        <f t="shared" si="115"/>
        <v>3324</v>
      </c>
      <c r="S111" s="182">
        <v>3283</v>
      </c>
      <c r="T111" s="728">
        <f t="shared" si="56"/>
        <v>0.98766546329723226</v>
      </c>
      <c r="U111" s="1"/>
    </row>
    <row r="112" spans="1:23" ht="15.75" thickBot="1" x14ac:dyDescent="0.3">
      <c r="A112" s="125" t="s">
        <v>121</v>
      </c>
      <c r="B112" s="126"/>
      <c r="C112" s="106">
        <f t="shared" ref="C112:J112" si="116">SUM(C113:C120)</f>
        <v>394150</v>
      </c>
      <c r="D112" s="106">
        <f t="shared" si="116"/>
        <v>393973</v>
      </c>
      <c r="E112" s="106">
        <f t="shared" si="116"/>
        <v>402673</v>
      </c>
      <c r="F112" s="106">
        <f t="shared" si="116"/>
        <v>406536</v>
      </c>
      <c r="G112" s="106">
        <f t="shared" si="116"/>
        <v>411836</v>
      </c>
      <c r="H112" s="106">
        <f t="shared" si="116"/>
        <v>411836</v>
      </c>
      <c r="I112" s="106">
        <f t="shared" si="116"/>
        <v>413558</v>
      </c>
      <c r="J112" s="106">
        <f t="shared" si="116"/>
        <v>413558</v>
      </c>
      <c r="K112" s="106">
        <f t="shared" ref="K112:N112" si="117">SUM(K113:K120)</f>
        <v>421185</v>
      </c>
      <c r="L112" s="106">
        <f t="shared" si="117"/>
        <v>421185</v>
      </c>
      <c r="M112" s="106">
        <f t="shared" si="117"/>
        <v>421185</v>
      </c>
      <c r="N112" s="106">
        <f t="shared" si="117"/>
        <v>421185</v>
      </c>
      <c r="O112" s="106">
        <f t="shared" ref="O112:P112" si="118">SUM(O113:O120)</f>
        <v>424248</v>
      </c>
      <c r="P112" s="106">
        <f t="shared" si="118"/>
        <v>424248</v>
      </c>
      <c r="Q112" s="106">
        <f t="shared" ref="Q112:R112" si="119">SUM(Q113:Q120)</f>
        <v>424248</v>
      </c>
      <c r="R112" s="106">
        <f t="shared" si="119"/>
        <v>427522</v>
      </c>
      <c r="S112" s="106">
        <f>SUM(S113:S120)</f>
        <v>234243</v>
      </c>
      <c r="T112" s="728">
        <f t="shared" si="56"/>
        <v>0.54790864563694963</v>
      </c>
      <c r="U112" s="1"/>
      <c r="V112" s="27"/>
      <c r="W112" s="27"/>
    </row>
    <row r="113" spans="1:35" x14ac:dyDescent="0.25">
      <c r="A113" s="196" t="s">
        <v>122</v>
      </c>
      <c r="B113" s="197" t="s">
        <v>123</v>
      </c>
      <c r="C113" s="201">
        <v>200400</v>
      </c>
      <c r="D113" s="715">
        <f>200400+3</f>
        <v>200403</v>
      </c>
      <c r="E113" s="715">
        <f>200400+3+5000</f>
        <v>205403</v>
      </c>
      <c r="F113" s="715">
        <f>200400+3+5000+3863</f>
        <v>209266</v>
      </c>
      <c r="G113" s="201">
        <f>200400+3+5000+3863</f>
        <v>209266</v>
      </c>
      <c r="H113" s="201">
        <f>200400+3+5000+3863</f>
        <v>209266</v>
      </c>
      <c r="I113" s="715">
        <f>200400+3+5000+3863+1722</f>
        <v>210988</v>
      </c>
      <c r="J113" s="201">
        <f>200400+3+5000+3863+1722</f>
        <v>210988</v>
      </c>
      <c r="K113" s="715">
        <f>200400+3+5000+3863+1722+7627</f>
        <v>218615</v>
      </c>
      <c r="L113" s="201">
        <f>200400+3+5000+3863+1722+7627</f>
        <v>218615</v>
      </c>
      <c r="M113" s="201">
        <f>200400+3+5000+3863+1722+7627</f>
        <v>218615</v>
      </c>
      <c r="N113" s="201">
        <f>200400+3+5000+3863+1722+7627</f>
        <v>218615</v>
      </c>
      <c r="O113" s="715">
        <f>200400+3+5000+3863+1722+7627+3063</f>
        <v>221678</v>
      </c>
      <c r="P113" s="201">
        <f>200400+3+5000+3863+1722+7627+3063</f>
        <v>221678</v>
      </c>
      <c r="Q113" s="201">
        <f t="shared" ref="Q113" si="120">200400+3+5000+3863+1722+7627+3063</f>
        <v>221678</v>
      </c>
      <c r="R113" s="715">
        <f>200400+3+5000+3863+1722+7627+3063+3274</f>
        <v>224952</v>
      </c>
      <c r="S113" s="201">
        <v>134453</v>
      </c>
      <c r="T113" s="728">
        <f t="shared" si="56"/>
        <v>0.59769639745367897</v>
      </c>
      <c r="U113" s="1"/>
    </row>
    <row r="114" spans="1:35" x14ac:dyDescent="0.25">
      <c r="A114" s="578" t="s">
        <v>124</v>
      </c>
      <c r="B114" s="142" t="s">
        <v>340</v>
      </c>
      <c r="C114" s="56">
        <v>0</v>
      </c>
      <c r="D114" s="56">
        <v>0</v>
      </c>
      <c r="E114" s="56">
        <v>0</v>
      </c>
      <c r="F114" s="56">
        <v>0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0</v>
      </c>
      <c r="N114" s="56">
        <v>0</v>
      </c>
      <c r="O114" s="56">
        <v>0</v>
      </c>
      <c r="P114" s="56">
        <v>0</v>
      </c>
      <c r="Q114" s="56">
        <v>0</v>
      </c>
      <c r="R114" s="56">
        <v>0</v>
      </c>
      <c r="S114" s="56">
        <v>0</v>
      </c>
      <c r="T114" s="728">
        <v>0</v>
      </c>
      <c r="U114" s="1"/>
    </row>
    <row r="115" spans="1:35" x14ac:dyDescent="0.25">
      <c r="A115" s="202" t="s">
        <v>125</v>
      </c>
      <c r="B115" s="203" t="s">
        <v>512</v>
      </c>
      <c r="C115" s="61">
        <v>6500</v>
      </c>
      <c r="D115" s="61">
        <v>6500</v>
      </c>
      <c r="E115" s="695">
        <f>6500+3700</f>
        <v>10200</v>
      </c>
      <c r="F115" s="61">
        <f>6500+3700</f>
        <v>10200</v>
      </c>
      <c r="G115" s="695">
        <f t="shared" ref="G115:R115" si="121">6500+3700+5300</f>
        <v>15500</v>
      </c>
      <c r="H115" s="61">
        <f t="shared" si="121"/>
        <v>15500</v>
      </c>
      <c r="I115" s="61">
        <f t="shared" si="121"/>
        <v>15500</v>
      </c>
      <c r="J115" s="61">
        <f t="shared" si="121"/>
        <v>15500</v>
      </c>
      <c r="K115" s="61">
        <f t="shared" si="121"/>
        <v>15500</v>
      </c>
      <c r="L115" s="61">
        <f t="shared" si="121"/>
        <v>15500</v>
      </c>
      <c r="M115" s="61">
        <f t="shared" si="121"/>
        <v>15500</v>
      </c>
      <c r="N115" s="61">
        <f t="shared" si="121"/>
        <v>15500</v>
      </c>
      <c r="O115" s="61">
        <f t="shared" si="121"/>
        <v>15500</v>
      </c>
      <c r="P115" s="61">
        <f t="shared" si="121"/>
        <v>15500</v>
      </c>
      <c r="Q115" s="61">
        <f t="shared" si="121"/>
        <v>15500</v>
      </c>
      <c r="R115" s="61">
        <f t="shared" si="121"/>
        <v>15500</v>
      </c>
      <c r="S115" s="61">
        <v>5651</v>
      </c>
      <c r="T115" s="728">
        <f t="shared" si="56"/>
        <v>0.3645806451612903</v>
      </c>
      <c r="U115" s="1"/>
    </row>
    <row r="116" spans="1:35" x14ac:dyDescent="0.25">
      <c r="A116" s="202" t="s">
        <v>127</v>
      </c>
      <c r="B116" s="203" t="s">
        <v>128</v>
      </c>
      <c r="C116" s="61">
        <v>36200</v>
      </c>
      <c r="D116" s="61">
        <v>36200</v>
      </c>
      <c r="E116" s="61">
        <v>36200</v>
      </c>
      <c r="F116" s="61">
        <v>36200</v>
      </c>
      <c r="G116" s="61">
        <v>36200</v>
      </c>
      <c r="H116" s="61">
        <v>36200</v>
      </c>
      <c r="I116" s="61">
        <v>36200</v>
      </c>
      <c r="J116" s="61">
        <v>36200</v>
      </c>
      <c r="K116" s="61">
        <v>36200</v>
      </c>
      <c r="L116" s="61">
        <v>36200</v>
      </c>
      <c r="M116" s="61">
        <v>36200</v>
      </c>
      <c r="N116" s="61">
        <v>36200</v>
      </c>
      <c r="O116" s="61">
        <v>36200</v>
      </c>
      <c r="P116" s="61">
        <v>36200</v>
      </c>
      <c r="Q116" s="61">
        <v>36200</v>
      </c>
      <c r="R116" s="61">
        <v>36200</v>
      </c>
      <c r="S116" s="61">
        <v>18978</v>
      </c>
      <c r="T116" s="728">
        <f t="shared" si="56"/>
        <v>0.52425414364640888</v>
      </c>
      <c r="U116" s="1"/>
    </row>
    <row r="117" spans="1:35" x14ac:dyDescent="0.25">
      <c r="A117" s="202" t="s">
        <v>129</v>
      </c>
      <c r="B117" s="203" t="s">
        <v>130</v>
      </c>
      <c r="C117" s="60">
        <v>53850</v>
      </c>
      <c r="D117" s="60">
        <v>53850</v>
      </c>
      <c r="E117" s="60">
        <v>53850</v>
      </c>
      <c r="F117" s="60">
        <v>53850</v>
      </c>
      <c r="G117" s="60">
        <v>53850</v>
      </c>
      <c r="H117" s="60">
        <v>53850</v>
      </c>
      <c r="I117" s="60">
        <v>53850</v>
      </c>
      <c r="J117" s="60">
        <v>53850</v>
      </c>
      <c r="K117" s="60">
        <v>53850</v>
      </c>
      <c r="L117" s="60">
        <v>53850</v>
      </c>
      <c r="M117" s="60">
        <v>53850</v>
      </c>
      <c r="N117" s="60">
        <v>53850</v>
      </c>
      <c r="O117" s="60">
        <v>53850</v>
      </c>
      <c r="P117" s="60">
        <v>53850</v>
      </c>
      <c r="Q117" s="60">
        <v>53850</v>
      </c>
      <c r="R117" s="60">
        <v>53850</v>
      </c>
      <c r="S117" s="60">
        <v>23078</v>
      </c>
      <c r="T117" s="728">
        <f t="shared" si="56"/>
        <v>0.42856081708449395</v>
      </c>
      <c r="U117" s="1"/>
      <c r="V117" s="381"/>
      <c r="W117" s="381"/>
      <c r="Z117" s="475"/>
    </row>
    <row r="118" spans="1:35" x14ac:dyDescent="0.25">
      <c r="A118" s="202" t="s">
        <v>131</v>
      </c>
      <c r="B118" s="203" t="s">
        <v>195</v>
      </c>
      <c r="C118" s="60">
        <v>94600</v>
      </c>
      <c r="D118" s="694">
        <f t="shared" ref="D118:R118" si="122">94600-160</f>
        <v>94440</v>
      </c>
      <c r="E118" s="60">
        <f t="shared" si="122"/>
        <v>94440</v>
      </c>
      <c r="F118" s="60">
        <f t="shared" si="122"/>
        <v>94440</v>
      </c>
      <c r="G118" s="60">
        <f t="shared" si="122"/>
        <v>94440</v>
      </c>
      <c r="H118" s="60">
        <f t="shared" si="122"/>
        <v>94440</v>
      </c>
      <c r="I118" s="60">
        <f t="shared" si="122"/>
        <v>94440</v>
      </c>
      <c r="J118" s="60">
        <f t="shared" si="122"/>
        <v>94440</v>
      </c>
      <c r="K118" s="60">
        <f t="shared" si="122"/>
        <v>94440</v>
      </c>
      <c r="L118" s="60">
        <f t="shared" si="122"/>
        <v>94440</v>
      </c>
      <c r="M118" s="60">
        <f t="shared" si="122"/>
        <v>94440</v>
      </c>
      <c r="N118" s="60">
        <f t="shared" si="122"/>
        <v>94440</v>
      </c>
      <c r="O118" s="60">
        <f t="shared" si="122"/>
        <v>94440</v>
      </c>
      <c r="P118" s="60">
        <f t="shared" si="122"/>
        <v>94440</v>
      </c>
      <c r="Q118" s="60">
        <f t="shared" si="122"/>
        <v>94440</v>
      </c>
      <c r="R118" s="60">
        <f t="shared" si="122"/>
        <v>94440</v>
      </c>
      <c r="S118" s="60">
        <v>51126</v>
      </c>
      <c r="T118" s="728">
        <f t="shared" si="56"/>
        <v>0.54135959339263029</v>
      </c>
      <c r="U118" s="27">
        <f>SUM(N116:N118)</f>
        <v>184490</v>
      </c>
      <c r="V118" s="27">
        <f>SUM(S116:S118)</f>
        <v>93182</v>
      </c>
      <c r="W118" s="27"/>
    </row>
    <row r="119" spans="1:35" x14ac:dyDescent="0.25">
      <c r="A119" s="204" t="s">
        <v>132</v>
      </c>
      <c r="B119" s="203" t="s">
        <v>309</v>
      </c>
      <c r="C119" s="208">
        <v>1300</v>
      </c>
      <c r="D119" s="208">
        <v>1300</v>
      </c>
      <c r="E119" s="208">
        <v>1300</v>
      </c>
      <c r="F119" s="208">
        <v>1300</v>
      </c>
      <c r="G119" s="208">
        <v>1300</v>
      </c>
      <c r="H119" s="208">
        <v>1300</v>
      </c>
      <c r="I119" s="208">
        <v>1300</v>
      </c>
      <c r="J119" s="208">
        <v>1300</v>
      </c>
      <c r="K119" s="208">
        <v>1300</v>
      </c>
      <c r="L119" s="208">
        <v>1300</v>
      </c>
      <c r="M119" s="208">
        <v>1300</v>
      </c>
      <c r="N119" s="208">
        <v>1300</v>
      </c>
      <c r="O119" s="208">
        <v>1300</v>
      </c>
      <c r="P119" s="208">
        <v>1300</v>
      </c>
      <c r="Q119" s="208">
        <v>1300</v>
      </c>
      <c r="R119" s="208">
        <v>1300</v>
      </c>
      <c r="S119" s="208">
        <v>482</v>
      </c>
      <c r="T119" s="728">
        <f t="shared" si="56"/>
        <v>0.3707692307692308</v>
      </c>
      <c r="U119" s="1"/>
    </row>
    <row r="120" spans="1:35" ht="15.75" thickBot="1" x14ac:dyDescent="0.3">
      <c r="A120" s="202" t="s">
        <v>133</v>
      </c>
      <c r="B120" s="203" t="s">
        <v>207</v>
      </c>
      <c r="C120" s="208">
        <v>1300</v>
      </c>
      <c r="D120" s="723">
        <f t="shared" ref="D120:R120" si="123">1300-20</f>
        <v>1280</v>
      </c>
      <c r="E120" s="208">
        <f t="shared" si="123"/>
        <v>1280</v>
      </c>
      <c r="F120" s="208">
        <f t="shared" si="123"/>
        <v>1280</v>
      </c>
      <c r="G120" s="208">
        <f t="shared" si="123"/>
        <v>1280</v>
      </c>
      <c r="H120" s="208">
        <f t="shared" si="123"/>
        <v>1280</v>
      </c>
      <c r="I120" s="208">
        <f t="shared" si="123"/>
        <v>1280</v>
      </c>
      <c r="J120" s="208">
        <f t="shared" si="123"/>
        <v>1280</v>
      </c>
      <c r="K120" s="208">
        <f t="shared" si="123"/>
        <v>1280</v>
      </c>
      <c r="L120" s="208">
        <f t="shared" si="123"/>
        <v>1280</v>
      </c>
      <c r="M120" s="208">
        <f t="shared" si="123"/>
        <v>1280</v>
      </c>
      <c r="N120" s="208">
        <f t="shared" si="123"/>
        <v>1280</v>
      </c>
      <c r="O120" s="208">
        <f t="shared" si="123"/>
        <v>1280</v>
      </c>
      <c r="P120" s="208">
        <f t="shared" si="123"/>
        <v>1280</v>
      </c>
      <c r="Q120" s="208">
        <f t="shared" si="123"/>
        <v>1280</v>
      </c>
      <c r="R120" s="208">
        <f t="shared" si="123"/>
        <v>1280</v>
      </c>
      <c r="S120" s="208">
        <v>475</v>
      </c>
      <c r="T120" s="728">
        <f t="shared" si="56"/>
        <v>0.37109375</v>
      </c>
      <c r="U120" s="1"/>
    </row>
    <row r="121" spans="1:35" ht="15.75" thickBot="1" x14ac:dyDescent="0.3">
      <c r="A121" s="104" t="s">
        <v>134</v>
      </c>
      <c r="B121" s="105"/>
      <c r="C121" s="108">
        <f t="shared" ref="C121:S121" si="124">SUM(C122:C126)</f>
        <v>482770</v>
      </c>
      <c r="D121" s="108">
        <f t="shared" si="124"/>
        <v>485270</v>
      </c>
      <c r="E121" s="108">
        <f t="shared" si="124"/>
        <v>485270</v>
      </c>
      <c r="F121" s="108">
        <f t="shared" si="124"/>
        <v>485270</v>
      </c>
      <c r="G121" s="108">
        <f t="shared" si="124"/>
        <v>485270</v>
      </c>
      <c r="H121" s="108">
        <f t="shared" si="124"/>
        <v>485270</v>
      </c>
      <c r="I121" s="108">
        <f t="shared" si="124"/>
        <v>485850</v>
      </c>
      <c r="J121" s="108">
        <f t="shared" si="124"/>
        <v>485850</v>
      </c>
      <c r="K121" s="108">
        <f t="shared" si="124"/>
        <v>485850</v>
      </c>
      <c r="L121" s="108">
        <f t="shared" si="124"/>
        <v>481850</v>
      </c>
      <c r="M121" s="108">
        <f t="shared" si="124"/>
        <v>481850</v>
      </c>
      <c r="N121" s="108">
        <f t="shared" si="124"/>
        <v>490190</v>
      </c>
      <c r="O121" s="108">
        <f t="shared" ref="O121:P121" si="125">SUM(O122:O126)</f>
        <v>490190</v>
      </c>
      <c r="P121" s="108">
        <f t="shared" si="125"/>
        <v>490790</v>
      </c>
      <c r="Q121" s="108">
        <f t="shared" ref="Q121:R121" si="126">SUM(Q122:Q126)</f>
        <v>490790</v>
      </c>
      <c r="R121" s="108">
        <f t="shared" si="126"/>
        <v>490790</v>
      </c>
      <c r="S121" s="108">
        <f t="shared" si="124"/>
        <v>273179.40000000002</v>
      </c>
      <c r="T121" s="728">
        <f t="shared" si="56"/>
        <v>0.55661158540312561</v>
      </c>
      <c r="U121" s="1"/>
    </row>
    <row r="122" spans="1:35" x14ac:dyDescent="0.25">
      <c r="A122" s="192" t="s">
        <v>135</v>
      </c>
      <c r="B122" s="84" t="s">
        <v>220</v>
      </c>
      <c r="C122" s="55">
        <v>392070</v>
      </c>
      <c r="D122" s="716">
        <f t="shared" ref="D122:K122" si="127">392070-1998</f>
        <v>390072</v>
      </c>
      <c r="E122" s="55">
        <f t="shared" si="127"/>
        <v>390072</v>
      </c>
      <c r="F122" s="55">
        <f t="shared" si="127"/>
        <v>390072</v>
      </c>
      <c r="G122" s="55">
        <f t="shared" si="127"/>
        <v>390072</v>
      </c>
      <c r="H122" s="55">
        <f t="shared" si="127"/>
        <v>390072</v>
      </c>
      <c r="I122" s="55">
        <f t="shared" si="127"/>
        <v>390072</v>
      </c>
      <c r="J122" s="55">
        <f t="shared" si="127"/>
        <v>390072</v>
      </c>
      <c r="K122" s="55">
        <f t="shared" si="127"/>
        <v>390072</v>
      </c>
      <c r="L122" s="716">
        <f>392070-1998-4000</f>
        <v>386072</v>
      </c>
      <c r="M122" s="55">
        <f>392070-1998-4000</f>
        <v>386072</v>
      </c>
      <c r="N122" s="716">
        <f>392070-1998-4000+7770</f>
        <v>393842</v>
      </c>
      <c r="O122" s="55">
        <f>392070-1998-4000+7770</f>
        <v>393842</v>
      </c>
      <c r="P122" s="716">
        <f>392070-1998-4000+7770+2000-2000</f>
        <v>393842</v>
      </c>
      <c r="Q122" s="716">
        <f>392070-1998-4000+7770+2000-2000-14300+14300</f>
        <v>393842</v>
      </c>
      <c r="R122" s="55">
        <f>392070-1998-4000+7770+2000-2000-14300+14300</f>
        <v>393842</v>
      </c>
      <c r="S122" s="55">
        <v>217047.4</v>
      </c>
      <c r="T122" s="728">
        <f t="shared" si="56"/>
        <v>0.55110272647406822</v>
      </c>
      <c r="U122" s="1"/>
    </row>
    <row r="123" spans="1:35" x14ac:dyDescent="0.25">
      <c r="A123" s="192" t="s">
        <v>136</v>
      </c>
      <c r="B123" s="84" t="s">
        <v>137</v>
      </c>
      <c r="C123" s="55">
        <v>73400</v>
      </c>
      <c r="D123" s="716">
        <f t="shared" ref="D123:H123" si="128">73400+3781</f>
        <v>77181</v>
      </c>
      <c r="E123" s="55">
        <f t="shared" si="128"/>
        <v>77181</v>
      </c>
      <c r="F123" s="55">
        <f t="shared" si="128"/>
        <v>77181</v>
      </c>
      <c r="G123" s="55">
        <f t="shared" si="128"/>
        <v>77181</v>
      </c>
      <c r="H123" s="55">
        <f t="shared" si="128"/>
        <v>77181</v>
      </c>
      <c r="I123" s="716">
        <f t="shared" ref="I123:O123" si="129">73400+3781+580</f>
        <v>77761</v>
      </c>
      <c r="J123" s="55">
        <f t="shared" si="129"/>
        <v>77761</v>
      </c>
      <c r="K123" s="55">
        <f t="shared" si="129"/>
        <v>77761</v>
      </c>
      <c r="L123" s="55">
        <f t="shared" si="129"/>
        <v>77761</v>
      </c>
      <c r="M123" s="55">
        <f t="shared" si="129"/>
        <v>77761</v>
      </c>
      <c r="N123" s="55">
        <f t="shared" si="129"/>
        <v>77761</v>
      </c>
      <c r="O123" s="55">
        <f t="shared" si="129"/>
        <v>77761</v>
      </c>
      <c r="P123" s="716">
        <f>73400+3781+580+600</f>
        <v>78361</v>
      </c>
      <c r="Q123" s="55">
        <f t="shared" ref="Q123:R123" si="130">73400+3781+580+600</f>
        <v>78361</v>
      </c>
      <c r="R123" s="55">
        <f t="shared" si="130"/>
        <v>78361</v>
      </c>
      <c r="S123" s="55">
        <v>44768</v>
      </c>
      <c r="T123" s="728">
        <f t="shared" si="56"/>
        <v>0.57130460305509123</v>
      </c>
      <c r="U123" s="1"/>
    </row>
    <row r="124" spans="1:35" x14ac:dyDescent="0.25">
      <c r="A124" s="117" t="s">
        <v>138</v>
      </c>
      <c r="B124" s="114" t="s">
        <v>139</v>
      </c>
      <c r="C124" s="60">
        <v>16300</v>
      </c>
      <c r="D124" s="694">
        <f t="shared" ref="D124:M124" si="131">16300+717</f>
        <v>17017</v>
      </c>
      <c r="E124" s="60">
        <f t="shared" si="131"/>
        <v>17017</v>
      </c>
      <c r="F124" s="60">
        <f t="shared" si="131"/>
        <v>17017</v>
      </c>
      <c r="G124" s="60">
        <f t="shared" si="131"/>
        <v>17017</v>
      </c>
      <c r="H124" s="60">
        <f t="shared" si="131"/>
        <v>17017</v>
      </c>
      <c r="I124" s="60">
        <f t="shared" si="131"/>
        <v>17017</v>
      </c>
      <c r="J124" s="60">
        <f t="shared" si="131"/>
        <v>17017</v>
      </c>
      <c r="K124" s="60">
        <f t="shared" si="131"/>
        <v>17017</v>
      </c>
      <c r="L124" s="60">
        <f t="shared" si="131"/>
        <v>17017</v>
      </c>
      <c r="M124" s="60">
        <f t="shared" si="131"/>
        <v>17017</v>
      </c>
      <c r="N124" s="694">
        <f>16300+717+570</f>
        <v>17587</v>
      </c>
      <c r="O124" s="60">
        <f>16300+717+570</f>
        <v>17587</v>
      </c>
      <c r="P124" s="60">
        <f>16300+717+570</f>
        <v>17587</v>
      </c>
      <c r="Q124" s="60">
        <f t="shared" ref="Q124:R124" si="132">16300+717+570</f>
        <v>17587</v>
      </c>
      <c r="R124" s="60">
        <f t="shared" si="132"/>
        <v>17587</v>
      </c>
      <c r="S124" s="60">
        <v>11364</v>
      </c>
      <c r="T124" s="728">
        <f t="shared" si="56"/>
        <v>0.64615909478592137</v>
      </c>
      <c r="U124" s="1"/>
    </row>
    <row r="125" spans="1:35" x14ac:dyDescent="0.25">
      <c r="A125" s="117" t="s">
        <v>140</v>
      </c>
      <c r="B125" s="114" t="s">
        <v>141</v>
      </c>
      <c r="C125" s="60">
        <v>500</v>
      </c>
      <c r="D125" s="60">
        <v>500</v>
      </c>
      <c r="E125" s="60">
        <v>500</v>
      </c>
      <c r="F125" s="60">
        <v>500</v>
      </c>
      <c r="G125" s="60">
        <v>500</v>
      </c>
      <c r="H125" s="60">
        <v>500</v>
      </c>
      <c r="I125" s="60">
        <v>500</v>
      </c>
      <c r="J125" s="60">
        <v>500</v>
      </c>
      <c r="K125" s="60">
        <v>500</v>
      </c>
      <c r="L125" s="60">
        <v>500</v>
      </c>
      <c r="M125" s="60">
        <v>500</v>
      </c>
      <c r="N125" s="60">
        <v>500</v>
      </c>
      <c r="O125" s="60">
        <v>500</v>
      </c>
      <c r="P125" s="60">
        <v>500</v>
      </c>
      <c r="Q125" s="60">
        <v>500</v>
      </c>
      <c r="R125" s="60">
        <v>500</v>
      </c>
      <c r="S125" s="60">
        <v>0</v>
      </c>
      <c r="T125" s="728">
        <f t="shared" si="56"/>
        <v>0</v>
      </c>
      <c r="U125" s="1"/>
    </row>
    <row r="126" spans="1:35" ht="15.75" thickBot="1" x14ac:dyDescent="0.3">
      <c r="A126" s="160" t="s">
        <v>142</v>
      </c>
      <c r="B126" s="161" t="s">
        <v>143</v>
      </c>
      <c r="C126" s="182">
        <v>500</v>
      </c>
      <c r="D126" s="182">
        <v>500</v>
      </c>
      <c r="E126" s="182">
        <v>500</v>
      </c>
      <c r="F126" s="182">
        <v>500</v>
      </c>
      <c r="G126" s="182">
        <v>500</v>
      </c>
      <c r="H126" s="182">
        <v>500</v>
      </c>
      <c r="I126" s="182">
        <v>500</v>
      </c>
      <c r="J126" s="182">
        <v>500</v>
      </c>
      <c r="K126" s="182">
        <v>500</v>
      </c>
      <c r="L126" s="182">
        <v>500</v>
      </c>
      <c r="M126" s="182">
        <v>500</v>
      </c>
      <c r="N126" s="182">
        <v>500</v>
      </c>
      <c r="O126" s="182">
        <v>500</v>
      </c>
      <c r="P126" s="182">
        <v>500</v>
      </c>
      <c r="Q126" s="182">
        <v>500</v>
      </c>
      <c r="R126" s="182">
        <v>500</v>
      </c>
      <c r="S126" s="182">
        <v>0</v>
      </c>
      <c r="T126" s="728">
        <f t="shared" si="56"/>
        <v>0</v>
      </c>
      <c r="U126" s="1"/>
      <c r="V126" s="27"/>
      <c r="W126" s="27"/>
    </row>
    <row r="127" spans="1:35" ht="24.75" customHeight="1" thickBot="1" x14ac:dyDescent="0.3">
      <c r="A127" s="209" t="s">
        <v>144</v>
      </c>
      <c r="B127" s="172"/>
      <c r="C127" s="212">
        <f t="shared" ref="C127:S127" si="133">SUM(C77+C83+C85+C88+C92+C97+C102+C106+C112+C121)</f>
        <v>1919385</v>
      </c>
      <c r="D127" s="212">
        <f t="shared" si="133"/>
        <v>1922156</v>
      </c>
      <c r="E127" s="212">
        <f t="shared" si="133"/>
        <v>1939266</v>
      </c>
      <c r="F127" s="212">
        <f t="shared" si="133"/>
        <v>1943129</v>
      </c>
      <c r="G127" s="212">
        <f t="shared" si="133"/>
        <v>1943129</v>
      </c>
      <c r="H127" s="212">
        <f t="shared" si="133"/>
        <v>1943129</v>
      </c>
      <c r="I127" s="212">
        <f t="shared" si="133"/>
        <v>1951446</v>
      </c>
      <c r="J127" s="212">
        <f t="shared" si="133"/>
        <v>1952370</v>
      </c>
      <c r="K127" s="212">
        <f t="shared" si="133"/>
        <v>2014202</v>
      </c>
      <c r="L127" s="212">
        <f t="shared" si="133"/>
        <v>2015747</v>
      </c>
      <c r="M127" s="212">
        <f t="shared" si="133"/>
        <v>2015747</v>
      </c>
      <c r="N127" s="212">
        <f t="shared" si="133"/>
        <v>2020201</v>
      </c>
      <c r="O127" s="212">
        <f t="shared" ref="O127:P127" si="134">SUM(O77+O83+O85+O88+O92+O97+O102+O106+O112+O121)</f>
        <v>2023264</v>
      </c>
      <c r="P127" s="212">
        <f t="shared" si="134"/>
        <v>2024864</v>
      </c>
      <c r="Q127" s="212">
        <f t="shared" ref="Q127:R127" si="135">SUM(Q77+Q83+Q85+Q88+Q92+Q97+Q102+Q106+Q112+Q121)</f>
        <v>2024864</v>
      </c>
      <c r="R127" s="212">
        <f t="shared" si="135"/>
        <v>2055566</v>
      </c>
      <c r="S127" s="212">
        <f t="shared" si="133"/>
        <v>1195025.3999999999</v>
      </c>
      <c r="T127" s="728">
        <f t="shared" si="56"/>
        <v>0.58136075416697874</v>
      </c>
      <c r="U127" s="27">
        <f t="shared" ref="U127:AG127" si="136">D127-C127</f>
        <v>2771</v>
      </c>
      <c r="V127" s="27">
        <f t="shared" si="136"/>
        <v>17110</v>
      </c>
      <c r="W127" s="27">
        <f t="shared" si="136"/>
        <v>3863</v>
      </c>
      <c r="X127" s="27">
        <f t="shared" si="136"/>
        <v>0</v>
      </c>
      <c r="Y127" s="27">
        <f t="shared" si="136"/>
        <v>0</v>
      </c>
      <c r="Z127" s="27">
        <f t="shared" si="136"/>
        <v>8317</v>
      </c>
      <c r="AA127" s="27">
        <f t="shared" si="136"/>
        <v>924</v>
      </c>
      <c r="AB127" s="27">
        <f t="shared" si="136"/>
        <v>61832</v>
      </c>
      <c r="AC127" s="27">
        <f t="shared" si="136"/>
        <v>1545</v>
      </c>
      <c r="AD127" s="27">
        <f t="shared" si="136"/>
        <v>0</v>
      </c>
      <c r="AE127" s="27">
        <f t="shared" si="136"/>
        <v>4454</v>
      </c>
      <c r="AF127" s="27">
        <f t="shared" si="136"/>
        <v>3063</v>
      </c>
      <c r="AG127" s="27">
        <f t="shared" si="136"/>
        <v>1600</v>
      </c>
      <c r="AH127" s="27">
        <f t="shared" ref="AH127" si="137">Q127-P127</f>
        <v>0</v>
      </c>
      <c r="AI127" s="27">
        <f t="shared" ref="AI127" si="138">R127-Q127</f>
        <v>30702</v>
      </c>
    </row>
    <row r="128" spans="1:35" x14ac:dyDescent="0.25">
      <c r="A128" s="502" t="s">
        <v>124</v>
      </c>
      <c r="B128" s="213" t="s">
        <v>341</v>
      </c>
      <c r="C128" s="216">
        <f>C64</f>
        <v>720000</v>
      </c>
      <c r="D128" s="715">
        <f t="shared" ref="D128:S128" si="139">D64+D200</f>
        <v>722098</v>
      </c>
      <c r="E128" s="216">
        <f t="shared" si="139"/>
        <v>722098</v>
      </c>
      <c r="F128" s="715">
        <f t="shared" si="139"/>
        <v>711459</v>
      </c>
      <c r="G128" s="216">
        <f t="shared" si="139"/>
        <v>711459</v>
      </c>
      <c r="H128" s="216">
        <f t="shared" si="139"/>
        <v>711459</v>
      </c>
      <c r="I128" s="216">
        <f t="shared" si="139"/>
        <v>715098</v>
      </c>
      <c r="J128" s="216">
        <f t="shared" si="139"/>
        <v>715098</v>
      </c>
      <c r="K128" s="715">
        <f t="shared" si="139"/>
        <v>737900</v>
      </c>
      <c r="L128" s="216">
        <f t="shared" si="139"/>
        <v>737900</v>
      </c>
      <c r="M128" s="216">
        <f t="shared" si="139"/>
        <v>737900</v>
      </c>
      <c r="N128" s="216">
        <f t="shared" si="139"/>
        <v>737900</v>
      </c>
      <c r="O128" s="216">
        <f t="shared" si="139"/>
        <v>737034</v>
      </c>
      <c r="P128" s="216">
        <f t="shared" si="139"/>
        <v>737034</v>
      </c>
      <c r="Q128" s="216">
        <f t="shared" si="139"/>
        <v>737034</v>
      </c>
      <c r="R128" s="715">
        <f t="shared" si="139"/>
        <v>747613</v>
      </c>
      <c r="S128" s="216">
        <f t="shared" si="139"/>
        <v>589639</v>
      </c>
      <c r="T128" s="728">
        <f t="shared" si="56"/>
        <v>0.78869548817369417</v>
      </c>
      <c r="U128" s="1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</row>
    <row r="129" spans="1:35" ht="15.75" thickBot="1" x14ac:dyDescent="0.3">
      <c r="A129" s="717" t="s">
        <v>124</v>
      </c>
      <c r="B129" s="718" t="s">
        <v>145</v>
      </c>
      <c r="C129" s="719">
        <f t="shared" ref="C129:S129" si="140">C66</f>
        <v>1500</v>
      </c>
      <c r="D129" s="719">
        <f t="shared" si="140"/>
        <v>1500</v>
      </c>
      <c r="E129" s="719">
        <f t="shared" si="140"/>
        <v>1500</v>
      </c>
      <c r="F129" s="719">
        <f t="shared" si="140"/>
        <v>1500</v>
      </c>
      <c r="G129" s="719">
        <f t="shared" si="140"/>
        <v>1500</v>
      </c>
      <c r="H129" s="719">
        <f t="shared" si="140"/>
        <v>1500</v>
      </c>
      <c r="I129" s="719">
        <f t="shared" si="140"/>
        <v>1500</v>
      </c>
      <c r="J129" s="719">
        <f t="shared" si="140"/>
        <v>1500</v>
      </c>
      <c r="K129" s="719">
        <f t="shared" si="140"/>
        <v>1500</v>
      </c>
      <c r="L129" s="719">
        <f t="shared" si="140"/>
        <v>1500</v>
      </c>
      <c r="M129" s="719">
        <f t="shared" si="140"/>
        <v>1500</v>
      </c>
      <c r="N129" s="719">
        <f t="shared" si="140"/>
        <v>1500</v>
      </c>
      <c r="O129" s="719">
        <f t="shared" ref="O129:P129" si="141">O66</f>
        <v>1500</v>
      </c>
      <c r="P129" s="719">
        <f t="shared" si="141"/>
        <v>1500</v>
      </c>
      <c r="Q129" s="836">
        <f t="shared" ref="Q129:R129" si="142">Q66</f>
        <v>500</v>
      </c>
      <c r="R129" s="719">
        <f t="shared" si="142"/>
        <v>500</v>
      </c>
      <c r="S129" s="719">
        <f t="shared" si="140"/>
        <v>25</v>
      </c>
      <c r="T129" s="728">
        <f t="shared" si="56"/>
        <v>0.05</v>
      </c>
      <c r="U129" s="27">
        <f>SUM(N128:N129)</f>
        <v>739400</v>
      </c>
      <c r="V129" s="27">
        <f>SUM(S128:S129)</f>
        <v>589664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</row>
    <row r="130" spans="1:35" x14ac:dyDescent="0.25">
      <c r="A130" s="226" t="s">
        <v>125</v>
      </c>
      <c r="B130" s="227" t="s">
        <v>148</v>
      </c>
      <c r="C130" s="230">
        <v>34400</v>
      </c>
      <c r="D130" s="230">
        <v>34400</v>
      </c>
      <c r="E130" s="230">
        <v>34400</v>
      </c>
      <c r="F130" s="230">
        <v>34400</v>
      </c>
      <c r="G130" s="230">
        <v>34400</v>
      </c>
      <c r="H130" s="230">
        <v>34400</v>
      </c>
      <c r="I130" s="230">
        <v>34400</v>
      </c>
      <c r="J130" s="230">
        <v>34400</v>
      </c>
      <c r="K130" s="230">
        <v>34400</v>
      </c>
      <c r="L130" s="230">
        <v>34400</v>
      </c>
      <c r="M130" s="230">
        <v>34400</v>
      </c>
      <c r="N130" s="230">
        <v>34400</v>
      </c>
      <c r="O130" s="230">
        <v>34400</v>
      </c>
      <c r="P130" s="230">
        <v>34400</v>
      </c>
      <c r="Q130" s="230">
        <v>34400</v>
      </c>
      <c r="R130" s="230">
        <v>34400</v>
      </c>
      <c r="S130" s="230">
        <v>25803</v>
      </c>
      <c r="T130" s="728">
        <f t="shared" si="56"/>
        <v>0.75008720930232553</v>
      </c>
      <c r="U130" s="27"/>
    </row>
    <row r="131" spans="1:35" x14ac:dyDescent="0.25">
      <c r="A131" s="226" t="s">
        <v>125</v>
      </c>
      <c r="B131" s="227" t="s">
        <v>723</v>
      </c>
      <c r="C131" s="230"/>
      <c r="D131" s="230"/>
      <c r="E131" s="230"/>
      <c r="F131" s="230"/>
      <c r="G131" s="230"/>
      <c r="H131" s="230"/>
      <c r="I131" s="230"/>
      <c r="J131" s="230">
        <v>0</v>
      </c>
      <c r="K131" s="705">
        <v>1525</v>
      </c>
      <c r="L131" s="230">
        <v>1525</v>
      </c>
      <c r="M131" s="230">
        <v>1525</v>
      </c>
      <c r="N131" s="230">
        <v>1525</v>
      </c>
      <c r="O131" s="230">
        <v>1525</v>
      </c>
      <c r="P131" s="230">
        <v>1525</v>
      </c>
      <c r="Q131" s="230">
        <v>1525</v>
      </c>
      <c r="R131" s="230">
        <v>1525</v>
      </c>
      <c r="S131" s="230">
        <v>1523</v>
      </c>
      <c r="T131" s="728">
        <f t="shared" si="56"/>
        <v>0.99868852459016388</v>
      </c>
      <c r="U131" s="27"/>
    </row>
    <row r="132" spans="1:35" ht="15.75" thickBot="1" x14ac:dyDescent="0.3">
      <c r="A132" s="217" t="s">
        <v>125</v>
      </c>
      <c r="B132" s="218" t="s">
        <v>149</v>
      </c>
      <c r="C132" s="221">
        <f t="shared" ref="C132:N132" si="143">C67</f>
        <v>3600</v>
      </c>
      <c r="D132" s="221">
        <f t="shared" si="143"/>
        <v>3600</v>
      </c>
      <c r="E132" s="221">
        <f t="shared" si="143"/>
        <v>3600</v>
      </c>
      <c r="F132" s="221">
        <f t="shared" si="143"/>
        <v>3600</v>
      </c>
      <c r="G132" s="221">
        <f t="shared" si="143"/>
        <v>3600</v>
      </c>
      <c r="H132" s="221">
        <f t="shared" si="143"/>
        <v>3600</v>
      </c>
      <c r="I132" s="221">
        <f t="shared" si="143"/>
        <v>3600</v>
      </c>
      <c r="J132" s="221">
        <f t="shared" si="143"/>
        <v>3600</v>
      </c>
      <c r="K132" s="221">
        <f t="shared" si="143"/>
        <v>3600</v>
      </c>
      <c r="L132" s="221">
        <f t="shared" si="143"/>
        <v>3600</v>
      </c>
      <c r="M132" s="221">
        <f t="shared" si="143"/>
        <v>3600</v>
      </c>
      <c r="N132" s="221">
        <f t="shared" si="143"/>
        <v>3600</v>
      </c>
      <c r="O132" s="221">
        <f t="shared" ref="O132:P132" si="144">O67</f>
        <v>3600</v>
      </c>
      <c r="P132" s="221">
        <f t="shared" si="144"/>
        <v>3600</v>
      </c>
      <c r="Q132" s="221">
        <f t="shared" ref="Q132:R132" si="145">Q67</f>
        <v>3600</v>
      </c>
      <c r="R132" s="221">
        <f t="shared" si="145"/>
        <v>3600</v>
      </c>
      <c r="S132" s="221">
        <v>2184</v>
      </c>
      <c r="T132" s="728">
        <f t="shared" ref="T132:T196" si="146">S132/R132</f>
        <v>0.60666666666666669</v>
      </c>
      <c r="U132" s="27">
        <f>SUM(N130:N132)</f>
        <v>39525</v>
      </c>
      <c r="V132" s="27">
        <f>SUM(S130:S132)</f>
        <v>29510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</row>
    <row r="133" spans="1:35" ht="21.75" customHeight="1" thickBot="1" x14ac:dyDescent="0.3">
      <c r="A133" s="903" t="s">
        <v>150</v>
      </c>
      <c r="B133" s="904"/>
      <c r="C133" s="233">
        <f t="shared" ref="C133:S133" si="147">SUM(C128:C132)</f>
        <v>759500</v>
      </c>
      <c r="D133" s="233">
        <f t="shared" si="147"/>
        <v>761598</v>
      </c>
      <c r="E133" s="233">
        <f t="shared" si="147"/>
        <v>761598</v>
      </c>
      <c r="F133" s="233">
        <f t="shared" si="147"/>
        <v>750959</v>
      </c>
      <c r="G133" s="233">
        <f t="shared" si="147"/>
        <v>750959</v>
      </c>
      <c r="H133" s="233">
        <f t="shared" si="147"/>
        <v>750959</v>
      </c>
      <c r="I133" s="233">
        <f t="shared" si="147"/>
        <v>754598</v>
      </c>
      <c r="J133" s="233">
        <f t="shared" si="147"/>
        <v>754598</v>
      </c>
      <c r="K133" s="233">
        <f t="shared" si="147"/>
        <v>778925</v>
      </c>
      <c r="L133" s="233">
        <f t="shared" si="147"/>
        <v>778925</v>
      </c>
      <c r="M133" s="233">
        <f t="shared" si="147"/>
        <v>778925</v>
      </c>
      <c r="N133" s="233">
        <f t="shared" si="147"/>
        <v>778925</v>
      </c>
      <c r="O133" s="233">
        <f t="shared" ref="O133:P133" si="148">SUM(O128:O132)</f>
        <v>778059</v>
      </c>
      <c r="P133" s="233">
        <f t="shared" si="148"/>
        <v>778059</v>
      </c>
      <c r="Q133" s="233">
        <f t="shared" ref="Q133:R133" si="149">SUM(Q128:Q132)</f>
        <v>777059</v>
      </c>
      <c r="R133" s="233">
        <f t="shared" si="149"/>
        <v>787638</v>
      </c>
      <c r="S133" s="233">
        <f t="shared" si="147"/>
        <v>619174</v>
      </c>
      <c r="T133" s="728">
        <f t="shared" si="146"/>
        <v>0.78611494112777702</v>
      </c>
      <c r="U133" s="27">
        <f t="shared" ref="U133:AG133" si="150">D133-C133</f>
        <v>2098</v>
      </c>
      <c r="V133" s="27">
        <f t="shared" si="150"/>
        <v>0</v>
      </c>
      <c r="W133" s="27">
        <f t="shared" si="150"/>
        <v>-10639</v>
      </c>
      <c r="X133" s="27">
        <f t="shared" si="150"/>
        <v>0</v>
      </c>
      <c r="Y133" s="27">
        <f t="shared" si="150"/>
        <v>0</v>
      </c>
      <c r="Z133" s="27">
        <f t="shared" si="150"/>
        <v>3639</v>
      </c>
      <c r="AA133" s="27">
        <f t="shared" si="150"/>
        <v>0</v>
      </c>
      <c r="AB133" s="27">
        <f t="shared" si="150"/>
        <v>24327</v>
      </c>
      <c r="AC133" s="27">
        <f t="shared" si="150"/>
        <v>0</v>
      </c>
      <c r="AD133" s="27">
        <f t="shared" si="150"/>
        <v>0</v>
      </c>
      <c r="AE133" s="27">
        <f t="shared" si="150"/>
        <v>0</v>
      </c>
      <c r="AF133" s="27">
        <f t="shared" si="150"/>
        <v>-866</v>
      </c>
      <c r="AG133" s="27">
        <f t="shared" si="150"/>
        <v>0</v>
      </c>
      <c r="AH133" s="27">
        <f t="shared" ref="AH133" si="151">Q133-P133</f>
        <v>-1000</v>
      </c>
      <c r="AI133" s="27">
        <f t="shared" ref="AI133" si="152">R133-Q133</f>
        <v>10579</v>
      </c>
    </row>
    <row r="134" spans="1:35" x14ac:dyDescent="0.25">
      <c r="A134" s="234" t="s">
        <v>125</v>
      </c>
      <c r="B134" s="797" t="s">
        <v>151</v>
      </c>
      <c r="C134" s="238">
        <v>298000</v>
      </c>
      <c r="D134" s="238">
        <v>298000</v>
      </c>
      <c r="E134" s="238">
        <v>298000</v>
      </c>
      <c r="F134" s="238">
        <v>298000</v>
      </c>
      <c r="G134" s="238">
        <v>298000</v>
      </c>
      <c r="H134" s="238">
        <v>298000</v>
      </c>
      <c r="I134" s="238">
        <v>298000</v>
      </c>
      <c r="J134" s="238">
        <v>298000</v>
      </c>
      <c r="K134" s="238">
        <v>298000</v>
      </c>
      <c r="L134" s="238">
        <v>298000</v>
      </c>
      <c r="M134" s="238">
        <v>298000</v>
      </c>
      <c r="N134" s="238">
        <v>298000</v>
      </c>
      <c r="O134" s="238">
        <v>298000</v>
      </c>
      <c r="P134" s="238">
        <v>298000</v>
      </c>
      <c r="Q134" s="238">
        <v>298000</v>
      </c>
      <c r="R134" s="238">
        <v>298000</v>
      </c>
      <c r="S134" s="238">
        <v>223497</v>
      </c>
      <c r="T134" s="728">
        <f t="shared" si="146"/>
        <v>0.74998993288590599</v>
      </c>
      <c r="U134" s="1"/>
    </row>
    <row r="135" spans="1:35" x14ac:dyDescent="0.25">
      <c r="A135" s="239" t="s">
        <v>125</v>
      </c>
      <c r="B135" s="240" t="s">
        <v>724</v>
      </c>
      <c r="C135" s="89"/>
      <c r="D135" s="89"/>
      <c r="E135" s="89"/>
      <c r="F135" s="89"/>
      <c r="G135" s="89"/>
      <c r="H135" s="89"/>
      <c r="I135" s="89"/>
      <c r="J135" s="89">
        <v>0</v>
      </c>
      <c r="K135" s="705">
        <v>11670</v>
      </c>
      <c r="L135" s="89">
        <v>11670</v>
      </c>
      <c r="M135" s="89">
        <v>11670</v>
      </c>
      <c r="N135" s="89">
        <f>11670-55</f>
        <v>11615</v>
      </c>
      <c r="O135" s="89">
        <f>11670-55</f>
        <v>11615</v>
      </c>
      <c r="P135" s="89">
        <f>11670-55</f>
        <v>11615</v>
      </c>
      <c r="Q135" s="89">
        <f t="shared" ref="Q135:R135" si="153">11670-55</f>
        <v>11615</v>
      </c>
      <c r="R135" s="89">
        <f t="shared" si="153"/>
        <v>11615</v>
      </c>
      <c r="S135" s="89">
        <v>11614</v>
      </c>
      <c r="T135" s="728">
        <f t="shared" si="146"/>
        <v>0.9999139044339217</v>
      </c>
      <c r="U135" s="1"/>
    </row>
    <row r="136" spans="1:35" ht="15.75" thickBot="1" x14ac:dyDescent="0.3">
      <c r="A136" s="239" t="s">
        <v>125</v>
      </c>
      <c r="B136" s="240" t="s">
        <v>152</v>
      </c>
      <c r="C136" s="89">
        <f t="shared" ref="C136:N136" si="154">C69</f>
        <v>13600</v>
      </c>
      <c r="D136" s="89">
        <f t="shared" si="154"/>
        <v>13600</v>
      </c>
      <c r="E136" s="89">
        <f t="shared" si="154"/>
        <v>13600</v>
      </c>
      <c r="F136" s="89">
        <f t="shared" si="154"/>
        <v>13600</v>
      </c>
      <c r="G136" s="89">
        <f t="shared" si="154"/>
        <v>13600</v>
      </c>
      <c r="H136" s="89">
        <f t="shared" si="154"/>
        <v>13600</v>
      </c>
      <c r="I136" s="89">
        <f t="shared" si="154"/>
        <v>13600</v>
      </c>
      <c r="J136" s="89">
        <f t="shared" si="154"/>
        <v>13600</v>
      </c>
      <c r="K136" s="89">
        <f t="shared" si="154"/>
        <v>13600</v>
      </c>
      <c r="L136" s="89">
        <f t="shared" si="154"/>
        <v>13600</v>
      </c>
      <c r="M136" s="89">
        <f t="shared" si="154"/>
        <v>13600</v>
      </c>
      <c r="N136" s="89">
        <f t="shared" si="154"/>
        <v>13600</v>
      </c>
      <c r="O136" s="89">
        <f t="shared" ref="O136:P136" si="155">O69</f>
        <v>13600</v>
      </c>
      <c r="P136" s="89">
        <f t="shared" si="155"/>
        <v>13600</v>
      </c>
      <c r="Q136" s="89">
        <f t="shared" ref="Q136:S136" si="156">Q69</f>
        <v>13600</v>
      </c>
      <c r="R136" s="89">
        <f t="shared" si="156"/>
        <v>13600</v>
      </c>
      <c r="S136" s="89">
        <f t="shared" si="156"/>
        <v>12070</v>
      </c>
      <c r="T136" s="728">
        <f t="shared" si="146"/>
        <v>0.88749999999999996</v>
      </c>
      <c r="U136" s="1"/>
    </row>
    <row r="137" spans="1:35" ht="15.75" thickBot="1" x14ac:dyDescent="0.3">
      <c r="A137" s="886" t="s">
        <v>153</v>
      </c>
      <c r="B137" s="887"/>
      <c r="C137" s="245">
        <f t="shared" ref="C137:S137" si="157">SUM(C134:C136)</f>
        <v>311600</v>
      </c>
      <c r="D137" s="245">
        <f t="shared" si="157"/>
        <v>311600</v>
      </c>
      <c r="E137" s="245">
        <f t="shared" si="157"/>
        <v>311600</v>
      </c>
      <c r="F137" s="245">
        <f t="shared" si="157"/>
        <v>311600</v>
      </c>
      <c r="G137" s="245">
        <f t="shared" si="157"/>
        <v>311600</v>
      </c>
      <c r="H137" s="245">
        <f t="shared" si="157"/>
        <v>311600</v>
      </c>
      <c r="I137" s="245">
        <f t="shared" si="157"/>
        <v>311600</v>
      </c>
      <c r="J137" s="245">
        <f t="shared" si="157"/>
        <v>311600</v>
      </c>
      <c r="K137" s="245">
        <f t="shared" si="157"/>
        <v>323270</v>
      </c>
      <c r="L137" s="245">
        <f t="shared" si="157"/>
        <v>323270</v>
      </c>
      <c r="M137" s="245">
        <f t="shared" si="157"/>
        <v>323270</v>
      </c>
      <c r="N137" s="245">
        <f t="shared" si="157"/>
        <v>323215</v>
      </c>
      <c r="O137" s="245">
        <f t="shared" ref="O137:P137" si="158">SUM(O134:O136)</f>
        <v>323215</v>
      </c>
      <c r="P137" s="245">
        <f t="shared" si="158"/>
        <v>323215</v>
      </c>
      <c r="Q137" s="245">
        <f t="shared" ref="Q137:R137" si="159">SUM(Q134:Q136)</f>
        <v>323215</v>
      </c>
      <c r="R137" s="245">
        <f t="shared" si="159"/>
        <v>323215</v>
      </c>
      <c r="S137" s="245">
        <f t="shared" si="157"/>
        <v>247181</v>
      </c>
      <c r="T137" s="728">
        <f t="shared" si="146"/>
        <v>0.76475720495645316</v>
      </c>
      <c r="U137" s="27">
        <f t="shared" ref="U137:AG139" si="160">D137-C137</f>
        <v>0</v>
      </c>
      <c r="V137" s="27">
        <f t="shared" si="160"/>
        <v>0</v>
      </c>
      <c r="W137" s="27">
        <f t="shared" si="160"/>
        <v>0</v>
      </c>
      <c r="X137" s="27">
        <f t="shared" si="160"/>
        <v>0</v>
      </c>
      <c r="Y137" s="27">
        <f t="shared" si="160"/>
        <v>0</v>
      </c>
      <c r="Z137" s="27">
        <f t="shared" si="160"/>
        <v>0</v>
      </c>
      <c r="AA137" s="27">
        <f t="shared" si="160"/>
        <v>0</v>
      </c>
      <c r="AB137" s="27">
        <f t="shared" si="160"/>
        <v>11670</v>
      </c>
      <c r="AC137" s="27">
        <f t="shared" si="160"/>
        <v>0</v>
      </c>
      <c r="AD137" s="27">
        <f t="shared" si="160"/>
        <v>0</v>
      </c>
      <c r="AE137" s="27">
        <f t="shared" si="160"/>
        <v>-55</v>
      </c>
      <c r="AF137" s="27">
        <f t="shared" si="160"/>
        <v>0</v>
      </c>
      <c r="AG137" s="27">
        <f t="shared" si="160"/>
        <v>0</v>
      </c>
      <c r="AH137" s="27">
        <f t="shared" ref="AH137:AH139" si="161">Q137-P137</f>
        <v>0</v>
      </c>
      <c r="AI137" s="27">
        <f t="shared" ref="AI137:AI139" si="162">R137-Q137</f>
        <v>0</v>
      </c>
    </row>
    <row r="138" spans="1:35" ht="22.5" customHeight="1" thickBot="1" x14ac:dyDescent="0.3">
      <c r="A138" s="872" t="s">
        <v>154</v>
      </c>
      <c r="B138" s="873"/>
      <c r="C138" s="248">
        <f t="shared" ref="C138:S138" si="163">C133+C137</f>
        <v>1071100</v>
      </c>
      <c r="D138" s="248">
        <f t="shared" si="163"/>
        <v>1073198</v>
      </c>
      <c r="E138" s="248">
        <f t="shared" si="163"/>
        <v>1073198</v>
      </c>
      <c r="F138" s="248">
        <f t="shared" si="163"/>
        <v>1062559</v>
      </c>
      <c r="G138" s="248">
        <f t="shared" si="163"/>
        <v>1062559</v>
      </c>
      <c r="H138" s="248">
        <f t="shared" si="163"/>
        <v>1062559</v>
      </c>
      <c r="I138" s="248">
        <f t="shared" si="163"/>
        <v>1066198</v>
      </c>
      <c r="J138" s="248">
        <f t="shared" si="163"/>
        <v>1066198</v>
      </c>
      <c r="K138" s="248">
        <f t="shared" si="163"/>
        <v>1102195</v>
      </c>
      <c r="L138" s="248">
        <f t="shared" si="163"/>
        <v>1102195</v>
      </c>
      <c r="M138" s="248">
        <f t="shared" si="163"/>
        <v>1102195</v>
      </c>
      <c r="N138" s="248">
        <f t="shared" si="163"/>
        <v>1102140</v>
      </c>
      <c r="O138" s="248">
        <f t="shared" ref="O138:P138" si="164">O133+O137</f>
        <v>1101274</v>
      </c>
      <c r="P138" s="248">
        <f t="shared" si="164"/>
        <v>1101274</v>
      </c>
      <c r="Q138" s="248">
        <f t="shared" ref="Q138:R138" si="165">Q133+Q137</f>
        <v>1100274</v>
      </c>
      <c r="R138" s="248">
        <f t="shared" si="165"/>
        <v>1110853</v>
      </c>
      <c r="S138" s="248">
        <f t="shared" si="163"/>
        <v>866355</v>
      </c>
      <c r="T138" s="728">
        <f t="shared" si="146"/>
        <v>0.77990067092585602</v>
      </c>
      <c r="U138" s="27">
        <f t="shared" si="160"/>
        <v>2098</v>
      </c>
      <c r="V138" s="27">
        <f t="shared" si="160"/>
        <v>0</v>
      </c>
      <c r="W138" s="27">
        <f t="shared" si="160"/>
        <v>-10639</v>
      </c>
      <c r="X138" s="27">
        <f t="shared" si="160"/>
        <v>0</v>
      </c>
      <c r="Y138" s="27">
        <f t="shared" si="160"/>
        <v>0</v>
      </c>
      <c r="Z138" s="27">
        <f t="shared" si="160"/>
        <v>3639</v>
      </c>
      <c r="AA138" s="27">
        <f t="shared" si="160"/>
        <v>0</v>
      </c>
      <c r="AB138" s="27">
        <f t="shared" si="160"/>
        <v>35997</v>
      </c>
      <c r="AC138" s="27">
        <f t="shared" si="160"/>
        <v>0</v>
      </c>
      <c r="AD138" s="27">
        <f t="shared" si="160"/>
        <v>0</v>
      </c>
      <c r="AE138" s="27">
        <f t="shared" si="160"/>
        <v>-55</v>
      </c>
      <c r="AF138" s="27">
        <f t="shared" si="160"/>
        <v>-866</v>
      </c>
      <c r="AG138" s="27">
        <f t="shared" si="160"/>
        <v>0</v>
      </c>
      <c r="AH138" s="27">
        <f t="shared" si="161"/>
        <v>-1000</v>
      </c>
      <c r="AI138" s="27">
        <f t="shared" si="162"/>
        <v>10579</v>
      </c>
    </row>
    <row r="139" spans="1:35" ht="27.75" customHeight="1" thickBot="1" x14ac:dyDescent="0.3">
      <c r="A139" s="249" t="s">
        <v>155</v>
      </c>
      <c r="B139" s="140"/>
      <c r="C139" s="252">
        <f t="shared" ref="C139:S139" si="166">C127+C138</f>
        <v>2990485</v>
      </c>
      <c r="D139" s="252">
        <f t="shared" si="166"/>
        <v>2995354</v>
      </c>
      <c r="E139" s="252">
        <f t="shared" si="166"/>
        <v>3012464</v>
      </c>
      <c r="F139" s="252">
        <f t="shared" si="166"/>
        <v>3005688</v>
      </c>
      <c r="G139" s="252">
        <f t="shared" si="166"/>
        <v>3005688</v>
      </c>
      <c r="H139" s="252">
        <f t="shared" si="166"/>
        <v>3005688</v>
      </c>
      <c r="I139" s="252">
        <f t="shared" si="166"/>
        <v>3017644</v>
      </c>
      <c r="J139" s="252">
        <f t="shared" si="166"/>
        <v>3018568</v>
      </c>
      <c r="K139" s="252">
        <f t="shared" si="166"/>
        <v>3116397</v>
      </c>
      <c r="L139" s="252">
        <f t="shared" si="166"/>
        <v>3117942</v>
      </c>
      <c r="M139" s="252">
        <f t="shared" si="166"/>
        <v>3117942</v>
      </c>
      <c r="N139" s="252">
        <f t="shared" si="166"/>
        <v>3122341</v>
      </c>
      <c r="O139" s="252">
        <f t="shared" ref="O139:P139" si="167">O127+O138</f>
        <v>3124538</v>
      </c>
      <c r="P139" s="252">
        <f t="shared" si="167"/>
        <v>3126138</v>
      </c>
      <c r="Q139" s="252">
        <f t="shared" ref="Q139:R139" si="168">Q127+Q138</f>
        <v>3125138</v>
      </c>
      <c r="R139" s="252">
        <f t="shared" si="168"/>
        <v>3166419</v>
      </c>
      <c r="S139" s="252">
        <f t="shared" si="166"/>
        <v>2061380.4</v>
      </c>
      <c r="T139" s="728">
        <f t="shared" si="146"/>
        <v>0.65101314765986429</v>
      </c>
      <c r="U139" s="27">
        <f t="shared" si="160"/>
        <v>4869</v>
      </c>
      <c r="V139" s="27">
        <f t="shared" si="160"/>
        <v>17110</v>
      </c>
      <c r="W139" s="27">
        <f t="shared" si="160"/>
        <v>-6776</v>
      </c>
      <c r="X139" s="27">
        <f t="shared" si="160"/>
        <v>0</v>
      </c>
      <c r="Y139" s="27">
        <f t="shared" si="160"/>
        <v>0</v>
      </c>
      <c r="Z139" s="27">
        <f t="shared" si="160"/>
        <v>11956</v>
      </c>
      <c r="AA139" s="27">
        <f t="shared" si="160"/>
        <v>924</v>
      </c>
      <c r="AB139" s="27">
        <f t="shared" si="160"/>
        <v>97829</v>
      </c>
      <c r="AC139" s="27">
        <f t="shared" si="160"/>
        <v>1545</v>
      </c>
      <c r="AD139" s="27">
        <f t="shared" si="160"/>
        <v>0</v>
      </c>
      <c r="AE139" s="27">
        <f t="shared" si="160"/>
        <v>4399</v>
      </c>
      <c r="AF139" s="27">
        <f t="shared" si="160"/>
        <v>2197</v>
      </c>
      <c r="AG139" s="27">
        <f t="shared" si="160"/>
        <v>1600</v>
      </c>
      <c r="AH139" s="27">
        <f t="shared" si="161"/>
        <v>-1000</v>
      </c>
      <c r="AI139" s="27">
        <f t="shared" si="162"/>
        <v>41281</v>
      </c>
    </row>
    <row r="140" spans="1:3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7">
        <f>K139-J139</f>
        <v>97829</v>
      </c>
      <c r="L140" s="1"/>
      <c r="M140" s="1"/>
      <c r="N140" s="1"/>
      <c r="O140" s="1"/>
      <c r="P140" s="1"/>
      <c r="Q140" s="1"/>
      <c r="R140" s="1"/>
      <c r="S140" s="1"/>
      <c r="T140" s="728"/>
      <c r="U140" s="1"/>
    </row>
    <row r="141" spans="1:3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728"/>
      <c r="U141" s="1"/>
    </row>
    <row r="142" spans="1:35" ht="26.25" customHeight="1" thickBot="1" x14ac:dyDescent="0.3">
      <c r="A142" s="874" t="s">
        <v>156</v>
      </c>
      <c r="B142" s="875"/>
      <c r="C142" s="875"/>
      <c r="D142" s="875"/>
      <c r="E142" s="875"/>
      <c r="F142" s="875"/>
      <c r="G142" s="875"/>
      <c r="H142" s="875"/>
      <c r="I142" s="875"/>
      <c r="J142" s="875"/>
      <c r="K142" s="875"/>
      <c r="L142" s="875"/>
      <c r="M142" s="875"/>
      <c r="N142" s="875"/>
      <c r="O142" s="875"/>
      <c r="P142" s="875"/>
      <c r="Q142" s="875"/>
      <c r="R142" s="875"/>
      <c r="S142" s="875"/>
      <c r="T142" s="728"/>
      <c r="U142" s="1"/>
    </row>
    <row r="143" spans="1:35" ht="38.25" customHeight="1" thickBot="1" x14ac:dyDescent="0.3">
      <c r="A143" s="876" t="s">
        <v>1</v>
      </c>
      <c r="B143" s="877"/>
      <c r="C143" s="387" t="s">
        <v>467</v>
      </c>
      <c r="D143" s="387" t="s">
        <v>465</v>
      </c>
      <c r="E143" s="387" t="s">
        <v>483</v>
      </c>
      <c r="F143" s="387" t="s">
        <v>500</v>
      </c>
      <c r="G143" s="387" t="s">
        <v>533</v>
      </c>
      <c r="H143" s="387" t="s">
        <v>578</v>
      </c>
      <c r="I143" s="387" t="s">
        <v>610</v>
      </c>
      <c r="J143" s="387" t="s">
        <v>579</v>
      </c>
      <c r="K143" s="387" t="s">
        <v>646</v>
      </c>
      <c r="L143" s="387" t="s">
        <v>637</v>
      </c>
      <c r="M143" s="387" t="s">
        <v>670</v>
      </c>
      <c r="N143" s="387" t="s">
        <v>680</v>
      </c>
      <c r="O143" s="387" t="s">
        <v>749</v>
      </c>
      <c r="P143" s="387" t="s">
        <v>774</v>
      </c>
      <c r="Q143" s="387" t="s">
        <v>783</v>
      </c>
      <c r="R143" s="387" t="s">
        <v>784</v>
      </c>
      <c r="S143" s="387" t="s">
        <v>853</v>
      </c>
      <c r="T143" s="728"/>
      <c r="U143" s="1"/>
    </row>
    <row r="144" spans="1:35" ht="25.5" customHeight="1" thickBot="1" x14ac:dyDescent="0.3">
      <c r="A144" s="878" t="s">
        <v>157</v>
      </c>
      <c r="B144" s="879"/>
      <c r="C144" s="253">
        <f t="shared" ref="C144:S144" si="169">SUM(C145:C163)</f>
        <v>2593450</v>
      </c>
      <c r="D144" s="253">
        <f t="shared" si="169"/>
        <v>2523450</v>
      </c>
      <c r="E144" s="253">
        <f t="shared" si="169"/>
        <v>2511270</v>
      </c>
      <c r="F144" s="253">
        <f t="shared" si="169"/>
        <v>2511270</v>
      </c>
      <c r="G144" s="253">
        <f t="shared" si="169"/>
        <v>2541070</v>
      </c>
      <c r="H144" s="253">
        <f t="shared" si="169"/>
        <v>2541070</v>
      </c>
      <c r="I144" s="253">
        <f t="shared" si="169"/>
        <v>2541070</v>
      </c>
      <c r="J144" s="253">
        <f t="shared" si="169"/>
        <v>2541070</v>
      </c>
      <c r="K144" s="253">
        <f t="shared" si="169"/>
        <v>2541070</v>
      </c>
      <c r="L144" s="253">
        <f t="shared" si="169"/>
        <v>2614470</v>
      </c>
      <c r="M144" s="253">
        <f t="shared" si="169"/>
        <v>2714670</v>
      </c>
      <c r="N144" s="253">
        <f t="shared" si="169"/>
        <v>2714670</v>
      </c>
      <c r="O144" s="253">
        <f t="shared" si="169"/>
        <v>2809670</v>
      </c>
      <c r="P144" s="253">
        <f t="shared" si="169"/>
        <v>2809670</v>
      </c>
      <c r="Q144" s="253">
        <f t="shared" si="169"/>
        <v>3949970</v>
      </c>
      <c r="R144" s="253">
        <f t="shared" si="169"/>
        <v>3949970</v>
      </c>
      <c r="S144" s="253">
        <f t="shared" si="169"/>
        <v>339919.73</v>
      </c>
      <c r="T144" s="728">
        <f t="shared" si="146"/>
        <v>8.6056281440112195E-2</v>
      </c>
      <c r="U144" s="27">
        <f t="shared" ref="U144:AG144" si="170">D144-C144</f>
        <v>-70000</v>
      </c>
      <c r="V144" s="27">
        <f t="shared" si="170"/>
        <v>-12180</v>
      </c>
      <c r="W144" s="27">
        <f t="shared" si="170"/>
        <v>0</v>
      </c>
      <c r="X144" s="27">
        <f t="shared" si="170"/>
        <v>29800</v>
      </c>
      <c r="Y144" s="27">
        <f t="shared" si="170"/>
        <v>0</v>
      </c>
      <c r="Z144" s="27">
        <f t="shared" si="170"/>
        <v>0</v>
      </c>
      <c r="AA144" s="27">
        <f t="shared" si="170"/>
        <v>0</v>
      </c>
      <c r="AB144" s="27">
        <f t="shared" si="170"/>
        <v>0</v>
      </c>
      <c r="AC144" s="27">
        <f t="shared" si="170"/>
        <v>73400</v>
      </c>
      <c r="AD144" s="27">
        <f t="shared" si="170"/>
        <v>100200</v>
      </c>
      <c r="AE144" s="27">
        <f t="shared" si="170"/>
        <v>0</v>
      </c>
      <c r="AF144" s="27">
        <f t="shared" si="170"/>
        <v>95000</v>
      </c>
      <c r="AG144" s="27">
        <f t="shared" si="170"/>
        <v>0</v>
      </c>
      <c r="AH144" s="27">
        <f t="shared" ref="AH144" si="171">Q144-P144</f>
        <v>1140300</v>
      </c>
      <c r="AI144" s="27">
        <f t="shared" ref="AI144" si="172">R144-Q144</f>
        <v>0</v>
      </c>
    </row>
    <row r="145" spans="1:21" ht="15.75" thickBot="1" x14ac:dyDescent="0.3">
      <c r="A145" s="77">
        <v>233</v>
      </c>
      <c r="B145" s="311" t="s">
        <v>158</v>
      </c>
      <c r="C145" s="255">
        <v>3000</v>
      </c>
      <c r="D145" s="255">
        <v>3000</v>
      </c>
      <c r="E145" s="255">
        <v>3000</v>
      </c>
      <c r="F145" s="255">
        <v>3000</v>
      </c>
      <c r="G145" s="255">
        <v>3000</v>
      </c>
      <c r="H145" s="255">
        <v>3000</v>
      </c>
      <c r="I145" s="255">
        <v>3000</v>
      </c>
      <c r="J145" s="255">
        <v>3000</v>
      </c>
      <c r="K145" s="255">
        <v>3000</v>
      </c>
      <c r="L145" s="255">
        <v>3000</v>
      </c>
      <c r="M145" s="255">
        <v>3000</v>
      </c>
      <c r="N145" s="255">
        <v>3000</v>
      </c>
      <c r="O145" s="255">
        <v>3000</v>
      </c>
      <c r="P145" s="255">
        <v>3000</v>
      </c>
      <c r="Q145" s="255">
        <v>3000</v>
      </c>
      <c r="R145" s="255">
        <v>3000</v>
      </c>
      <c r="S145" s="255">
        <v>0</v>
      </c>
      <c r="T145" s="728">
        <f t="shared" si="146"/>
        <v>0</v>
      </c>
      <c r="U145" s="1"/>
    </row>
    <row r="146" spans="1:21" x14ac:dyDescent="0.25">
      <c r="A146" s="261">
        <v>322</v>
      </c>
      <c r="B146" s="264" t="s">
        <v>356</v>
      </c>
      <c r="C146" s="260">
        <v>145000</v>
      </c>
      <c r="D146" s="260">
        <v>145000</v>
      </c>
      <c r="E146" s="260">
        <v>145000</v>
      </c>
      <c r="F146" s="260">
        <v>145000</v>
      </c>
      <c r="G146" s="260">
        <v>145000</v>
      </c>
      <c r="H146" s="260">
        <v>145000</v>
      </c>
      <c r="I146" s="260">
        <v>145000</v>
      </c>
      <c r="J146" s="260">
        <v>145000</v>
      </c>
      <c r="K146" s="260">
        <v>145000</v>
      </c>
      <c r="L146" s="260">
        <v>145000</v>
      </c>
      <c r="M146" s="260">
        <v>145000</v>
      </c>
      <c r="N146" s="260">
        <v>145000</v>
      </c>
      <c r="O146" s="260">
        <v>145000</v>
      </c>
      <c r="P146" s="260">
        <v>145000</v>
      </c>
      <c r="Q146" s="260">
        <v>145000</v>
      </c>
      <c r="R146" s="260">
        <v>145000</v>
      </c>
      <c r="S146" s="699">
        <v>0</v>
      </c>
      <c r="T146" s="728">
        <f t="shared" si="146"/>
        <v>0</v>
      </c>
      <c r="U146" s="1"/>
    </row>
    <row r="147" spans="1:21" x14ac:dyDescent="0.25">
      <c r="A147" s="261">
        <v>322</v>
      </c>
      <c r="B147" s="76" t="s">
        <v>355</v>
      </c>
      <c r="C147" s="263">
        <v>430000</v>
      </c>
      <c r="D147" s="263">
        <v>430000</v>
      </c>
      <c r="E147" s="263">
        <v>430000</v>
      </c>
      <c r="F147" s="263">
        <v>430000</v>
      </c>
      <c r="G147" s="263">
        <v>430000</v>
      </c>
      <c r="H147" s="263">
        <v>430000</v>
      </c>
      <c r="I147" s="263">
        <v>430000</v>
      </c>
      <c r="J147" s="263">
        <v>430000</v>
      </c>
      <c r="K147" s="263">
        <v>430000</v>
      </c>
      <c r="L147" s="263">
        <v>430000</v>
      </c>
      <c r="M147" s="263">
        <v>430000</v>
      </c>
      <c r="N147" s="263">
        <v>430000</v>
      </c>
      <c r="O147" s="263">
        <v>430000</v>
      </c>
      <c r="P147" s="263">
        <v>430000</v>
      </c>
      <c r="Q147" s="263">
        <v>430000</v>
      </c>
      <c r="R147" s="263">
        <v>430000</v>
      </c>
      <c r="S147" s="263">
        <v>238643.73</v>
      </c>
      <c r="T147" s="728">
        <f t="shared" si="146"/>
        <v>0.55498541860465123</v>
      </c>
      <c r="U147" s="1"/>
    </row>
    <row r="148" spans="1:21" x14ac:dyDescent="0.25">
      <c r="A148" s="261">
        <v>322</v>
      </c>
      <c r="B148" s="84" t="s">
        <v>348</v>
      </c>
      <c r="C148" s="263">
        <v>138200</v>
      </c>
      <c r="D148" s="263">
        <v>138200</v>
      </c>
      <c r="E148" s="263">
        <v>138200</v>
      </c>
      <c r="F148" s="263">
        <v>138200</v>
      </c>
      <c r="G148" s="263">
        <v>138200</v>
      </c>
      <c r="H148" s="263">
        <v>138200</v>
      </c>
      <c r="I148" s="263">
        <v>138200</v>
      </c>
      <c r="J148" s="263">
        <v>138200</v>
      </c>
      <c r="K148" s="263">
        <v>138200</v>
      </c>
      <c r="L148" s="263">
        <v>138200</v>
      </c>
      <c r="M148" s="263">
        <v>138200</v>
      </c>
      <c r="N148" s="263">
        <v>138200</v>
      </c>
      <c r="O148" s="263">
        <v>138200</v>
      </c>
      <c r="P148" s="263">
        <v>138200</v>
      </c>
      <c r="Q148" s="263">
        <v>138200</v>
      </c>
      <c r="R148" s="263">
        <v>138200</v>
      </c>
      <c r="S148" s="260">
        <v>0</v>
      </c>
      <c r="T148" s="728">
        <f t="shared" si="146"/>
        <v>0</v>
      </c>
      <c r="U148" s="1"/>
    </row>
    <row r="149" spans="1:21" x14ac:dyDescent="0.25">
      <c r="A149" s="261">
        <v>322</v>
      </c>
      <c r="B149" s="76" t="s">
        <v>353</v>
      </c>
      <c r="C149" s="263">
        <v>1146000</v>
      </c>
      <c r="D149" s="263">
        <v>1146000</v>
      </c>
      <c r="E149" s="263">
        <v>1146000</v>
      </c>
      <c r="F149" s="263">
        <v>1146000</v>
      </c>
      <c r="G149" s="263">
        <v>1146000</v>
      </c>
      <c r="H149" s="263">
        <v>1146000</v>
      </c>
      <c r="I149" s="263">
        <v>1146000</v>
      </c>
      <c r="J149" s="263">
        <v>1146000</v>
      </c>
      <c r="K149" s="263">
        <v>1146000</v>
      </c>
      <c r="L149" s="263">
        <v>1146000</v>
      </c>
      <c r="M149" s="812">
        <f>1146000+200</f>
        <v>1146200</v>
      </c>
      <c r="N149" s="263">
        <f>1146000+200</f>
        <v>1146200</v>
      </c>
      <c r="O149" s="263">
        <f>1146000+200</f>
        <v>1146200</v>
      </c>
      <c r="P149" s="263">
        <f>1146000+200</f>
        <v>1146200</v>
      </c>
      <c r="Q149" s="263">
        <f t="shared" ref="Q149:R149" si="173">1146000+200</f>
        <v>1146200</v>
      </c>
      <c r="R149" s="263">
        <f t="shared" si="173"/>
        <v>1146200</v>
      </c>
      <c r="S149" s="260">
        <v>0</v>
      </c>
      <c r="T149" s="728">
        <f t="shared" si="146"/>
        <v>0</v>
      </c>
      <c r="U149" s="1"/>
    </row>
    <row r="150" spans="1:21" x14ac:dyDescent="0.25">
      <c r="A150" s="258">
        <v>322</v>
      </c>
      <c r="B150" s="72" t="s">
        <v>352</v>
      </c>
      <c r="C150" s="260">
        <v>379400</v>
      </c>
      <c r="D150" s="260">
        <v>379400</v>
      </c>
      <c r="E150" s="763">
        <f t="shared" ref="E150:R150" si="174">379400+680</f>
        <v>380080</v>
      </c>
      <c r="F150" s="260">
        <f t="shared" si="174"/>
        <v>380080</v>
      </c>
      <c r="G150" s="260">
        <f t="shared" si="174"/>
        <v>380080</v>
      </c>
      <c r="H150" s="260">
        <f t="shared" si="174"/>
        <v>380080</v>
      </c>
      <c r="I150" s="260">
        <f t="shared" si="174"/>
        <v>380080</v>
      </c>
      <c r="J150" s="260">
        <f t="shared" si="174"/>
        <v>380080</v>
      </c>
      <c r="K150" s="260">
        <f t="shared" si="174"/>
        <v>380080</v>
      </c>
      <c r="L150" s="260">
        <f t="shared" si="174"/>
        <v>380080</v>
      </c>
      <c r="M150" s="260">
        <f t="shared" si="174"/>
        <v>380080</v>
      </c>
      <c r="N150" s="260">
        <f t="shared" si="174"/>
        <v>380080</v>
      </c>
      <c r="O150" s="260">
        <f t="shared" si="174"/>
        <v>380080</v>
      </c>
      <c r="P150" s="260">
        <f t="shared" si="174"/>
        <v>380080</v>
      </c>
      <c r="Q150" s="260">
        <f t="shared" si="174"/>
        <v>380080</v>
      </c>
      <c r="R150" s="260">
        <f t="shared" si="174"/>
        <v>380080</v>
      </c>
      <c r="S150" s="260">
        <v>0</v>
      </c>
      <c r="T150" s="728">
        <f t="shared" si="146"/>
        <v>0</v>
      </c>
      <c r="U150" s="1"/>
    </row>
    <row r="151" spans="1:21" x14ac:dyDescent="0.25">
      <c r="A151" s="258">
        <v>322</v>
      </c>
      <c r="B151" s="72" t="s">
        <v>351</v>
      </c>
      <c r="C151" s="257">
        <v>50000</v>
      </c>
      <c r="D151" s="257">
        <v>50000</v>
      </c>
      <c r="E151" s="257">
        <v>50000</v>
      </c>
      <c r="F151" s="257">
        <v>50000</v>
      </c>
      <c r="G151" s="257">
        <v>50000</v>
      </c>
      <c r="H151" s="257">
        <v>50000</v>
      </c>
      <c r="I151" s="257">
        <v>50000</v>
      </c>
      <c r="J151" s="257">
        <v>50000</v>
      </c>
      <c r="K151" s="257">
        <v>50000</v>
      </c>
      <c r="L151" s="257">
        <v>50000</v>
      </c>
      <c r="M151" s="257">
        <v>50000</v>
      </c>
      <c r="N151" s="257">
        <v>50000</v>
      </c>
      <c r="O151" s="257">
        <v>50000</v>
      </c>
      <c r="P151" s="257">
        <v>50000</v>
      </c>
      <c r="Q151" s="257">
        <v>50000</v>
      </c>
      <c r="R151" s="257">
        <v>50000</v>
      </c>
      <c r="S151" s="260">
        <v>0</v>
      </c>
      <c r="T151" s="728">
        <f t="shared" si="146"/>
        <v>0</v>
      </c>
      <c r="U151" s="1"/>
    </row>
    <row r="152" spans="1:21" x14ac:dyDescent="0.25">
      <c r="A152" s="258">
        <v>322</v>
      </c>
      <c r="B152" s="114" t="s">
        <v>349</v>
      </c>
      <c r="C152" s="257">
        <v>196500</v>
      </c>
      <c r="D152" s="257">
        <v>196500</v>
      </c>
      <c r="E152" s="688">
        <f t="shared" ref="E152:R152" si="175">196500-12860</f>
        <v>183640</v>
      </c>
      <c r="F152" s="257">
        <f t="shared" si="175"/>
        <v>183640</v>
      </c>
      <c r="G152" s="257">
        <f t="shared" si="175"/>
        <v>183640</v>
      </c>
      <c r="H152" s="257">
        <f t="shared" si="175"/>
        <v>183640</v>
      </c>
      <c r="I152" s="257">
        <f t="shared" si="175"/>
        <v>183640</v>
      </c>
      <c r="J152" s="257">
        <f t="shared" si="175"/>
        <v>183640</v>
      </c>
      <c r="K152" s="257">
        <f t="shared" si="175"/>
        <v>183640</v>
      </c>
      <c r="L152" s="257">
        <f t="shared" si="175"/>
        <v>183640</v>
      </c>
      <c r="M152" s="257">
        <f t="shared" si="175"/>
        <v>183640</v>
      </c>
      <c r="N152" s="257">
        <f t="shared" si="175"/>
        <v>183640</v>
      </c>
      <c r="O152" s="257">
        <f t="shared" si="175"/>
        <v>183640</v>
      </c>
      <c r="P152" s="257">
        <f t="shared" si="175"/>
        <v>183640</v>
      </c>
      <c r="Q152" s="257">
        <f t="shared" si="175"/>
        <v>183640</v>
      </c>
      <c r="R152" s="257">
        <f t="shared" si="175"/>
        <v>183640</v>
      </c>
      <c r="S152" s="260">
        <v>6276</v>
      </c>
      <c r="T152" s="728">
        <f t="shared" si="146"/>
        <v>3.4175560879982574E-2</v>
      </c>
      <c r="U152" s="1"/>
    </row>
    <row r="153" spans="1:21" x14ac:dyDescent="0.25">
      <c r="A153" s="258">
        <v>322</v>
      </c>
      <c r="B153" s="114" t="s">
        <v>635</v>
      </c>
      <c r="C153" s="257">
        <v>0</v>
      </c>
      <c r="D153" s="257">
        <v>0</v>
      </c>
      <c r="E153" s="257">
        <v>0</v>
      </c>
      <c r="F153" s="257">
        <v>0</v>
      </c>
      <c r="G153" s="688">
        <v>29800</v>
      </c>
      <c r="H153" s="257">
        <v>29800</v>
      </c>
      <c r="I153" s="257">
        <v>29800</v>
      </c>
      <c r="J153" s="257">
        <v>29800</v>
      </c>
      <c r="K153" s="257">
        <v>29800</v>
      </c>
      <c r="L153" s="257">
        <v>29800</v>
      </c>
      <c r="M153" s="257">
        <v>29800</v>
      </c>
      <c r="N153" s="257">
        <v>29800</v>
      </c>
      <c r="O153" s="257">
        <v>29800</v>
      </c>
      <c r="P153" s="257">
        <v>29800</v>
      </c>
      <c r="Q153" s="257">
        <v>29800</v>
      </c>
      <c r="R153" s="257">
        <v>29800</v>
      </c>
      <c r="S153" s="260">
        <v>0</v>
      </c>
      <c r="T153" s="728">
        <f t="shared" si="146"/>
        <v>0</v>
      </c>
      <c r="U153" s="1"/>
    </row>
    <row r="154" spans="1:21" x14ac:dyDescent="0.25">
      <c r="A154" s="83">
        <v>322</v>
      </c>
      <c r="B154" s="522" t="s">
        <v>638</v>
      </c>
      <c r="C154" s="257">
        <v>0</v>
      </c>
      <c r="D154" s="257">
        <v>0</v>
      </c>
      <c r="E154" s="257">
        <v>0</v>
      </c>
      <c r="F154" s="257">
        <v>0</v>
      </c>
      <c r="G154" s="257">
        <v>0</v>
      </c>
      <c r="H154" s="257">
        <v>0</v>
      </c>
      <c r="I154" s="257">
        <v>0</v>
      </c>
      <c r="J154" s="257">
        <v>0</v>
      </c>
      <c r="K154" s="257">
        <v>0</v>
      </c>
      <c r="L154" s="688">
        <v>73400</v>
      </c>
      <c r="M154" s="257">
        <v>73400</v>
      </c>
      <c r="N154" s="257">
        <v>73400</v>
      </c>
      <c r="O154" s="257">
        <v>73400</v>
      </c>
      <c r="P154" s="257">
        <v>73400</v>
      </c>
      <c r="Q154" s="257">
        <v>73400</v>
      </c>
      <c r="R154" s="257">
        <v>73400</v>
      </c>
      <c r="S154" s="260">
        <v>0</v>
      </c>
      <c r="T154" s="728">
        <f>S154/R154</f>
        <v>0</v>
      </c>
      <c r="U154" s="1"/>
    </row>
    <row r="155" spans="1:21" x14ac:dyDescent="0.25">
      <c r="A155" s="258">
        <v>322</v>
      </c>
      <c r="B155" s="522" t="s">
        <v>681</v>
      </c>
      <c r="C155" s="257">
        <v>0</v>
      </c>
      <c r="D155" s="257">
        <v>0</v>
      </c>
      <c r="E155" s="257">
        <v>0</v>
      </c>
      <c r="F155" s="257">
        <v>0</v>
      </c>
      <c r="G155" s="257">
        <v>0</v>
      </c>
      <c r="H155" s="257">
        <v>0</v>
      </c>
      <c r="I155" s="257">
        <v>0</v>
      </c>
      <c r="J155" s="257">
        <v>0</v>
      </c>
      <c r="K155" s="257">
        <v>0</v>
      </c>
      <c r="L155" s="257">
        <v>0</v>
      </c>
      <c r="M155" s="688">
        <v>100000</v>
      </c>
      <c r="N155" s="257">
        <v>100000</v>
      </c>
      <c r="O155" s="257">
        <v>100000</v>
      </c>
      <c r="P155" s="257">
        <v>100000</v>
      </c>
      <c r="Q155" s="257">
        <v>100000</v>
      </c>
      <c r="R155" s="257">
        <v>100000</v>
      </c>
      <c r="S155" s="260">
        <v>0</v>
      </c>
      <c r="T155" s="728">
        <f>S155/R155</f>
        <v>0</v>
      </c>
      <c r="U155" s="1"/>
    </row>
    <row r="156" spans="1:21" x14ac:dyDescent="0.25">
      <c r="A156" s="258">
        <v>322</v>
      </c>
      <c r="B156" s="522" t="s">
        <v>842</v>
      </c>
      <c r="C156" s="257">
        <v>0</v>
      </c>
      <c r="D156" s="257">
        <v>0</v>
      </c>
      <c r="E156" s="257">
        <v>0</v>
      </c>
      <c r="F156" s="257">
        <v>0</v>
      </c>
      <c r="G156" s="257">
        <v>0</v>
      </c>
      <c r="H156" s="257">
        <v>0</v>
      </c>
      <c r="I156" s="257">
        <v>0</v>
      </c>
      <c r="J156" s="257">
        <v>0</v>
      </c>
      <c r="K156" s="257">
        <v>0</v>
      </c>
      <c r="L156" s="257">
        <v>0</v>
      </c>
      <c r="M156" s="257">
        <v>0</v>
      </c>
      <c r="N156" s="257">
        <v>0</v>
      </c>
      <c r="O156" s="688">
        <v>95000</v>
      </c>
      <c r="P156" s="257">
        <v>95000</v>
      </c>
      <c r="Q156" s="257">
        <v>95000</v>
      </c>
      <c r="R156" s="257">
        <v>95000</v>
      </c>
      <c r="S156" s="260">
        <v>95000</v>
      </c>
      <c r="T156" s="728">
        <f>S156/R156</f>
        <v>1</v>
      </c>
      <c r="U156" s="1"/>
    </row>
    <row r="157" spans="1:21" x14ac:dyDescent="0.25">
      <c r="A157" s="258">
        <v>322</v>
      </c>
      <c r="B157" s="264" t="s">
        <v>286</v>
      </c>
      <c r="C157" s="260">
        <v>70000</v>
      </c>
      <c r="D157" s="260">
        <f t="shared" ref="D157:P157" si="176">70000-70000</f>
        <v>0</v>
      </c>
      <c r="E157" s="260">
        <f t="shared" si="176"/>
        <v>0</v>
      </c>
      <c r="F157" s="260">
        <f t="shared" si="176"/>
        <v>0</v>
      </c>
      <c r="G157" s="260">
        <f t="shared" si="176"/>
        <v>0</v>
      </c>
      <c r="H157" s="260">
        <f t="shared" si="176"/>
        <v>0</v>
      </c>
      <c r="I157" s="260">
        <f t="shared" si="176"/>
        <v>0</v>
      </c>
      <c r="J157" s="260">
        <f t="shared" si="176"/>
        <v>0</v>
      </c>
      <c r="K157" s="260">
        <f t="shared" si="176"/>
        <v>0</v>
      </c>
      <c r="L157" s="260">
        <f t="shared" si="176"/>
        <v>0</v>
      </c>
      <c r="M157" s="260">
        <f t="shared" si="176"/>
        <v>0</v>
      </c>
      <c r="N157" s="260">
        <f t="shared" si="176"/>
        <v>0</v>
      </c>
      <c r="O157" s="260">
        <f t="shared" si="176"/>
        <v>0</v>
      </c>
      <c r="P157" s="260">
        <f t="shared" si="176"/>
        <v>0</v>
      </c>
      <c r="Q157" s="260">
        <v>0</v>
      </c>
      <c r="R157" s="260">
        <v>0</v>
      </c>
      <c r="S157" s="260">
        <v>0</v>
      </c>
      <c r="T157" s="728">
        <v>0</v>
      </c>
      <c r="U157" s="1"/>
    </row>
    <row r="158" spans="1:21" x14ac:dyDescent="0.25">
      <c r="A158" s="261">
        <v>322</v>
      </c>
      <c r="B158" s="76" t="s">
        <v>787</v>
      </c>
      <c r="C158" s="263">
        <v>0</v>
      </c>
      <c r="D158" s="263">
        <v>0</v>
      </c>
      <c r="E158" s="263">
        <v>0</v>
      </c>
      <c r="F158" s="263">
        <v>0</v>
      </c>
      <c r="G158" s="263">
        <v>0</v>
      </c>
      <c r="H158" s="263">
        <v>0</v>
      </c>
      <c r="I158" s="263">
        <v>0</v>
      </c>
      <c r="J158" s="263">
        <v>0</v>
      </c>
      <c r="K158" s="263">
        <v>0</v>
      </c>
      <c r="L158" s="263">
        <v>0</v>
      </c>
      <c r="M158" s="263">
        <v>0</v>
      </c>
      <c r="N158" s="263">
        <v>0</v>
      </c>
      <c r="O158" s="263">
        <v>0</v>
      </c>
      <c r="P158" s="263">
        <v>0</v>
      </c>
      <c r="Q158" s="812">
        <v>831300</v>
      </c>
      <c r="R158" s="263">
        <v>831300</v>
      </c>
      <c r="S158" s="260">
        <v>0</v>
      </c>
      <c r="T158" s="728">
        <f>S158/R158</f>
        <v>0</v>
      </c>
      <c r="U158" s="1"/>
    </row>
    <row r="159" spans="1:21" x14ac:dyDescent="0.25">
      <c r="A159" s="258">
        <v>322</v>
      </c>
      <c r="B159" s="522" t="s">
        <v>841</v>
      </c>
      <c r="C159" s="260">
        <v>0</v>
      </c>
      <c r="D159" s="260">
        <v>0</v>
      </c>
      <c r="E159" s="260">
        <v>0</v>
      </c>
      <c r="F159" s="260">
        <v>0</v>
      </c>
      <c r="G159" s="260">
        <v>0</v>
      </c>
      <c r="H159" s="260">
        <v>0</v>
      </c>
      <c r="I159" s="260">
        <v>0</v>
      </c>
      <c r="J159" s="260">
        <v>0</v>
      </c>
      <c r="K159" s="260">
        <v>0</v>
      </c>
      <c r="L159" s="260">
        <v>0</v>
      </c>
      <c r="M159" s="260">
        <v>0</v>
      </c>
      <c r="N159" s="260">
        <v>0</v>
      </c>
      <c r="O159" s="260">
        <v>0</v>
      </c>
      <c r="P159" s="260">
        <v>0</v>
      </c>
      <c r="Q159" s="688">
        <v>30000</v>
      </c>
      <c r="R159" s="257">
        <v>30000</v>
      </c>
      <c r="S159" s="260">
        <v>0</v>
      </c>
      <c r="T159" s="728">
        <f t="shared" si="146"/>
        <v>0</v>
      </c>
      <c r="U159" s="1"/>
    </row>
    <row r="160" spans="1:21" x14ac:dyDescent="0.25">
      <c r="A160" s="258">
        <v>322</v>
      </c>
      <c r="B160" s="264" t="s">
        <v>286</v>
      </c>
      <c r="C160" s="260">
        <v>0</v>
      </c>
      <c r="D160" s="260">
        <v>0</v>
      </c>
      <c r="E160" s="260">
        <v>0</v>
      </c>
      <c r="F160" s="260">
        <v>0</v>
      </c>
      <c r="G160" s="260">
        <v>0</v>
      </c>
      <c r="H160" s="260">
        <v>0</v>
      </c>
      <c r="I160" s="260">
        <v>0</v>
      </c>
      <c r="J160" s="260">
        <v>0</v>
      </c>
      <c r="K160" s="260">
        <v>0</v>
      </c>
      <c r="L160" s="260">
        <v>0</v>
      </c>
      <c r="M160" s="260">
        <v>0</v>
      </c>
      <c r="N160" s="260">
        <v>0</v>
      </c>
      <c r="O160" s="260">
        <v>0</v>
      </c>
      <c r="P160" s="260">
        <v>0</v>
      </c>
      <c r="Q160" s="688">
        <v>70000</v>
      </c>
      <c r="R160" s="257">
        <v>70000</v>
      </c>
      <c r="S160" s="260">
        <v>0</v>
      </c>
      <c r="T160" s="728">
        <f t="shared" si="146"/>
        <v>0</v>
      </c>
    </row>
    <row r="161" spans="1:35" x14ac:dyDescent="0.25">
      <c r="A161" s="506">
        <v>322</v>
      </c>
      <c r="B161" s="522" t="s">
        <v>287</v>
      </c>
      <c r="C161" s="257">
        <f t="shared" ref="C161:R161" si="177">140750-105400</f>
        <v>35350</v>
      </c>
      <c r="D161" s="257">
        <f t="shared" si="177"/>
        <v>35350</v>
      </c>
      <c r="E161" s="257">
        <f t="shared" si="177"/>
        <v>35350</v>
      </c>
      <c r="F161" s="257">
        <f t="shared" si="177"/>
        <v>35350</v>
      </c>
      <c r="G161" s="257">
        <f t="shared" si="177"/>
        <v>35350</v>
      </c>
      <c r="H161" s="257">
        <f t="shared" si="177"/>
        <v>35350</v>
      </c>
      <c r="I161" s="257">
        <f t="shared" si="177"/>
        <v>35350</v>
      </c>
      <c r="J161" s="257">
        <f t="shared" si="177"/>
        <v>35350</v>
      </c>
      <c r="K161" s="257">
        <f t="shared" si="177"/>
        <v>35350</v>
      </c>
      <c r="L161" s="257">
        <f t="shared" si="177"/>
        <v>35350</v>
      </c>
      <c r="M161" s="257">
        <f t="shared" si="177"/>
        <v>35350</v>
      </c>
      <c r="N161" s="257">
        <f t="shared" si="177"/>
        <v>35350</v>
      </c>
      <c r="O161" s="257">
        <f t="shared" si="177"/>
        <v>35350</v>
      </c>
      <c r="P161" s="257">
        <f t="shared" si="177"/>
        <v>35350</v>
      </c>
      <c r="Q161" s="257">
        <f t="shared" si="177"/>
        <v>35350</v>
      </c>
      <c r="R161" s="257">
        <f t="shared" si="177"/>
        <v>35350</v>
      </c>
      <c r="S161" s="260">
        <v>0</v>
      </c>
      <c r="T161" s="728">
        <f>S161/R161</f>
        <v>0</v>
      </c>
      <c r="U161" s="27"/>
      <c r="V161" s="27"/>
      <c r="W161" s="27"/>
    </row>
    <row r="162" spans="1:35" x14ac:dyDescent="0.25">
      <c r="A162" s="258">
        <v>322</v>
      </c>
      <c r="B162" s="114" t="s">
        <v>840</v>
      </c>
      <c r="C162" s="257">
        <v>0</v>
      </c>
      <c r="D162" s="257">
        <v>0</v>
      </c>
      <c r="E162" s="257">
        <v>0</v>
      </c>
      <c r="F162" s="257">
        <v>0</v>
      </c>
      <c r="G162" s="257">
        <v>0</v>
      </c>
      <c r="H162" s="257">
        <v>0</v>
      </c>
      <c r="I162" s="257">
        <v>0</v>
      </c>
      <c r="J162" s="257">
        <v>0</v>
      </c>
      <c r="K162" s="257">
        <v>0</v>
      </c>
      <c r="L162" s="257">
        <v>0</v>
      </c>
      <c r="M162" s="257">
        <v>0</v>
      </c>
      <c r="N162" s="257">
        <v>0</v>
      </c>
      <c r="O162" s="257">
        <v>0</v>
      </c>
      <c r="P162" s="257">
        <v>0</v>
      </c>
      <c r="Q162" s="688">
        <v>9000</v>
      </c>
      <c r="R162" s="257">
        <v>9000</v>
      </c>
      <c r="S162" s="260">
        <v>0</v>
      </c>
      <c r="T162" s="728">
        <f>S162/R162</f>
        <v>0</v>
      </c>
      <c r="U162" s="1"/>
    </row>
    <row r="163" spans="1:35" ht="15.75" thickBot="1" x14ac:dyDescent="0.3">
      <c r="A163" s="258">
        <v>322</v>
      </c>
      <c r="B163" s="84" t="s">
        <v>809</v>
      </c>
      <c r="C163" s="257">
        <v>0</v>
      </c>
      <c r="D163" s="257">
        <v>0</v>
      </c>
      <c r="E163" s="257">
        <v>0</v>
      </c>
      <c r="F163" s="257">
        <v>0</v>
      </c>
      <c r="G163" s="257">
        <v>0</v>
      </c>
      <c r="H163" s="257">
        <v>0</v>
      </c>
      <c r="I163" s="257">
        <v>0</v>
      </c>
      <c r="J163" s="257">
        <v>0</v>
      </c>
      <c r="K163" s="257">
        <v>0</v>
      </c>
      <c r="L163" s="257">
        <v>0</v>
      </c>
      <c r="M163" s="257">
        <v>0</v>
      </c>
      <c r="N163" s="257">
        <v>0</v>
      </c>
      <c r="O163" s="257">
        <v>0</v>
      </c>
      <c r="P163" s="257">
        <v>0</v>
      </c>
      <c r="Q163" s="688">
        <v>200000</v>
      </c>
      <c r="R163" s="257">
        <v>200000</v>
      </c>
      <c r="S163" s="260">
        <v>0</v>
      </c>
      <c r="T163" s="728">
        <f>S163/R163</f>
        <v>0</v>
      </c>
      <c r="U163" s="27">
        <f>SUM(R146:R163)</f>
        <v>3946970</v>
      </c>
      <c r="V163" s="27">
        <f>SUM(S146:S163)</f>
        <v>339919.73</v>
      </c>
    </row>
    <row r="164" spans="1:35" ht="25.5" customHeight="1" thickBot="1" x14ac:dyDescent="0.3">
      <c r="A164" s="878" t="s">
        <v>161</v>
      </c>
      <c r="B164" s="879"/>
      <c r="C164" s="253">
        <f t="shared" ref="C164:S164" si="178">SUM(C165:C192)</f>
        <v>3144736</v>
      </c>
      <c r="D164" s="253">
        <f t="shared" si="178"/>
        <v>3137146</v>
      </c>
      <c r="E164" s="253">
        <f t="shared" si="178"/>
        <v>3124966</v>
      </c>
      <c r="F164" s="253">
        <f t="shared" si="178"/>
        <v>3124966</v>
      </c>
      <c r="G164" s="253">
        <f t="shared" si="178"/>
        <v>3154766</v>
      </c>
      <c r="H164" s="253">
        <f t="shared" si="178"/>
        <v>3154766</v>
      </c>
      <c r="I164" s="253">
        <f t="shared" si="178"/>
        <v>3154766</v>
      </c>
      <c r="J164" s="253">
        <f t="shared" si="178"/>
        <v>3154766</v>
      </c>
      <c r="K164" s="253">
        <f t="shared" si="178"/>
        <v>3154766</v>
      </c>
      <c r="L164" s="253">
        <f t="shared" si="178"/>
        <v>3228166</v>
      </c>
      <c r="M164" s="253">
        <f t="shared" si="178"/>
        <v>3633366</v>
      </c>
      <c r="N164" s="253">
        <f t="shared" si="178"/>
        <v>3633366</v>
      </c>
      <c r="O164" s="253">
        <f t="shared" si="178"/>
        <v>3728366</v>
      </c>
      <c r="P164" s="253">
        <f t="shared" si="178"/>
        <v>3728366</v>
      </c>
      <c r="Q164" s="253">
        <f t="shared" si="178"/>
        <v>4868666</v>
      </c>
      <c r="R164" s="253">
        <f t="shared" si="178"/>
        <v>4868666</v>
      </c>
      <c r="S164" s="253">
        <f t="shared" si="178"/>
        <v>515861</v>
      </c>
      <c r="T164" s="728">
        <f t="shared" si="146"/>
        <v>0.1059553068540746</v>
      </c>
      <c r="U164" s="27">
        <f t="shared" ref="U164:AG164" si="179">D164-C164</f>
        <v>-7590</v>
      </c>
      <c r="V164" s="27">
        <f t="shared" si="179"/>
        <v>-12180</v>
      </c>
      <c r="W164" s="27">
        <f t="shared" si="179"/>
        <v>0</v>
      </c>
      <c r="X164" s="27">
        <f t="shared" si="179"/>
        <v>29800</v>
      </c>
      <c r="Y164" s="27">
        <f t="shared" si="179"/>
        <v>0</v>
      </c>
      <c r="Z164" s="27">
        <f t="shared" si="179"/>
        <v>0</v>
      </c>
      <c r="AA164" s="27">
        <f t="shared" si="179"/>
        <v>0</v>
      </c>
      <c r="AB164" s="27">
        <f t="shared" si="179"/>
        <v>0</v>
      </c>
      <c r="AC164" s="27">
        <f t="shared" si="179"/>
        <v>73400</v>
      </c>
      <c r="AD164" s="27">
        <f t="shared" si="179"/>
        <v>405200</v>
      </c>
      <c r="AE164" s="27">
        <f t="shared" si="179"/>
        <v>0</v>
      </c>
      <c r="AF164" s="27">
        <f t="shared" si="179"/>
        <v>95000</v>
      </c>
      <c r="AG164" s="27">
        <f t="shared" si="179"/>
        <v>0</v>
      </c>
      <c r="AH164" s="27">
        <f t="shared" ref="AH164" si="180">Q164-P164</f>
        <v>1140300</v>
      </c>
      <c r="AI164" s="27">
        <f t="shared" ref="AI164" si="181">R164-Q164</f>
        <v>0</v>
      </c>
    </row>
    <row r="165" spans="1:35" x14ac:dyDescent="0.25">
      <c r="A165" s="710" t="s">
        <v>82</v>
      </c>
      <c r="B165" s="711" t="s">
        <v>200</v>
      </c>
      <c r="C165" s="268">
        <v>30000</v>
      </c>
      <c r="D165" s="268">
        <v>30000</v>
      </c>
      <c r="E165" s="268">
        <v>30000</v>
      </c>
      <c r="F165" s="268">
        <v>30000</v>
      </c>
      <c r="G165" s="268">
        <v>30000</v>
      </c>
      <c r="H165" s="268">
        <v>30000</v>
      </c>
      <c r="I165" s="268">
        <v>30000</v>
      </c>
      <c r="J165" s="268">
        <v>30000</v>
      </c>
      <c r="K165" s="268">
        <v>30000</v>
      </c>
      <c r="L165" s="268">
        <v>30000</v>
      </c>
      <c r="M165" s="268">
        <v>30000</v>
      </c>
      <c r="N165" s="268">
        <v>30000</v>
      </c>
      <c r="O165" s="268">
        <v>30000</v>
      </c>
      <c r="P165" s="268">
        <v>30000</v>
      </c>
      <c r="Q165" s="268">
        <v>30000</v>
      </c>
      <c r="R165" s="268">
        <v>30000</v>
      </c>
      <c r="S165" s="268">
        <v>7625</v>
      </c>
      <c r="T165" s="728">
        <f t="shared" si="146"/>
        <v>0.25416666666666665</v>
      </c>
      <c r="U165" s="27"/>
    </row>
    <row r="166" spans="1:35" x14ac:dyDescent="0.25">
      <c r="A166" s="275" t="s">
        <v>82</v>
      </c>
      <c r="B166" s="265" t="s">
        <v>163</v>
      </c>
      <c r="C166" s="276">
        <v>1500</v>
      </c>
      <c r="D166" s="276">
        <v>1500</v>
      </c>
      <c r="E166" s="276">
        <v>1500</v>
      </c>
      <c r="F166" s="276">
        <v>1500</v>
      </c>
      <c r="G166" s="276">
        <v>1500</v>
      </c>
      <c r="H166" s="276">
        <v>1500</v>
      </c>
      <c r="I166" s="276">
        <v>1500</v>
      </c>
      <c r="J166" s="276">
        <v>1500</v>
      </c>
      <c r="K166" s="276">
        <v>1500</v>
      </c>
      <c r="L166" s="276">
        <v>1500</v>
      </c>
      <c r="M166" s="276">
        <v>1500</v>
      </c>
      <c r="N166" s="276">
        <v>1500</v>
      </c>
      <c r="O166" s="276">
        <v>1500</v>
      </c>
      <c r="P166" s="276">
        <v>1500</v>
      </c>
      <c r="Q166" s="276">
        <v>1500</v>
      </c>
      <c r="R166" s="276">
        <v>1500</v>
      </c>
      <c r="S166" s="276">
        <v>0</v>
      </c>
      <c r="T166" s="728">
        <f t="shared" si="146"/>
        <v>0</v>
      </c>
      <c r="U166" s="1"/>
    </row>
    <row r="167" spans="1:35" x14ac:dyDescent="0.25">
      <c r="A167" s="280" t="s">
        <v>87</v>
      </c>
      <c r="B167" s="556" t="s">
        <v>332</v>
      </c>
      <c r="C167" s="282">
        <v>151200</v>
      </c>
      <c r="D167" s="282">
        <v>151200</v>
      </c>
      <c r="E167" s="282">
        <v>151200</v>
      </c>
      <c r="F167" s="282">
        <v>151200</v>
      </c>
      <c r="G167" s="282">
        <v>151200</v>
      </c>
      <c r="H167" s="282">
        <v>151200</v>
      </c>
      <c r="I167" s="282">
        <v>151200</v>
      </c>
      <c r="J167" s="282">
        <v>151200</v>
      </c>
      <c r="K167" s="282">
        <v>151200</v>
      </c>
      <c r="L167" s="282">
        <v>151200</v>
      </c>
      <c r="M167" s="709">
        <f>151200+3530</f>
        <v>154730</v>
      </c>
      <c r="N167" s="282">
        <f>151200+3530</f>
        <v>154730</v>
      </c>
      <c r="O167" s="282">
        <f>151200+3530</f>
        <v>154730</v>
      </c>
      <c r="P167" s="282">
        <f>151200+3530</f>
        <v>154730</v>
      </c>
      <c r="Q167" s="282">
        <f t="shared" ref="Q167:R167" si="182">151200+3530</f>
        <v>154730</v>
      </c>
      <c r="R167" s="282">
        <f t="shared" si="182"/>
        <v>154730</v>
      </c>
      <c r="S167" s="276">
        <v>0</v>
      </c>
      <c r="T167" s="728">
        <f t="shared" si="146"/>
        <v>0</v>
      </c>
      <c r="U167" s="1"/>
    </row>
    <row r="168" spans="1:35" x14ac:dyDescent="0.25">
      <c r="A168" s="280" t="s">
        <v>89</v>
      </c>
      <c r="B168" s="281" t="s">
        <v>844</v>
      </c>
      <c r="C168" s="270">
        <v>100000</v>
      </c>
      <c r="D168" s="270">
        <v>100000</v>
      </c>
      <c r="E168" s="270">
        <v>100000</v>
      </c>
      <c r="F168" s="270">
        <v>100000</v>
      </c>
      <c r="G168" s="270">
        <v>100000</v>
      </c>
      <c r="H168" s="270">
        <v>100000</v>
      </c>
      <c r="I168" s="270">
        <v>100000</v>
      </c>
      <c r="J168" s="270">
        <v>100000</v>
      </c>
      <c r="K168" s="270">
        <v>100000</v>
      </c>
      <c r="L168" s="270">
        <v>100000</v>
      </c>
      <c r="M168" s="270">
        <v>100000</v>
      </c>
      <c r="N168" s="270">
        <v>100000</v>
      </c>
      <c r="O168" s="270">
        <v>100000</v>
      </c>
      <c r="P168" s="270">
        <v>100000</v>
      </c>
      <c r="Q168" s="270">
        <v>100000</v>
      </c>
      <c r="R168" s="270">
        <v>100000</v>
      </c>
      <c r="S168" s="276">
        <v>0</v>
      </c>
      <c r="T168" s="728">
        <f t="shared" si="146"/>
        <v>0</v>
      </c>
      <c r="U168" s="1"/>
    </row>
    <row r="169" spans="1:35" x14ac:dyDescent="0.25">
      <c r="A169" s="706" t="s">
        <v>93</v>
      </c>
      <c r="B169" s="707" t="s">
        <v>350</v>
      </c>
      <c r="C169" s="270">
        <v>196500</v>
      </c>
      <c r="D169" s="270">
        <v>196500</v>
      </c>
      <c r="E169" s="753">
        <f t="shared" ref="E169:R169" si="183">196500-12860</f>
        <v>183640</v>
      </c>
      <c r="F169" s="270">
        <f t="shared" si="183"/>
        <v>183640</v>
      </c>
      <c r="G169" s="270">
        <f t="shared" si="183"/>
        <v>183640</v>
      </c>
      <c r="H169" s="270">
        <f t="shared" si="183"/>
        <v>183640</v>
      </c>
      <c r="I169" s="270">
        <f t="shared" si="183"/>
        <v>183640</v>
      </c>
      <c r="J169" s="270">
        <f t="shared" si="183"/>
        <v>183640</v>
      </c>
      <c r="K169" s="270">
        <f t="shared" si="183"/>
        <v>183640</v>
      </c>
      <c r="L169" s="270">
        <f t="shared" si="183"/>
        <v>183640</v>
      </c>
      <c r="M169" s="270">
        <f t="shared" si="183"/>
        <v>183640</v>
      </c>
      <c r="N169" s="270">
        <f t="shared" si="183"/>
        <v>183640</v>
      </c>
      <c r="O169" s="270">
        <f t="shared" si="183"/>
        <v>183640</v>
      </c>
      <c r="P169" s="270">
        <f t="shared" si="183"/>
        <v>183640</v>
      </c>
      <c r="Q169" s="270">
        <f t="shared" si="183"/>
        <v>183640</v>
      </c>
      <c r="R169" s="270">
        <f t="shared" si="183"/>
        <v>183640</v>
      </c>
      <c r="S169" s="276">
        <v>6276</v>
      </c>
      <c r="T169" s="728">
        <f t="shared" si="146"/>
        <v>3.4175560879982574E-2</v>
      </c>
      <c r="U169" s="1">
        <f>177363+6277</f>
        <v>183640</v>
      </c>
    </row>
    <row r="170" spans="1:35" x14ac:dyDescent="0.25">
      <c r="A170" s="706" t="s">
        <v>93</v>
      </c>
      <c r="B170" s="707" t="s">
        <v>845</v>
      </c>
      <c r="C170" s="270">
        <v>0</v>
      </c>
      <c r="D170" s="270">
        <v>0</v>
      </c>
      <c r="E170" s="270">
        <v>0</v>
      </c>
      <c r="F170" s="270">
        <v>0</v>
      </c>
      <c r="G170" s="270">
        <v>0</v>
      </c>
      <c r="H170" s="270">
        <v>0</v>
      </c>
      <c r="I170" s="270">
        <v>0</v>
      </c>
      <c r="J170" s="270">
        <v>0</v>
      </c>
      <c r="K170" s="270">
        <v>0</v>
      </c>
      <c r="L170" s="270">
        <v>0</v>
      </c>
      <c r="M170" s="270">
        <v>0</v>
      </c>
      <c r="N170" s="270">
        <v>0</v>
      </c>
      <c r="O170" s="270">
        <v>0</v>
      </c>
      <c r="P170" s="270">
        <v>0</v>
      </c>
      <c r="Q170" s="753">
        <v>30300</v>
      </c>
      <c r="R170" s="270">
        <v>30300</v>
      </c>
      <c r="S170" s="276">
        <v>0</v>
      </c>
      <c r="T170" s="728">
        <f t="shared" si="146"/>
        <v>0</v>
      </c>
      <c r="U170" s="1"/>
    </row>
    <row r="171" spans="1:35" x14ac:dyDescent="0.25">
      <c r="A171" s="706" t="s">
        <v>164</v>
      </c>
      <c r="B171" s="708" t="s">
        <v>165</v>
      </c>
      <c r="C171" s="270">
        <v>23000</v>
      </c>
      <c r="D171" s="270">
        <v>23000</v>
      </c>
      <c r="E171" s="270">
        <v>23000</v>
      </c>
      <c r="F171" s="270">
        <v>23000</v>
      </c>
      <c r="G171" s="270">
        <v>23000</v>
      </c>
      <c r="H171" s="270">
        <v>23000</v>
      </c>
      <c r="I171" s="270">
        <v>23000</v>
      </c>
      <c r="J171" s="270">
        <v>23000</v>
      </c>
      <c r="K171" s="270">
        <v>23000</v>
      </c>
      <c r="L171" s="270">
        <v>23000</v>
      </c>
      <c r="M171" s="270">
        <v>23000</v>
      </c>
      <c r="N171" s="270">
        <v>23000</v>
      </c>
      <c r="O171" s="270">
        <v>23000</v>
      </c>
      <c r="P171" s="270">
        <v>23000</v>
      </c>
      <c r="Q171" s="753">
        <f>23000-20000</f>
        <v>3000</v>
      </c>
      <c r="R171" s="270">
        <f>23000-20000</f>
        <v>3000</v>
      </c>
      <c r="S171" s="276">
        <v>0</v>
      </c>
      <c r="T171" s="728">
        <f t="shared" si="146"/>
        <v>0</v>
      </c>
      <c r="U171" s="1"/>
    </row>
    <row r="172" spans="1:35" x14ac:dyDescent="0.25">
      <c r="A172" s="287" t="s">
        <v>96</v>
      </c>
      <c r="B172" s="285" t="s">
        <v>475</v>
      </c>
      <c r="C172" s="270">
        <v>10000</v>
      </c>
      <c r="D172" s="270">
        <v>10000</v>
      </c>
      <c r="E172" s="753">
        <f t="shared" ref="E172:P172" si="184">10000-5700</f>
        <v>4300</v>
      </c>
      <c r="F172" s="270">
        <f t="shared" si="184"/>
        <v>4300</v>
      </c>
      <c r="G172" s="270">
        <f t="shared" si="184"/>
        <v>4300</v>
      </c>
      <c r="H172" s="270">
        <f t="shared" si="184"/>
        <v>4300</v>
      </c>
      <c r="I172" s="270">
        <f t="shared" si="184"/>
        <v>4300</v>
      </c>
      <c r="J172" s="270">
        <f t="shared" si="184"/>
        <v>4300</v>
      </c>
      <c r="K172" s="270">
        <f t="shared" si="184"/>
        <v>4300</v>
      </c>
      <c r="L172" s="270">
        <f t="shared" si="184"/>
        <v>4300</v>
      </c>
      <c r="M172" s="270">
        <f t="shared" si="184"/>
        <v>4300</v>
      </c>
      <c r="N172" s="270">
        <f t="shared" si="184"/>
        <v>4300</v>
      </c>
      <c r="O172" s="270">
        <f t="shared" si="184"/>
        <v>4300</v>
      </c>
      <c r="P172" s="270">
        <f t="shared" si="184"/>
        <v>4300</v>
      </c>
      <c r="Q172" s="753">
        <f>10000-5700-4300</f>
        <v>0</v>
      </c>
      <c r="R172" s="270">
        <f>10000-5700-4300</f>
        <v>0</v>
      </c>
      <c r="S172" s="276">
        <v>0</v>
      </c>
      <c r="T172" s="728">
        <v>0</v>
      </c>
      <c r="U172" s="27"/>
    </row>
    <row r="173" spans="1:35" x14ac:dyDescent="0.25">
      <c r="A173" s="284" t="s">
        <v>96</v>
      </c>
      <c r="B173" s="493" t="s">
        <v>357</v>
      </c>
      <c r="C173" s="270">
        <v>221836</v>
      </c>
      <c r="D173" s="270">
        <v>221836</v>
      </c>
      <c r="E173" s="753">
        <f>221836-34376</f>
        <v>187460</v>
      </c>
      <c r="F173" s="270">
        <f>221836-34376</f>
        <v>187460</v>
      </c>
      <c r="G173" s="753">
        <f>221836-34376-55000-300</f>
        <v>132160</v>
      </c>
      <c r="H173" s="270">
        <f>221836-34376-55000-300</f>
        <v>132160</v>
      </c>
      <c r="I173" s="270">
        <f>221836-34376-55000-300</f>
        <v>132160</v>
      </c>
      <c r="J173" s="270">
        <f>221836-34376-55000-300</f>
        <v>132160</v>
      </c>
      <c r="K173" s="270">
        <f>221836-34376-55000-300</f>
        <v>132160</v>
      </c>
      <c r="L173" s="753">
        <f>221836-34376-55000-300-8200</f>
        <v>123960</v>
      </c>
      <c r="M173" s="753">
        <f>221836-34376-55000-300-8200+142470</f>
        <v>266430</v>
      </c>
      <c r="N173" s="270">
        <f>221836-34376-55000-300-8200+142470</f>
        <v>266430</v>
      </c>
      <c r="O173" s="270">
        <f>221836-34376-55000-300-8200+142470</f>
        <v>266430</v>
      </c>
      <c r="P173" s="270">
        <f>221836-34376-55000-300-8200+142470</f>
        <v>266430</v>
      </c>
      <c r="Q173" s="753">
        <f>221836-34376-55000-300-8200+142470-222630</f>
        <v>43800</v>
      </c>
      <c r="R173" s="270">
        <f>221836-34376-55000-300-8200+142470-222630</f>
        <v>43800</v>
      </c>
      <c r="S173" s="276">
        <v>0</v>
      </c>
      <c r="T173" s="728">
        <f t="shared" si="146"/>
        <v>0</v>
      </c>
      <c r="U173" s="1"/>
    </row>
    <row r="174" spans="1:35" x14ac:dyDescent="0.25">
      <c r="A174" s="287" t="s">
        <v>301</v>
      </c>
      <c r="B174" s="530" t="s">
        <v>476</v>
      </c>
      <c r="C174" s="276">
        <v>216000</v>
      </c>
      <c r="D174" s="276">
        <v>216000</v>
      </c>
      <c r="E174" s="276">
        <v>216000</v>
      </c>
      <c r="F174" s="276">
        <v>216000</v>
      </c>
      <c r="G174" s="276">
        <v>216000</v>
      </c>
      <c r="H174" s="276">
        <v>216000</v>
      </c>
      <c r="I174" s="276">
        <v>216000</v>
      </c>
      <c r="J174" s="276">
        <v>216000</v>
      </c>
      <c r="K174" s="276">
        <v>216000</v>
      </c>
      <c r="L174" s="276">
        <v>216000</v>
      </c>
      <c r="M174" s="742">
        <f>216000+71000</f>
        <v>287000</v>
      </c>
      <c r="N174" s="276">
        <f>216000+71000</f>
        <v>287000</v>
      </c>
      <c r="O174" s="276">
        <f>216000+71000</f>
        <v>287000</v>
      </c>
      <c r="P174" s="276">
        <f>216000+71000</f>
        <v>287000</v>
      </c>
      <c r="Q174" s="276">
        <f t="shared" ref="Q174:R174" si="185">216000+71000</f>
        <v>287000</v>
      </c>
      <c r="R174" s="276">
        <f t="shared" si="185"/>
        <v>287000</v>
      </c>
      <c r="S174" s="276">
        <v>0</v>
      </c>
      <c r="T174" s="728">
        <f t="shared" si="146"/>
        <v>0</v>
      </c>
      <c r="U174" s="1"/>
    </row>
    <row r="175" spans="1:35" x14ac:dyDescent="0.25">
      <c r="A175" s="287" t="s">
        <v>98</v>
      </c>
      <c r="B175" s="492" t="s">
        <v>847</v>
      </c>
      <c r="C175" s="276">
        <v>112000</v>
      </c>
      <c r="D175" s="276">
        <v>112000</v>
      </c>
      <c r="E175" s="276">
        <v>112000</v>
      </c>
      <c r="F175" s="276">
        <v>112000</v>
      </c>
      <c r="G175" s="742">
        <f t="shared" ref="G175:P175" si="186">112000+300</f>
        <v>112300</v>
      </c>
      <c r="H175" s="276">
        <f t="shared" si="186"/>
        <v>112300</v>
      </c>
      <c r="I175" s="276">
        <f t="shared" si="186"/>
        <v>112300</v>
      </c>
      <c r="J175" s="276">
        <f t="shared" si="186"/>
        <v>112300</v>
      </c>
      <c r="K175" s="276">
        <f t="shared" si="186"/>
        <v>112300</v>
      </c>
      <c r="L175" s="276">
        <f t="shared" si="186"/>
        <v>112300</v>
      </c>
      <c r="M175" s="276">
        <f t="shared" si="186"/>
        <v>112300</v>
      </c>
      <c r="N175" s="276">
        <f t="shared" si="186"/>
        <v>112300</v>
      </c>
      <c r="O175" s="276">
        <f t="shared" si="186"/>
        <v>112300</v>
      </c>
      <c r="P175" s="276">
        <f t="shared" si="186"/>
        <v>112300</v>
      </c>
      <c r="Q175" s="276">
        <f>112000+300</f>
        <v>112300</v>
      </c>
      <c r="R175" s="276">
        <f>112000+300</f>
        <v>112300</v>
      </c>
      <c r="S175" s="276">
        <v>110291</v>
      </c>
      <c r="T175" s="728">
        <f t="shared" si="146"/>
        <v>0.98211041852181657</v>
      </c>
      <c r="U175" s="27"/>
    </row>
    <row r="176" spans="1:35" x14ac:dyDescent="0.25">
      <c r="A176" s="287" t="s">
        <v>846</v>
      </c>
      <c r="B176" s="492" t="s">
        <v>848</v>
      </c>
      <c r="C176" s="279">
        <v>0</v>
      </c>
      <c r="D176" s="279">
        <v>0</v>
      </c>
      <c r="E176" s="279">
        <v>0</v>
      </c>
      <c r="F176" s="279">
        <v>0</v>
      </c>
      <c r="G176" s="279">
        <v>0</v>
      </c>
      <c r="H176" s="279">
        <v>0</v>
      </c>
      <c r="I176" s="279">
        <v>0</v>
      </c>
      <c r="J176" s="279">
        <v>0</v>
      </c>
      <c r="K176" s="279">
        <v>0</v>
      </c>
      <c r="L176" s="279">
        <v>0</v>
      </c>
      <c r="M176" s="279">
        <v>0</v>
      </c>
      <c r="N176" s="279">
        <v>0</v>
      </c>
      <c r="O176" s="279">
        <v>0</v>
      </c>
      <c r="P176" s="279">
        <v>0</v>
      </c>
      <c r="Q176" s="790">
        <v>73000</v>
      </c>
      <c r="R176" s="279">
        <v>73000</v>
      </c>
      <c r="S176" s="276">
        <v>0</v>
      </c>
      <c r="T176" s="728">
        <f t="shared" si="146"/>
        <v>0</v>
      </c>
      <c r="U176" s="27"/>
    </row>
    <row r="177" spans="1:21" x14ac:dyDescent="0.25">
      <c r="A177" s="289" t="s">
        <v>111</v>
      </c>
      <c r="B177" s="290" t="s">
        <v>337</v>
      </c>
      <c r="C177" s="282">
        <v>55000</v>
      </c>
      <c r="D177" s="282">
        <v>55000</v>
      </c>
      <c r="E177" s="282">
        <v>55000</v>
      </c>
      <c r="F177" s="282">
        <v>55000</v>
      </c>
      <c r="G177" s="709">
        <f>55000-1800</f>
        <v>53200</v>
      </c>
      <c r="H177" s="282">
        <f>55000-1800</f>
        <v>53200</v>
      </c>
      <c r="I177" s="282">
        <f>55000-1800</f>
        <v>53200</v>
      </c>
      <c r="J177" s="709">
        <f t="shared" ref="J177:P177" si="187">55000-1800-520</f>
        <v>52680</v>
      </c>
      <c r="K177" s="282">
        <f t="shared" si="187"/>
        <v>52680</v>
      </c>
      <c r="L177" s="282">
        <f t="shared" si="187"/>
        <v>52680</v>
      </c>
      <c r="M177" s="282">
        <f t="shared" si="187"/>
        <v>52680</v>
      </c>
      <c r="N177" s="282">
        <f t="shared" si="187"/>
        <v>52680</v>
      </c>
      <c r="O177" s="282">
        <f t="shared" si="187"/>
        <v>52680</v>
      </c>
      <c r="P177" s="282">
        <f t="shared" si="187"/>
        <v>52680</v>
      </c>
      <c r="Q177" s="709">
        <f>55000-1800-520-2680</f>
        <v>50000</v>
      </c>
      <c r="R177" s="282">
        <f>55000-1800-520-2680</f>
        <v>50000</v>
      </c>
      <c r="S177" s="276">
        <v>0</v>
      </c>
      <c r="T177" s="728">
        <f t="shared" si="146"/>
        <v>0</v>
      </c>
      <c r="U177" s="27"/>
    </row>
    <row r="178" spans="1:21" x14ac:dyDescent="0.25">
      <c r="A178" s="289" t="s">
        <v>111</v>
      </c>
      <c r="B178" s="290" t="s">
        <v>477</v>
      </c>
      <c r="C178" s="282">
        <v>196100</v>
      </c>
      <c r="D178" s="709">
        <f>196100-7590</f>
        <v>188510</v>
      </c>
      <c r="E178" s="282">
        <f>196100-7590</f>
        <v>188510</v>
      </c>
      <c r="F178" s="282">
        <f>196100-7590</f>
        <v>188510</v>
      </c>
      <c r="G178" s="709">
        <f t="shared" ref="G178:P178" si="188">196100-7590+1800+55000</f>
        <v>245310</v>
      </c>
      <c r="H178" s="282">
        <f t="shared" si="188"/>
        <v>245310</v>
      </c>
      <c r="I178" s="282">
        <f t="shared" si="188"/>
        <v>245310</v>
      </c>
      <c r="J178" s="282">
        <f t="shared" si="188"/>
        <v>245310</v>
      </c>
      <c r="K178" s="282">
        <f t="shared" si="188"/>
        <v>245310</v>
      </c>
      <c r="L178" s="282">
        <f t="shared" si="188"/>
        <v>245310</v>
      </c>
      <c r="M178" s="282">
        <f t="shared" si="188"/>
        <v>245310</v>
      </c>
      <c r="N178" s="282">
        <f t="shared" si="188"/>
        <v>245310</v>
      </c>
      <c r="O178" s="282">
        <f t="shared" si="188"/>
        <v>245310</v>
      </c>
      <c r="P178" s="282">
        <f t="shared" si="188"/>
        <v>245310</v>
      </c>
      <c r="Q178" s="709">
        <f>196100-7590+1800+55000+24000</f>
        <v>269310</v>
      </c>
      <c r="R178" s="282">
        <f>196100-7590+1800+55000+24000</f>
        <v>269310</v>
      </c>
      <c r="S178" s="276">
        <v>178951</v>
      </c>
      <c r="T178" s="728">
        <f t="shared" si="146"/>
        <v>0.66447959600460438</v>
      </c>
      <c r="U178" s="1"/>
    </row>
    <row r="179" spans="1:21" x14ac:dyDescent="0.25">
      <c r="A179" s="284" t="s">
        <v>111</v>
      </c>
      <c r="B179" s="283" t="s">
        <v>585</v>
      </c>
      <c r="C179" s="270">
        <v>30000</v>
      </c>
      <c r="D179" s="270">
        <v>30000</v>
      </c>
      <c r="E179" s="270">
        <v>30000</v>
      </c>
      <c r="F179" s="270">
        <v>30000</v>
      </c>
      <c r="G179" s="753">
        <f>30000+29800</f>
        <v>59800</v>
      </c>
      <c r="H179" s="270">
        <f>30000+29800</f>
        <v>59800</v>
      </c>
      <c r="I179" s="270">
        <f>30000+29800</f>
        <v>59800</v>
      </c>
      <c r="J179" s="753">
        <f t="shared" ref="J179:R179" si="189">30000+29800+520</f>
        <v>60320</v>
      </c>
      <c r="K179" s="270">
        <f t="shared" si="189"/>
        <v>60320</v>
      </c>
      <c r="L179" s="270">
        <f t="shared" si="189"/>
        <v>60320</v>
      </c>
      <c r="M179" s="270">
        <f t="shared" si="189"/>
        <v>60320</v>
      </c>
      <c r="N179" s="270">
        <f t="shared" si="189"/>
        <v>60320</v>
      </c>
      <c r="O179" s="270">
        <f t="shared" si="189"/>
        <v>60320</v>
      </c>
      <c r="P179" s="270">
        <f t="shared" si="189"/>
        <v>60320</v>
      </c>
      <c r="Q179" s="270">
        <f t="shared" si="189"/>
        <v>60320</v>
      </c>
      <c r="R179" s="270">
        <f t="shared" si="189"/>
        <v>60320</v>
      </c>
      <c r="S179" s="276">
        <v>30510</v>
      </c>
      <c r="T179" s="728">
        <f>S179/R179</f>
        <v>0.5058023872679045</v>
      </c>
      <c r="U179" s="1"/>
    </row>
    <row r="180" spans="1:21" x14ac:dyDescent="0.25">
      <c r="A180" s="284" t="s">
        <v>111</v>
      </c>
      <c r="B180" s="283" t="s">
        <v>849</v>
      </c>
      <c r="C180" s="270">
        <v>0</v>
      </c>
      <c r="D180" s="270">
        <v>0</v>
      </c>
      <c r="E180" s="270">
        <v>0</v>
      </c>
      <c r="F180" s="270">
        <v>0</v>
      </c>
      <c r="G180" s="270">
        <v>0</v>
      </c>
      <c r="H180" s="270">
        <v>0</v>
      </c>
      <c r="I180" s="270">
        <v>0</v>
      </c>
      <c r="J180" s="270">
        <v>0</v>
      </c>
      <c r="K180" s="270">
        <v>0</v>
      </c>
      <c r="L180" s="270">
        <v>0</v>
      </c>
      <c r="M180" s="270">
        <v>0</v>
      </c>
      <c r="N180" s="270">
        <v>0</v>
      </c>
      <c r="O180" s="270">
        <v>0</v>
      </c>
      <c r="P180" s="270">
        <v>0</v>
      </c>
      <c r="Q180" s="753">
        <v>202280</v>
      </c>
      <c r="R180" s="270">
        <v>202280</v>
      </c>
      <c r="S180" s="270">
        <v>0</v>
      </c>
      <c r="T180" s="728">
        <f t="shared" si="146"/>
        <v>0</v>
      </c>
      <c r="U180" s="1"/>
    </row>
    <row r="181" spans="1:21" ht="15.75" customHeight="1" x14ac:dyDescent="0.25">
      <c r="A181" s="287" t="s">
        <v>113</v>
      </c>
      <c r="B181" s="285" t="s">
        <v>682</v>
      </c>
      <c r="C181" s="276">
        <v>0</v>
      </c>
      <c r="D181" s="276">
        <v>0</v>
      </c>
      <c r="E181" s="276">
        <v>0</v>
      </c>
      <c r="F181" s="276">
        <v>0</v>
      </c>
      <c r="G181" s="276">
        <v>0</v>
      </c>
      <c r="H181" s="276">
        <v>0</v>
      </c>
      <c r="I181" s="276">
        <v>0</v>
      </c>
      <c r="J181" s="276">
        <v>0</v>
      </c>
      <c r="K181" s="276">
        <v>0</v>
      </c>
      <c r="L181" s="276">
        <v>0</v>
      </c>
      <c r="M181" s="742">
        <v>110000</v>
      </c>
      <c r="N181" s="276">
        <v>110000</v>
      </c>
      <c r="O181" s="276">
        <v>110000</v>
      </c>
      <c r="P181" s="276">
        <v>110000</v>
      </c>
      <c r="Q181" s="276">
        <v>110000</v>
      </c>
      <c r="R181" s="276">
        <v>110000</v>
      </c>
      <c r="S181" s="276">
        <v>0</v>
      </c>
      <c r="T181" s="728">
        <f>S181/R181</f>
        <v>0</v>
      </c>
      <c r="U181" s="27">
        <f>95100+14900</f>
        <v>110000</v>
      </c>
    </row>
    <row r="182" spans="1:21" x14ac:dyDescent="0.25">
      <c r="A182" s="277" t="s">
        <v>82</v>
      </c>
      <c r="B182" s="473" t="s">
        <v>843</v>
      </c>
      <c r="C182" s="279">
        <v>0</v>
      </c>
      <c r="D182" s="279">
        <v>0</v>
      </c>
      <c r="E182" s="279">
        <v>0</v>
      </c>
      <c r="F182" s="279">
        <v>0</v>
      </c>
      <c r="G182" s="279">
        <v>0</v>
      </c>
      <c r="H182" s="279">
        <v>0</v>
      </c>
      <c r="I182" s="279">
        <v>0</v>
      </c>
      <c r="J182" s="279">
        <v>0</v>
      </c>
      <c r="K182" s="279">
        <v>0</v>
      </c>
      <c r="L182" s="279">
        <v>0</v>
      </c>
      <c r="M182" s="279">
        <v>0</v>
      </c>
      <c r="N182" s="279">
        <v>0</v>
      </c>
      <c r="O182" s="279">
        <v>0</v>
      </c>
      <c r="P182" s="279">
        <v>0</v>
      </c>
      <c r="Q182" s="790">
        <v>11000</v>
      </c>
      <c r="R182" s="279">
        <v>11000</v>
      </c>
      <c r="S182" s="276">
        <v>0</v>
      </c>
      <c r="T182" s="728">
        <f>S182/R182</f>
        <v>0</v>
      </c>
      <c r="U182" s="1"/>
    </row>
    <row r="183" spans="1:21" x14ac:dyDescent="0.25">
      <c r="A183" s="289" t="s">
        <v>113</v>
      </c>
      <c r="B183" s="290" t="s">
        <v>329</v>
      </c>
      <c r="C183" s="282">
        <v>15000</v>
      </c>
      <c r="D183" s="282">
        <v>15000</v>
      </c>
      <c r="E183" s="282">
        <v>15000</v>
      </c>
      <c r="F183" s="282">
        <v>15000</v>
      </c>
      <c r="G183" s="282">
        <v>15000</v>
      </c>
      <c r="H183" s="282">
        <v>15000</v>
      </c>
      <c r="I183" s="282">
        <v>15000</v>
      </c>
      <c r="J183" s="282">
        <v>15000</v>
      </c>
      <c r="K183" s="282">
        <v>15000</v>
      </c>
      <c r="L183" s="282">
        <v>15000</v>
      </c>
      <c r="M183" s="282">
        <v>15000</v>
      </c>
      <c r="N183" s="282">
        <v>15000</v>
      </c>
      <c r="O183" s="282">
        <v>15000</v>
      </c>
      <c r="P183" s="282">
        <v>15000</v>
      </c>
      <c r="Q183" s="709">
        <f>15000-15000</f>
        <v>0</v>
      </c>
      <c r="R183" s="282">
        <f>15000-15000</f>
        <v>0</v>
      </c>
      <c r="S183" s="276">
        <v>0</v>
      </c>
      <c r="T183" s="728">
        <v>0</v>
      </c>
      <c r="U183" s="1"/>
    </row>
    <row r="184" spans="1:21" x14ac:dyDescent="0.25">
      <c r="A184" s="289" t="s">
        <v>113</v>
      </c>
      <c r="B184" s="290" t="s">
        <v>850</v>
      </c>
      <c r="C184" s="282">
        <v>0</v>
      </c>
      <c r="D184" s="282">
        <v>0</v>
      </c>
      <c r="E184" s="282">
        <v>0</v>
      </c>
      <c r="F184" s="282">
        <v>0</v>
      </c>
      <c r="G184" s="282">
        <v>0</v>
      </c>
      <c r="H184" s="282">
        <v>0</v>
      </c>
      <c r="I184" s="282">
        <v>0</v>
      </c>
      <c r="J184" s="282">
        <v>0</v>
      </c>
      <c r="K184" s="282">
        <v>0</v>
      </c>
      <c r="L184" s="282">
        <v>0</v>
      </c>
      <c r="M184" s="282">
        <v>0</v>
      </c>
      <c r="N184" s="282">
        <v>0</v>
      </c>
      <c r="O184" s="282">
        <v>0</v>
      </c>
      <c r="P184" s="282">
        <v>0</v>
      </c>
      <c r="Q184" s="709">
        <v>4900</v>
      </c>
      <c r="R184" s="282">
        <v>4900</v>
      </c>
      <c r="S184" s="276">
        <v>4864</v>
      </c>
      <c r="T184" s="728">
        <f t="shared" si="146"/>
        <v>0.99265306122448982</v>
      </c>
      <c r="U184" s="1"/>
    </row>
    <row r="185" spans="1:21" x14ac:dyDescent="0.25">
      <c r="A185" s="289" t="s">
        <v>113</v>
      </c>
      <c r="B185" s="283" t="s">
        <v>302</v>
      </c>
      <c r="C185" s="282">
        <v>0</v>
      </c>
      <c r="D185" s="282">
        <v>0</v>
      </c>
      <c r="E185" s="282">
        <v>0</v>
      </c>
      <c r="F185" s="282">
        <v>0</v>
      </c>
      <c r="G185" s="282">
        <v>0</v>
      </c>
      <c r="H185" s="282">
        <v>0</v>
      </c>
      <c r="I185" s="282">
        <v>0</v>
      </c>
      <c r="J185" s="282">
        <v>0</v>
      </c>
      <c r="K185" s="282">
        <v>0</v>
      </c>
      <c r="L185" s="282">
        <v>0</v>
      </c>
      <c r="M185" s="282">
        <v>0</v>
      </c>
      <c r="N185" s="282">
        <v>0</v>
      </c>
      <c r="O185" s="282">
        <v>0</v>
      </c>
      <c r="P185" s="282">
        <v>0</v>
      </c>
      <c r="Q185" s="282">
        <v>0</v>
      </c>
      <c r="R185" s="282">
        <v>0</v>
      </c>
      <c r="S185" s="276">
        <v>0</v>
      </c>
      <c r="T185" s="728">
        <v>0</v>
      </c>
      <c r="U185" s="1"/>
    </row>
    <row r="186" spans="1:21" x14ac:dyDescent="0.25">
      <c r="A186" s="284" t="s">
        <v>113</v>
      </c>
      <c r="B186" s="283" t="s">
        <v>325</v>
      </c>
      <c r="C186" s="270">
        <v>412400</v>
      </c>
      <c r="D186" s="270">
        <v>412400</v>
      </c>
      <c r="E186" s="753">
        <f t="shared" ref="E186:L186" si="190">412400+40756</f>
        <v>453156</v>
      </c>
      <c r="F186" s="270">
        <f t="shared" si="190"/>
        <v>453156</v>
      </c>
      <c r="G186" s="270">
        <f t="shared" si="190"/>
        <v>453156</v>
      </c>
      <c r="H186" s="270">
        <f t="shared" si="190"/>
        <v>453156</v>
      </c>
      <c r="I186" s="270">
        <f t="shared" si="190"/>
        <v>453156</v>
      </c>
      <c r="J186" s="270">
        <f t="shared" si="190"/>
        <v>453156</v>
      </c>
      <c r="K186" s="270">
        <f t="shared" si="190"/>
        <v>453156</v>
      </c>
      <c r="L186" s="270">
        <f t="shared" si="190"/>
        <v>453156</v>
      </c>
      <c r="M186" s="753">
        <f>412400+40756+32000</f>
        <v>485156</v>
      </c>
      <c r="N186" s="270">
        <f>412400+40756+32000</f>
        <v>485156</v>
      </c>
      <c r="O186" s="270">
        <f>412400+40756+32000</f>
        <v>485156</v>
      </c>
      <c r="P186" s="270">
        <f>412400+40756+32000</f>
        <v>485156</v>
      </c>
      <c r="Q186" s="753">
        <f>412400+40756+32000+175400</f>
        <v>660556</v>
      </c>
      <c r="R186" s="270">
        <f>412400+40756+32000+175400</f>
        <v>660556</v>
      </c>
      <c r="S186" s="276">
        <v>176714</v>
      </c>
      <c r="T186" s="728">
        <f t="shared" si="146"/>
        <v>0.26752311688940833</v>
      </c>
      <c r="U186" s="27"/>
    </row>
    <row r="187" spans="1:21" x14ac:dyDescent="0.25">
      <c r="A187" s="287" t="s">
        <v>122</v>
      </c>
      <c r="B187" s="835" t="s">
        <v>801</v>
      </c>
      <c r="C187" s="276">
        <v>0</v>
      </c>
      <c r="D187" s="276">
        <v>0</v>
      </c>
      <c r="E187" s="276">
        <v>0</v>
      </c>
      <c r="F187" s="276">
        <v>0</v>
      </c>
      <c r="G187" s="276">
        <v>0</v>
      </c>
      <c r="H187" s="276">
        <v>0</v>
      </c>
      <c r="I187" s="276">
        <v>0</v>
      </c>
      <c r="J187" s="276">
        <v>0</v>
      </c>
      <c r="K187" s="276">
        <v>0</v>
      </c>
      <c r="L187" s="276">
        <v>0</v>
      </c>
      <c r="M187" s="276">
        <v>0</v>
      </c>
      <c r="N187" s="276">
        <v>0</v>
      </c>
      <c r="O187" s="276">
        <v>0</v>
      </c>
      <c r="P187" s="276">
        <v>0</v>
      </c>
      <c r="Q187" s="742">
        <v>39430</v>
      </c>
      <c r="R187" s="276">
        <v>39430</v>
      </c>
      <c r="S187" s="276">
        <v>0</v>
      </c>
      <c r="T187" s="728">
        <f>S187/R187</f>
        <v>0</v>
      </c>
      <c r="U187" s="1"/>
    </row>
    <row r="188" spans="1:21" x14ac:dyDescent="0.25">
      <c r="A188" s="292" t="s">
        <v>122</v>
      </c>
      <c r="B188" s="265" t="s">
        <v>478</v>
      </c>
      <c r="C188" s="276">
        <v>245000</v>
      </c>
      <c r="D188" s="276">
        <v>245000</v>
      </c>
      <c r="E188" s="276">
        <v>245000</v>
      </c>
      <c r="F188" s="276">
        <v>245000</v>
      </c>
      <c r="G188" s="276">
        <v>245000</v>
      </c>
      <c r="H188" s="276">
        <v>245000</v>
      </c>
      <c r="I188" s="276">
        <v>245000</v>
      </c>
      <c r="J188" s="276">
        <v>245000</v>
      </c>
      <c r="K188" s="276">
        <v>245000</v>
      </c>
      <c r="L188" s="276">
        <v>245000</v>
      </c>
      <c r="M188" s="742">
        <f>245000+46000</f>
        <v>291000</v>
      </c>
      <c r="N188" s="276">
        <f>245000+46000</f>
        <v>291000</v>
      </c>
      <c r="O188" s="276">
        <f>245000+46000</f>
        <v>291000</v>
      </c>
      <c r="P188" s="276">
        <f>245000+46000</f>
        <v>291000</v>
      </c>
      <c r="Q188" s="742">
        <f>245000+46000+7300</f>
        <v>298300</v>
      </c>
      <c r="R188" s="276">
        <f>245000+46000+7300</f>
        <v>298300</v>
      </c>
      <c r="S188" s="276">
        <v>630</v>
      </c>
      <c r="T188" s="728">
        <f t="shared" si="146"/>
        <v>2.1119678176332551E-3</v>
      </c>
      <c r="U188" s="1">
        <f>253050+45250</f>
        <v>298300</v>
      </c>
    </row>
    <row r="189" spans="1:21" x14ac:dyDescent="0.25">
      <c r="A189" s="284" t="s">
        <v>124</v>
      </c>
      <c r="B189" s="402" t="s">
        <v>292</v>
      </c>
      <c r="C189" s="270">
        <v>1129200</v>
      </c>
      <c r="D189" s="270">
        <v>1129200</v>
      </c>
      <c r="E189" s="270">
        <v>1129200</v>
      </c>
      <c r="F189" s="270">
        <v>1129200</v>
      </c>
      <c r="G189" s="270">
        <v>1129200</v>
      </c>
      <c r="H189" s="270">
        <v>1129200</v>
      </c>
      <c r="I189" s="270">
        <v>1129200</v>
      </c>
      <c r="J189" s="270">
        <v>1129200</v>
      </c>
      <c r="K189" s="270">
        <v>1129200</v>
      </c>
      <c r="L189" s="270">
        <v>1129200</v>
      </c>
      <c r="M189" s="753">
        <f>1129200+200</f>
        <v>1129400</v>
      </c>
      <c r="N189" s="270">
        <f>1129200+200</f>
        <v>1129400</v>
      </c>
      <c r="O189" s="270">
        <f>1129200+200</f>
        <v>1129400</v>
      </c>
      <c r="P189" s="270">
        <f>1129200+200</f>
        <v>1129400</v>
      </c>
      <c r="Q189" s="270">
        <f t="shared" ref="Q189:R189" si="191">1129200+200</f>
        <v>1129400</v>
      </c>
      <c r="R189" s="270">
        <f t="shared" si="191"/>
        <v>1129400</v>
      </c>
      <c r="S189" s="270">
        <v>0</v>
      </c>
      <c r="T189" s="728">
        <f t="shared" si="146"/>
        <v>0</v>
      </c>
      <c r="U189" s="1">
        <f>81830+1047570</f>
        <v>1129400</v>
      </c>
    </row>
    <row r="190" spans="1:21" ht="15" customHeight="1" x14ac:dyDescent="0.25">
      <c r="A190" s="284" t="s">
        <v>124</v>
      </c>
      <c r="B190" s="707" t="s">
        <v>623</v>
      </c>
      <c r="C190" s="270">
        <v>0</v>
      </c>
      <c r="D190" s="270">
        <v>0</v>
      </c>
      <c r="E190" s="270">
        <v>0</v>
      </c>
      <c r="F190" s="270">
        <v>0</v>
      </c>
      <c r="G190" s="270">
        <v>0</v>
      </c>
      <c r="H190" s="270">
        <v>0</v>
      </c>
      <c r="I190" s="270">
        <v>0</v>
      </c>
      <c r="J190" s="270">
        <v>0</v>
      </c>
      <c r="K190" s="270">
        <v>0</v>
      </c>
      <c r="L190" s="753">
        <v>81600</v>
      </c>
      <c r="M190" s="270">
        <v>81600</v>
      </c>
      <c r="N190" s="270">
        <v>81600</v>
      </c>
      <c r="O190" s="270">
        <v>81600</v>
      </c>
      <c r="P190" s="270">
        <v>81600</v>
      </c>
      <c r="Q190" s="270">
        <v>81600</v>
      </c>
      <c r="R190" s="270">
        <v>81600</v>
      </c>
      <c r="S190" s="270">
        <v>0</v>
      </c>
      <c r="T190" s="728">
        <f t="shared" si="146"/>
        <v>0</v>
      </c>
      <c r="U190" s="1"/>
    </row>
    <row r="191" spans="1:21" x14ac:dyDescent="0.25">
      <c r="A191" s="284" t="s">
        <v>124</v>
      </c>
      <c r="B191" s="707" t="s">
        <v>797</v>
      </c>
      <c r="C191" s="270">
        <v>0</v>
      </c>
      <c r="D191" s="270">
        <v>0</v>
      </c>
      <c r="E191" s="270">
        <v>0</v>
      </c>
      <c r="F191" s="270">
        <v>0</v>
      </c>
      <c r="G191" s="270">
        <v>0</v>
      </c>
      <c r="H191" s="270">
        <v>0</v>
      </c>
      <c r="I191" s="270">
        <v>0</v>
      </c>
      <c r="J191" s="270">
        <v>0</v>
      </c>
      <c r="K191" s="270">
        <v>0</v>
      </c>
      <c r="L191" s="270">
        <v>0</v>
      </c>
      <c r="M191" s="270">
        <v>0</v>
      </c>
      <c r="N191" s="270">
        <v>0</v>
      </c>
      <c r="O191" s="753">
        <v>95000</v>
      </c>
      <c r="P191" s="270">
        <v>95000</v>
      </c>
      <c r="Q191" s="753">
        <f>95000+6000</f>
        <v>101000</v>
      </c>
      <c r="R191" s="270">
        <f>95000+6000</f>
        <v>101000</v>
      </c>
      <c r="S191" s="270">
        <v>0</v>
      </c>
      <c r="T191" s="728">
        <f t="shared" si="146"/>
        <v>0</v>
      </c>
      <c r="U191" s="1"/>
    </row>
    <row r="192" spans="1:21" ht="15.75" thickBot="1" x14ac:dyDescent="0.3">
      <c r="A192" s="494" t="s">
        <v>125</v>
      </c>
      <c r="B192" s="712" t="s">
        <v>788</v>
      </c>
      <c r="C192" s="274">
        <v>0</v>
      </c>
      <c r="D192" s="274">
        <v>0</v>
      </c>
      <c r="E192" s="274">
        <v>0</v>
      </c>
      <c r="F192" s="274">
        <v>0</v>
      </c>
      <c r="G192" s="274">
        <v>0</v>
      </c>
      <c r="H192" s="274">
        <v>0</v>
      </c>
      <c r="I192" s="274">
        <v>0</v>
      </c>
      <c r="J192" s="274">
        <v>0</v>
      </c>
      <c r="K192" s="274">
        <v>0</v>
      </c>
      <c r="L192" s="274">
        <v>0</v>
      </c>
      <c r="M192" s="274">
        <v>0</v>
      </c>
      <c r="N192" s="274">
        <v>0</v>
      </c>
      <c r="O192" s="274">
        <v>0</v>
      </c>
      <c r="P192" s="274">
        <v>0</v>
      </c>
      <c r="Q192" s="816">
        <v>831300</v>
      </c>
      <c r="R192" s="274">
        <v>831300</v>
      </c>
      <c r="S192" s="274">
        <v>0</v>
      </c>
      <c r="T192" s="728">
        <f t="shared" si="146"/>
        <v>0</v>
      </c>
      <c r="U192" s="1"/>
    </row>
    <row r="193" spans="1:35" x14ac:dyDescent="0.25">
      <c r="A193" s="297"/>
      <c r="B193" s="298"/>
      <c r="C193" s="299"/>
      <c r="D193" s="299"/>
      <c r="E193" s="299"/>
      <c r="F193" s="299"/>
      <c r="G193" s="299"/>
      <c r="H193" s="299"/>
      <c r="I193" s="299"/>
      <c r="J193" s="299"/>
      <c r="K193" s="299"/>
      <c r="L193" s="299"/>
      <c r="M193" s="299"/>
      <c r="N193" s="299"/>
      <c r="O193" s="299"/>
      <c r="P193" s="299"/>
      <c r="Q193" s="299"/>
      <c r="R193" s="299"/>
      <c r="S193" s="299"/>
      <c r="T193" s="728"/>
      <c r="U193" s="1"/>
    </row>
    <row r="194" spans="1:35" ht="27.75" customHeight="1" thickBot="1" x14ac:dyDescent="0.3">
      <c r="A194" s="880" t="s">
        <v>168</v>
      </c>
      <c r="B194" s="881"/>
      <c r="C194" s="881"/>
      <c r="D194" s="881"/>
      <c r="E194" s="881"/>
      <c r="F194" s="881"/>
      <c r="G194" s="881"/>
      <c r="H194" s="881"/>
      <c r="I194" s="881"/>
      <c r="J194" s="881"/>
      <c r="K194" s="881"/>
      <c r="L194" s="881"/>
      <c r="M194" s="881"/>
      <c r="N194" s="881"/>
      <c r="O194" s="881"/>
      <c r="P194" s="881"/>
      <c r="Q194" s="881"/>
      <c r="R194" s="881"/>
      <c r="S194" s="881"/>
      <c r="T194" s="728"/>
      <c r="U194" s="1"/>
    </row>
    <row r="195" spans="1:35" ht="37.5" customHeight="1" thickBot="1" x14ac:dyDescent="0.3">
      <c r="A195" s="876" t="s">
        <v>1</v>
      </c>
      <c r="B195" s="877"/>
      <c r="C195" s="387" t="s">
        <v>467</v>
      </c>
      <c r="D195" s="387" t="s">
        <v>465</v>
      </c>
      <c r="E195" s="387" t="s">
        <v>483</v>
      </c>
      <c r="F195" s="387" t="s">
        <v>500</v>
      </c>
      <c r="G195" s="387" t="s">
        <v>533</v>
      </c>
      <c r="H195" s="387" t="s">
        <v>578</v>
      </c>
      <c r="I195" s="387" t="s">
        <v>610</v>
      </c>
      <c r="J195" s="387" t="s">
        <v>579</v>
      </c>
      <c r="K195" s="387" t="s">
        <v>646</v>
      </c>
      <c r="L195" s="387" t="s">
        <v>637</v>
      </c>
      <c r="M195" s="387" t="s">
        <v>670</v>
      </c>
      <c r="N195" s="387" t="s">
        <v>680</v>
      </c>
      <c r="O195" s="387" t="s">
        <v>749</v>
      </c>
      <c r="P195" s="387" t="s">
        <v>774</v>
      </c>
      <c r="Q195" s="387" t="s">
        <v>783</v>
      </c>
      <c r="R195" s="387" t="s">
        <v>784</v>
      </c>
      <c r="S195" s="387" t="s">
        <v>853</v>
      </c>
      <c r="T195" s="728"/>
      <c r="U195" s="1"/>
    </row>
    <row r="196" spans="1:35" ht="16.5" thickBot="1" x14ac:dyDescent="0.3">
      <c r="A196" s="410" t="s">
        <v>169</v>
      </c>
      <c r="B196" s="411"/>
      <c r="C196" s="412">
        <f>SUM(C197:C209)</f>
        <v>571286</v>
      </c>
      <c r="D196" s="412">
        <f t="shared" ref="D196:S196" si="192">SUM(D197:D209)</f>
        <v>638913</v>
      </c>
      <c r="E196" s="412">
        <f t="shared" si="192"/>
        <v>638913</v>
      </c>
      <c r="F196" s="412">
        <f t="shared" si="192"/>
        <v>638913</v>
      </c>
      <c r="G196" s="412">
        <f t="shared" si="192"/>
        <v>692938</v>
      </c>
      <c r="H196" s="412">
        <f t="shared" si="192"/>
        <v>692938</v>
      </c>
      <c r="I196" s="412">
        <f t="shared" si="192"/>
        <v>692938</v>
      </c>
      <c r="J196" s="412">
        <f t="shared" si="192"/>
        <v>692938</v>
      </c>
      <c r="K196" s="412">
        <f t="shared" si="192"/>
        <v>692938</v>
      </c>
      <c r="L196" s="412">
        <f t="shared" si="192"/>
        <v>692938</v>
      </c>
      <c r="M196" s="412">
        <f t="shared" si="192"/>
        <v>997938</v>
      </c>
      <c r="N196" s="412">
        <f t="shared" si="192"/>
        <v>997938</v>
      </c>
      <c r="O196" s="412">
        <f t="shared" ref="O196:P196" si="193">SUM(O197:O209)</f>
        <v>997938</v>
      </c>
      <c r="P196" s="412">
        <f t="shared" si="193"/>
        <v>997938</v>
      </c>
      <c r="Q196" s="412">
        <f t="shared" ref="Q196:R196" si="194">SUM(Q197:Q209)</f>
        <v>943913</v>
      </c>
      <c r="R196" s="412">
        <f t="shared" si="194"/>
        <v>943913</v>
      </c>
      <c r="S196" s="412">
        <f t="shared" si="192"/>
        <v>531134</v>
      </c>
      <c r="T196" s="728">
        <f t="shared" si="146"/>
        <v>0.56269380758608045</v>
      </c>
      <c r="U196" s="27">
        <f t="shared" ref="U196:AG196" si="195">D196-C196</f>
        <v>67627</v>
      </c>
      <c r="V196" s="27">
        <f t="shared" si="195"/>
        <v>0</v>
      </c>
      <c r="W196" s="27">
        <f t="shared" si="195"/>
        <v>0</v>
      </c>
      <c r="X196" s="27">
        <f t="shared" si="195"/>
        <v>54025</v>
      </c>
      <c r="Y196" s="27">
        <f t="shared" si="195"/>
        <v>0</v>
      </c>
      <c r="Z196" s="27">
        <f t="shared" si="195"/>
        <v>0</v>
      </c>
      <c r="AA196" s="27">
        <f t="shared" si="195"/>
        <v>0</v>
      </c>
      <c r="AB196" s="27">
        <f t="shared" si="195"/>
        <v>0</v>
      </c>
      <c r="AC196" s="27">
        <f t="shared" si="195"/>
        <v>0</v>
      </c>
      <c r="AD196" s="27">
        <f t="shared" si="195"/>
        <v>305000</v>
      </c>
      <c r="AE196" s="27">
        <f t="shared" si="195"/>
        <v>0</v>
      </c>
      <c r="AF196" s="27">
        <f t="shared" si="195"/>
        <v>0</v>
      </c>
      <c r="AG196" s="27">
        <f t="shared" si="195"/>
        <v>0</v>
      </c>
      <c r="AH196" s="27">
        <f t="shared" ref="AH196" si="196">Q196-P196</f>
        <v>-54025</v>
      </c>
      <c r="AI196" s="27">
        <f t="shared" ref="AI196" si="197">R196-Q196</f>
        <v>0</v>
      </c>
    </row>
    <row r="197" spans="1:35" x14ac:dyDescent="0.25">
      <c r="A197" s="378">
        <v>453</v>
      </c>
      <c r="B197" s="379" t="s">
        <v>255</v>
      </c>
      <c r="C197" s="380">
        <f>10000+4000</f>
        <v>14000</v>
      </c>
      <c r="D197" s="704">
        <f t="shared" ref="D197:R197" si="198">10000+4000+3781-160</f>
        <v>17621</v>
      </c>
      <c r="E197" s="380">
        <f t="shared" si="198"/>
        <v>17621</v>
      </c>
      <c r="F197" s="380">
        <f t="shared" si="198"/>
        <v>17621</v>
      </c>
      <c r="G197" s="380">
        <f t="shared" si="198"/>
        <v>17621</v>
      </c>
      <c r="H197" s="380">
        <f t="shared" si="198"/>
        <v>17621</v>
      </c>
      <c r="I197" s="380">
        <f t="shared" si="198"/>
        <v>17621</v>
      </c>
      <c r="J197" s="380">
        <f t="shared" si="198"/>
        <v>17621</v>
      </c>
      <c r="K197" s="380">
        <f t="shared" si="198"/>
        <v>17621</v>
      </c>
      <c r="L197" s="380">
        <f t="shared" si="198"/>
        <v>17621</v>
      </c>
      <c r="M197" s="380">
        <f t="shared" si="198"/>
        <v>17621</v>
      </c>
      <c r="N197" s="380">
        <f t="shared" si="198"/>
        <v>17621</v>
      </c>
      <c r="O197" s="380">
        <f t="shared" si="198"/>
        <v>17621</v>
      </c>
      <c r="P197" s="380">
        <f t="shared" si="198"/>
        <v>17621</v>
      </c>
      <c r="Q197" s="380">
        <f t="shared" si="198"/>
        <v>17621</v>
      </c>
      <c r="R197" s="380">
        <f t="shared" si="198"/>
        <v>17621</v>
      </c>
      <c r="S197" s="380">
        <v>15790</v>
      </c>
      <c r="T197" s="728">
        <f t="shared" ref="T197:T213" si="199">S197/R197</f>
        <v>0.8960898927416151</v>
      </c>
    </row>
    <row r="198" spans="1:35" x14ac:dyDescent="0.25">
      <c r="A198" s="403">
        <v>453</v>
      </c>
      <c r="B198" s="404" t="s">
        <v>254</v>
      </c>
      <c r="C198" s="64">
        <v>2000</v>
      </c>
      <c r="D198" s="64">
        <v>2000</v>
      </c>
      <c r="E198" s="64">
        <v>2000</v>
      </c>
      <c r="F198" s="64">
        <v>2000</v>
      </c>
      <c r="G198" s="64">
        <v>2000</v>
      </c>
      <c r="H198" s="64">
        <v>2000</v>
      </c>
      <c r="I198" s="64">
        <v>2000</v>
      </c>
      <c r="J198" s="64">
        <v>2000</v>
      </c>
      <c r="K198" s="64">
        <v>2000</v>
      </c>
      <c r="L198" s="64">
        <v>2000</v>
      </c>
      <c r="M198" s="64">
        <v>2000</v>
      </c>
      <c r="N198" s="64">
        <v>2000</v>
      </c>
      <c r="O198" s="64">
        <v>2000</v>
      </c>
      <c r="P198" s="64">
        <v>2000</v>
      </c>
      <c r="Q198" s="64">
        <v>2000</v>
      </c>
      <c r="R198" s="64">
        <v>2000</v>
      </c>
      <c r="S198" s="64">
        <v>165</v>
      </c>
      <c r="T198" s="728">
        <f t="shared" si="199"/>
        <v>8.2500000000000004E-2</v>
      </c>
      <c r="U198" s="27"/>
    </row>
    <row r="199" spans="1:35" x14ac:dyDescent="0.25">
      <c r="A199" s="700">
        <v>453</v>
      </c>
      <c r="B199" s="377" t="s">
        <v>256</v>
      </c>
      <c r="C199" s="701">
        <v>2500</v>
      </c>
      <c r="D199" s="702">
        <f t="shared" ref="D199:R199" si="200">2500-2500</f>
        <v>0</v>
      </c>
      <c r="E199" s="701">
        <f t="shared" si="200"/>
        <v>0</v>
      </c>
      <c r="F199" s="701">
        <f t="shared" si="200"/>
        <v>0</v>
      </c>
      <c r="G199" s="701">
        <f t="shared" si="200"/>
        <v>0</v>
      </c>
      <c r="H199" s="701">
        <f t="shared" si="200"/>
        <v>0</v>
      </c>
      <c r="I199" s="701">
        <f t="shared" si="200"/>
        <v>0</v>
      </c>
      <c r="J199" s="701">
        <f t="shared" si="200"/>
        <v>0</v>
      </c>
      <c r="K199" s="701">
        <f t="shared" si="200"/>
        <v>0</v>
      </c>
      <c r="L199" s="701">
        <f t="shared" si="200"/>
        <v>0</v>
      </c>
      <c r="M199" s="701">
        <f t="shared" si="200"/>
        <v>0</v>
      </c>
      <c r="N199" s="701">
        <f t="shared" si="200"/>
        <v>0</v>
      </c>
      <c r="O199" s="701">
        <f t="shared" si="200"/>
        <v>0</v>
      </c>
      <c r="P199" s="701">
        <f t="shared" si="200"/>
        <v>0</v>
      </c>
      <c r="Q199" s="701">
        <f t="shared" si="200"/>
        <v>0</v>
      </c>
      <c r="R199" s="701">
        <f t="shared" si="200"/>
        <v>0</v>
      </c>
      <c r="S199" s="484">
        <v>0</v>
      </c>
      <c r="T199" s="728">
        <v>0</v>
      </c>
      <c r="U199" s="27"/>
    </row>
    <row r="200" spans="1:35" x14ac:dyDescent="0.25">
      <c r="A200" s="798">
        <v>453</v>
      </c>
      <c r="B200" s="799" t="s">
        <v>472</v>
      </c>
      <c r="C200" s="800">
        <v>0</v>
      </c>
      <c r="D200" s="689">
        <v>3211</v>
      </c>
      <c r="E200" s="800">
        <v>3211</v>
      </c>
      <c r="F200" s="800">
        <v>3211</v>
      </c>
      <c r="G200" s="800">
        <v>3211</v>
      </c>
      <c r="H200" s="800">
        <v>3211</v>
      </c>
      <c r="I200" s="800">
        <v>3211</v>
      </c>
      <c r="J200" s="800">
        <v>3211</v>
      </c>
      <c r="K200" s="800">
        <v>3211</v>
      </c>
      <c r="L200" s="800">
        <v>3211</v>
      </c>
      <c r="M200" s="800">
        <v>3211</v>
      </c>
      <c r="N200" s="800">
        <v>3211</v>
      </c>
      <c r="O200" s="800">
        <v>3211</v>
      </c>
      <c r="P200" s="800">
        <v>3211</v>
      </c>
      <c r="Q200" s="800">
        <v>3211</v>
      </c>
      <c r="R200" s="800">
        <v>3211</v>
      </c>
      <c r="S200" s="800">
        <v>3211</v>
      </c>
      <c r="T200" s="728">
        <f t="shared" si="199"/>
        <v>1</v>
      </c>
      <c r="U200" s="27"/>
    </row>
    <row r="201" spans="1:35" x14ac:dyDescent="0.25">
      <c r="A201" s="403">
        <v>453</v>
      </c>
      <c r="B201" s="404" t="s">
        <v>289</v>
      </c>
      <c r="C201" s="64">
        <v>1500</v>
      </c>
      <c r="D201" s="689">
        <f t="shared" ref="D201:R201" si="201">1500+502</f>
        <v>2002</v>
      </c>
      <c r="E201" s="64">
        <f t="shared" si="201"/>
        <v>2002</v>
      </c>
      <c r="F201" s="64">
        <f t="shared" si="201"/>
        <v>2002</v>
      </c>
      <c r="G201" s="64">
        <f t="shared" si="201"/>
        <v>2002</v>
      </c>
      <c r="H201" s="64">
        <f t="shared" si="201"/>
        <v>2002</v>
      </c>
      <c r="I201" s="64">
        <f t="shared" si="201"/>
        <v>2002</v>
      </c>
      <c r="J201" s="64">
        <f t="shared" si="201"/>
        <v>2002</v>
      </c>
      <c r="K201" s="64">
        <f t="shared" si="201"/>
        <v>2002</v>
      </c>
      <c r="L201" s="64">
        <f t="shared" si="201"/>
        <v>2002</v>
      </c>
      <c r="M201" s="64">
        <f t="shared" si="201"/>
        <v>2002</v>
      </c>
      <c r="N201" s="64">
        <f t="shared" si="201"/>
        <v>2002</v>
      </c>
      <c r="O201" s="64">
        <f t="shared" si="201"/>
        <v>2002</v>
      </c>
      <c r="P201" s="64">
        <f t="shared" si="201"/>
        <v>2002</v>
      </c>
      <c r="Q201" s="64">
        <f t="shared" si="201"/>
        <v>2002</v>
      </c>
      <c r="R201" s="64">
        <f t="shared" si="201"/>
        <v>2002</v>
      </c>
      <c r="S201" s="64">
        <v>2002</v>
      </c>
      <c r="T201" s="728">
        <f t="shared" si="199"/>
        <v>1</v>
      </c>
      <c r="U201" s="27"/>
    </row>
    <row r="202" spans="1:35" ht="15.75" thickBot="1" x14ac:dyDescent="0.3">
      <c r="A202" s="303">
        <v>453</v>
      </c>
      <c r="B202" s="304" t="s">
        <v>473</v>
      </c>
      <c r="C202" s="305">
        <v>0</v>
      </c>
      <c r="D202" s="690">
        <f>383</f>
        <v>383</v>
      </c>
      <c r="E202" s="305">
        <f>383</f>
        <v>383</v>
      </c>
      <c r="F202" s="305">
        <f>383</f>
        <v>383</v>
      </c>
      <c r="G202" s="305">
        <f>383</f>
        <v>383</v>
      </c>
      <c r="H202" s="305">
        <f>383</f>
        <v>383</v>
      </c>
      <c r="I202" s="305">
        <f>383</f>
        <v>383</v>
      </c>
      <c r="J202" s="305">
        <f>383</f>
        <v>383</v>
      </c>
      <c r="K202" s="305">
        <f>383</f>
        <v>383</v>
      </c>
      <c r="L202" s="305">
        <f>383</f>
        <v>383</v>
      </c>
      <c r="M202" s="305">
        <f>383</f>
        <v>383</v>
      </c>
      <c r="N202" s="305">
        <f>383</f>
        <v>383</v>
      </c>
      <c r="O202" s="305">
        <f>383</f>
        <v>383</v>
      </c>
      <c r="P202" s="305">
        <f>383</f>
        <v>383</v>
      </c>
      <c r="Q202" s="305">
        <f>383</f>
        <v>383</v>
      </c>
      <c r="R202" s="305">
        <f>383</f>
        <v>383</v>
      </c>
      <c r="S202" s="305">
        <v>382</v>
      </c>
      <c r="T202" s="728">
        <f t="shared" si="199"/>
        <v>0.99738903394255873</v>
      </c>
      <c r="U202" s="426">
        <f>SUM(R197:R202)</f>
        <v>25217</v>
      </c>
      <c r="V202" s="426">
        <f>SUM(S197:S202)</f>
        <v>21550</v>
      </c>
      <c r="W202" s="703"/>
    </row>
    <row r="203" spans="1:35" x14ac:dyDescent="0.25">
      <c r="A203" s="378">
        <v>453</v>
      </c>
      <c r="B203" s="379" t="s">
        <v>241</v>
      </c>
      <c r="C203" s="380">
        <v>886</v>
      </c>
      <c r="D203" s="380">
        <v>886</v>
      </c>
      <c r="E203" s="380">
        <v>886</v>
      </c>
      <c r="F203" s="380">
        <v>886</v>
      </c>
      <c r="G203" s="380">
        <v>886</v>
      </c>
      <c r="H203" s="380">
        <v>886</v>
      </c>
      <c r="I203" s="380">
        <v>886</v>
      </c>
      <c r="J203" s="380">
        <v>886</v>
      </c>
      <c r="K203" s="380">
        <v>886</v>
      </c>
      <c r="L203" s="380">
        <v>886</v>
      </c>
      <c r="M203" s="380">
        <v>886</v>
      </c>
      <c r="N203" s="380">
        <v>886</v>
      </c>
      <c r="O203" s="380">
        <v>886</v>
      </c>
      <c r="P203" s="380">
        <v>886</v>
      </c>
      <c r="Q203" s="380">
        <v>886</v>
      </c>
      <c r="R203" s="380">
        <v>886</v>
      </c>
      <c r="S203" s="380">
        <v>886</v>
      </c>
      <c r="T203" s="728">
        <f t="shared" si="199"/>
        <v>1</v>
      </c>
      <c r="U203" s="703"/>
      <c r="V203" s="703"/>
      <c r="W203" s="703"/>
    </row>
    <row r="204" spans="1:35" x14ac:dyDescent="0.25">
      <c r="A204" s="471">
        <v>453</v>
      </c>
      <c r="B204" s="482" t="s">
        <v>291</v>
      </c>
      <c r="C204" s="472">
        <f>105400</f>
        <v>105400</v>
      </c>
      <c r="D204" s="691">
        <f t="shared" ref="D204:R204" si="202">105400-7590</f>
        <v>97810</v>
      </c>
      <c r="E204" s="472">
        <f t="shared" si="202"/>
        <v>97810</v>
      </c>
      <c r="F204" s="472">
        <f t="shared" si="202"/>
        <v>97810</v>
      </c>
      <c r="G204" s="472">
        <f t="shared" si="202"/>
        <v>97810</v>
      </c>
      <c r="H204" s="472">
        <f t="shared" si="202"/>
        <v>97810</v>
      </c>
      <c r="I204" s="472">
        <f t="shared" si="202"/>
        <v>97810</v>
      </c>
      <c r="J204" s="472">
        <f t="shared" si="202"/>
        <v>97810</v>
      </c>
      <c r="K204" s="472">
        <f t="shared" si="202"/>
        <v>97810</v>
      </c>
      <c r="L204" s="472">
        <f t="shared" si="202"/>
        <v>97810</v>
      </c>
      <c r="M204" s="472">
        <f t="shared" si="202"/>
        <v>97810</v>
      </c>
      <c r="N204" s="472">
        <f t="shared" si="202"/>
        <v>97810</v>
      </c>
      <c r="O204" s="472">
        <f t="shared" si="202"/>
        <v>97810</v>
      </c>
      <c r="P204" s="472">
        <f t="shared" si="202"/>
        <v>97810</v>
      </c>
      <c r="Q204" s="472">
        <f t="shared" si="202"/>
        <v>97810</v>
      </c>
      <c r="R204" s="472">
        <f t="shared" si="202"/>
        <v>97810</v>
      </c>
      <c r="S204" s="472">
        <v>97804</v>
      </c>
      <c r="T204" s="728">
        <f t="shared" si="199"/>
        <v>0.99993865657908187</v>
      </c>
      <c r="U204" s="703"/>
      <c r="V204" s="27"/>
      <c r="W204" s="27"/>
    </row>
    <row r="205" spans="1:35" x14ac:dyDescent="0.25">
      <c r="A205" s="403">
        <v>453</v>
      </c>
      <c r="B205" s="404" t="s">
        <v>293</v>
      </c>
      <c r="C205" s="64">
        <v>0</v>
      </c>
      <c r="D205" s="689">
        <f t="shared" ref="D205:R205" si="203">70000</f>
        <v>70000</v>
      </c>
      <c r="E205" s="64">
        <f t="shared" si="203"/>
        <v>70000</v>
      </c>
      <c r="F205" s="64">
        <f t="shared" si="203"/>
        <v>70000</v>
      </c>
      <c r="G205" s="64">
        <f t="shared" si="203"/>
        <v>70000</v>
      </c>
      <c r="H205" s="64">
        <f t="shared" si="203"/>
        <v>70000</v>
      </c>
      <c r="I205" s="64">
        <f t="shared" si="203"/>
        <v>70000</v>
      </c>
      <c r="J205" s="64">
        <f t="shared" si="203"/>
        <v>70000</v>
      </c>
      <c r="K205" s="64">
        <f t="shared" si="203"/>
        <v>70000</v>
      </c>
      <c r="L205" s="64">
        <f t="shared" si="203"/>
        <v>70000</v>
      </c>
      <c r="M205" s="64">
        <f t="shared" si="203"/>
        <v>70000</v>
      </c>
      <c r="N205" s="64">
        <f t="shared" si="203"/>
        <v>70000</v>
      </c>
      <c r="O205" s="64">
        <f t="shared" si="203"/>
        <v>70000</v>
      </c>
      <c r="P205" s="64">
        <f t="shared" si="203"/>
        <v>70000</v>
      </c>
      <c r="Q205" s="64">
        <f t="shared" si="203"/>
        <v>70000</v>
      </c>
      <c r="R205" s="64">
        <f t="shared" si="203"/>
        <v>70000</v>
      </c>
      <c r="S205" s="524">
        <v>69999</v>
      </c>
      <c r="T205" s="728">
        <f t="shared" si="199"/>
        <v>0.99998571428571426</v>
      </c>
      <c r="U205" s="27"/>
    </row>
    <row r="206" spans="1:35" ht="15.75" thickBot="1" x14ac:dyDescent="0.3">
      <c r="A206" s="483">
        <v>453</v>
      </c>
      <c r="B206" s="377" t="s">
        <v>304</v>
      </c>
      <c r="C206" s="484">
        <v>100000</v>
      </c>
      <c r="D206" s="484">
        <v>100000</v>
      </c>
      <c r="E206" s="484">
        <v>100000</v>
      </c>
      <c r="F206" s="484">
        <v>100000</v>
      </c>
      <c r="G206" s="484">
        <v>100000</v>
      </c>
      <c r="H206" s="484">
        <v>100000</v>
      </c>
      <c r="I206" s="484">
        <v>100000</v>
      </c>
      <c r="J206" s="484">
        <v>100000</v>
      </c>
      <c r="K206" s="484">
        <v>100000</v>
      </c>
      <c r="L206" s="484">
        <v>100000</v>
      </c>
      <c r="M206" s="484">
        <v>100000</v>
      </c>
      <c r="N206" s="484">
        <v>100000</v>
      </c>
      <c r="O206" s="484">
        <v>100000</v>
      </c>
      <c r="P206" s="484">
        <v>100000</v>
      </c>
      <c r="Q206" s="484">
        <v>100000</v>
      </c>
      <c r="R206" s="484">
        <v>100000</v>
      </c>
      <c r="S206" s="484">
        <v>0</v>
      </c>
      <c r="T206" s="728">
        <f t="shared" si="199"/>
        <v>0</v>
      </c>
      <c r="U206" s="27">
        <f>SUM(R203:R206)</f>
        <v>268696</v>
      </c>
      <c r="V206" s="27">
        <f>SUM(S203:S206)</f>
        <v>168689</v>
      </c>
      <c r="W206" s="426"/>
    </row>
    <row r="207" spans="1:35" x14ac:dyDescent="0.25">
      <c r="A207" s="378">
        <v>454</v>
      </c>
      <c r="B207" s="379" t="s">
        <v>474</v>
      </c>
      <c r="C207" s="380">
        <v>0</v>
      </c>
      <c r="D207" s="380">
        <v>0</v>
      </c>
      <c r="E207" s="380">
        <v>0</v>
      </c>
      <c r="F207" s="380">
        <v>0</v>
      </c>
      <c r="G207" s="380">
        <v>0</v>
      </c>
      <c r="H207" s="380">
        <v>0</v>
      </c>
      <c r="I207" s="380">
        <v>0</v>
      </c>
      <c r="J207" s="380">
        <v>0</v>
      </c>
      <c r="K207" s="380">
        <v>0</v>
      </c>
      <c r="L207" s="380">
        <v>0</v>
      </c>
      <c r="M207" s="380">
        <v>0</v>
      </c>
      <c r="N207" s="380">
        <v>0</v>
      </c>
      <c r="O207" s="380">
        <v>0</v>
      </c>
      <c r="P207" s="380">
        <v>0</v>
      </c>
      <c r="Q207" s="380">
        <v>0</v>
      </c>
      <c r="R207" s="380">
        <v>0</v>
      </c>
      <c r="S207" s="380">
        <v>0</v>
      </c>
      <c r="T207" s="728">
        <v>0</v>
      </c>
      <c r="U207" s="426"/>
      <c r="V207" s="27"/>
      <c r="W207" s="27"/>
    </row>
    <row r="208" spans="1:35" ht="15.75" thickBot="1" x14ac:dyDescent="0.3">
      <c r="A208" s="303">
        <v>454</v>
      </c>
      <c r="B208" s="304" t="s">
        <v>266</v>
      </c>
      <c r="C208" s="305">
        <f t="shared" ref="C208:L208" si="204">152000+193000</f>
        <v>345000</v>
      </c>
      <c r="D208" s="305">
        <f t="shared" si="204"/>
        <v>345000</v>
      </c>
      <c r="E208" s="305">
        <f t="shared" si="204"/>
        <v>345000</v>
      </c>
      <c r="F208" s="305">
        <f t="shared" si="204"/>
        <v>345000</v>
      </c>
      <c r="G208" s="305">
        <f t="shared" si="204"/>
        <v>345000</v>
      </c>
      <c r="H208" s="305">
        <f t="shared" si="204"/>
        <v>345000</v>
      </c>
      <c r="I208" s="305">
        <f t="shared" si="204"/>
        <v>345000</v>
      </c>
      <c r="J208" s="305">
        <f t="shared" si="204"/>
        <v>345000</v>
      </c>
      <c r="K208" s="305">
        <f t="shared" si="204"/>
        <v>345000</v>
      </c>
      <c r="L208" s="305">
        <f t="shared" si="204"/>
        <v>345000</v>
      </c>
      <c r="M208" s="690">
        <f>152000+193000+305000</f>
        <v>650000</v>
      </c>
      <c r="N208" s="305">
        <f>152000+193000+305000</f>
        <v>650000</v>
      </c>
      <c r="O208" s="305">
        <f>152000+193000+305000</f>
        <v>650000</v>
      </c>
      <c r="P208" s="305">
        <f>152000+193000+305000</f>
        <v>650000</v>
      </c>
      <c r="Q208" s="305">
        <f t="shared" ref="Q208:R208" si="205">152000+193000+305000</f>
        <v>650000</v>
      </c>
      <c r="R208" s="305">
        <f t="shared" si="205"/>
        <v>650000</v>
      </c>
      <c r="S208" s="305">
        <v>340895</v>
      </c>
      <c r="T208" s="728">
        <f t="shared" si="199"/>
        <v>0.52445384615384616</v>
      </c>
      <c r="U208" s="27">
        <f>SUM(R207:R208)</f>
        <v>650000</v>
      </c>
      <c r="V208" s="27">
        <f>SUM(S207:S208)</f>
        <v>340895</v>
      </c>
      <c r="W208" s="27"/>
    </row>
    <row r="209" spans="1:35" ht="15.75" thickBot="1" x14ac:dyDescent="0.3">
      <c r="A209" s="770">
        <v>456</v>
      </c>
      <c r="B209" s="772" t="s">
        <v>535</v>
      </c>
      <c r="C209" s="771">
        <v>0</v>
      </c>
      <c r="D209" s="771">
        <v>0</v>
      </c>
      <c r="E209" s="771">
        <v>0</v>
      </c>
      <c r="F209" s="771">
        <v>0</v>
      </c>
      <c r="G209" s="773">
        <v>54025</v>
      </c>
      <c r="H209" s="771">
        <v>54025</v>
      </c>
      <c r="I209" s="771">
        <v>54025</v>
      </c>
      <c r="J209" s="771">
        <v>54025</v>
      </c>
      <c r="K209" s="771">
        <v>54025</v>
      </c>
      <c r="L209" s="771">
        <v>54025</v>
      </c>
      <c r="M209" s="771">
        <v>54025</v>
      </c>
      <c r="N209" s="771">
        <v>54025</v>
      </c>
      <c r="O209" s="771">
        <v>54025</v>
      </c>
      <c r="P209" s="771">
        <v>54025</v>
      </c>
      <c r="Q209" s="773">
        <f>54025-54025</f>
        <v>0</v>
      </c>
      <c r="R209" s="771">
        <f>54025-54025</f>
        <v>0</v>
      </c>
      <c r="S209" s="771">
        <v>0</v>
      </c>
      <c r="T209" s="728">
        <v>0</v>
      </c>
      <c r="U209" s="27"/>
      <c r="V209" s="27"/>
      <c r="W209" s="27"/>
    </row>
    <row r="210" spans="1:35" ht="16.5" thickBot="1" x14ac:dyDescent="0.3">
      <c r="A210" s="410" t="s">
        <v>171</v>
      </c>
      <c r="B210" s="411"/>
      <c r="C210" s="412">
        <f t="shared" ref="C210:S210" si="206">SUM(C211:C213)</f>
        <v>1090</v>
      </c>
      <c r="D210" s="412">
        <f t="shared" si="206"/>
        <v>1110</v>
      </c>
      <c r="E210" s="412">
        <f t="shared" si="206"/>
        <v>1110</v>
      </c>
      <c r="F210" s="412">
        <f t="shared" si="206"/>
        <v>1110</v>
      </c>
      <c r="G210" s="412">
        <f t="shared" si="206"/>
        <v>55135</v>
      </c>
      <c r="H210" s="412">
        <f t="shared" si="206"/>
        <v>55135</v>
      </c>
      <c r="I210" s="412">
        <f t="shared" si="206"/>
        <v>55135</v>
      </c>
      <c r="J210" s="412">
        <f t="shared" si="206"/>
        <v>55135</v>
      </c>
      <c r="K210" s="412">
        <f t="shared" si="206"/>
        <v>55135</v>
      </c>
      <c r="L210" s="412">
        <f t="shared" si="206"/>
        <v>55135</v>
      </c>
      <c r="M210" s="412">
        <f t="shared" si="206"/>
        <v>55135</v>
      </c>
      <c r="N210" s="412">
        <f t="shared" si="206"/>
        <v>55135</v>
      </c>
      <c r="O210" s="412">
        <f t="shared" ref="O210:P210" si="207">SUM(O211:O213)</f>
        <v>55135</v>
      </c>
      <c r="P210" s="412">
        <f t="shared" si="207"/>
        <v>55135</v>
      </c>
      <c r="Q210" s="412">
        <f t="shared" ref="Q210:R210" si="208">SUM(Q211:Q213)</f>
        <v>1110</v>
      </c>
      <c r="R210" s="412">
        <f t="shared" si="208"/>
        <v>1110</v>
      </c>
      <c r="S210" s="412">
        <f t="shared" si="206"/>
        <v>812</v>
      </c>
      <c r="T210" s="728">
        <f t="shared" si="199"/>
        <v>0.7315315315315315</v>
      </c>
      <c r="U210" s="27">
        <f t="shared" ref="U210:AG210" si="209">D210-C210</f>
        <v>20</v>
      </c>
      <c r="V210" s="27">
        <f t="shared" si="209"/>
        <v>0</v>
      </c>
      <c r="W210" s="27">
        <f t="shared" si="209"/>
        <v>0</v>
      </c>
      <c r="X210" s="27">
        <f t="shared" si="209"/>
        <v>54025</v>
      </c>
      <c r="Y210" s="27">
        <f t="shared" si="209"/>
        <v>0</v>
      </c>
      <c r="Z210" s="27">
        <f t="shared" si="209"/>
        <v>0</v>
      </c>
      <c r="AA210" s="27">
        <f t="shared" si="209"/>
        <v>0</v>
      </c>
      <c r="AB210" s="27">
        <f t="shared" si="209"/>
        <v>0</v>
      </c>
      <c r="AC210" s="27">
        <f t="shared" si="209"/>
        <v>0</v>
      </c>
      <c r="AD210" s="27">
        <f t="shared" si="209"/>
        <v>0</v>
      </c>
      <c r="AE210" s="27">
        <f t="shared" si="209"/>
        <v>0</v>
      </c>
      <c r="AF210" s="27">
        <f t="shared" si="209"/>
        <v>0</v>
      </c>
      <c r="AG210" s="27">
        <f t="shared" si="209"/>
        <v>0</v>
      </c>
      <c r="AH210" s="27">
        <f t="shared" ref="AH210" si="210">Q210-P210</f>
        <v>-54025</v>
      </c>
      <c r="AI210" s="27">
        <f t="shared" ref="AI210" si="211">R210-Q210</f>
        <v>0</v>
      </c>
    </row>
    <row r="211" spans="1:35" x14ac:dyDescent="0.25">
      <c r="A211" s="308">
        <v>819</v>
      </c>
      <c r="B211" s="307" t="s">
        <v>244</v>
      </c>
      <c r="C211" s="56">
        <v>0</v>
      </c>
      <c r="D211" s="705">
        <v>20</v>
      </c>
      <c r="E211" s="56">
        <v>20</v>
      </c>
      <c r="F211" s="56">
        <v>20</v>
      </c>
      <c r="G211" s="56">
        <v>20</v>
      </c>
      <c r="H211" s="56">
        <v>20</v>
      </c>
      <c r="I211" s="56">
        <v>20</v>
      </c>
      <c r="J211" s="56">
        <v>20</v>
      </c>
      <c r="K211" s="56">
        <v>20</v>
      </c>
      <c r="L211" s="56">
        <v>20</v>
      </c>
      <c r="M211" s="56">
        <v>20</v>
      </c>
      <c r="N211" s="56">
        <v>20</v>
      </c>
      <c r="O211" s="56">
        <v>20</v>
      </c>
      <c r="P211" s="56">
        <v>20</v>
      </c>
      <c r="Q211" s="56">
        <v>20</v>
      </c>
      <c r="R211" s="56">
        <v>20</v>
      </c>
      <c r="S211" s="56">
        <v>5</v>
      </c>
      <c r="T211" s="728">
        <f t="shared" si="199"/>
        <v>0.25</v>
      </c>
      <c r="U211" s="27"/>
      <c r="V211" s="27"/>
      <c r="W211" s="27"/>
      <c r="Y211" s="426"/>
    </row>
    <row r="212" spans="1:35" x14ac:dyDescent="0.25">
      <c r="A212" s="308">
        <v>819</v>
      </c>
      <c r="B212" s="377" t="s">
        <v>535</v>
      </c>
      <c r="C212" s="56">
        <v>0</v>
      </c>
      <c r="D212" s="56">
        <v>0</v>
      </c>
      <c r="E212" s="56">
        <v>0</v>
      </c>
      <c r="F212" s="56">
        <v>0</v>
      </c>
      <c r="G212" s="705">
        <v>54025</v>
      </c>
      <c r="H212" s="56">
        <v>54025</v>
      </c>
      <c r="I212" s="56">
        <v>54025</v>
      </c>
      <c r="J212" s="56">
        <v>54025</v>
      </c>
      <c r="K212" s="56">
        <v>54025</v>
      </c>
      <c r="L212" s="56">
        <v>54025</v>
      </c>
      <c r="M212" s="56">
        <v>54025</v>
      </c>
      <c r="N212" s="56">
        <v>54025</v>
      </c>
      <c r="O212" s="56">
        <v>54025</v>
      </c>
      <c r="P212" s="56">
        <v>54025</v>
      </c>
      <c r="Q212" s="705">
        <f>54025-54025</f>
        <v>0</v>
      </c>
      <c r="R212" s="56">
        <f>54025-54025</f>
        <v>0</v>
      </c>
      <c r="S212" s="56">
        <v>0</v>
      </c>
      <c r="T212" s="728">
        <v>0</v>
      </c>
      <c r="U212" s="27">
        <f>SUM(R211:R212)</f>
        <v>20</v>
      </c>
      <c r="V212" s="27">
        <f>SUM(S211:S212)</f>
        <v>5</v>
      </c>
      <c r="W212" s="27"/>
      <c r="Y212" s="426"/>
    </row>
    <row r="213" spans="1:35" ht="14.25" customHeight="1" thickBot="1" x14ac:dyDescent="0.3">
      <c r="A213" s="310">
        <v>821</v>
      </c>
      <c r="B213" s="311" t="s">
        <v>173</v>
      </c>
      <c r="C213" s="124">
        <v>1090</v>
      </c>
      <c r="D213" s="124">
        <v>1090</v>
      </c>
      <c r="E213" s="124">
        <v>1090</v>
      </c>
      <c r="F213" s="124">
        <v>1090</v>
      </c>
      <c r="G213" s="124">
        <v>1090</v>
      </c>
      <c r="H213" s="124">
        <v>1090</v>
      </c>
      <c r="I213" s="124">
        <v>1090</v>
      </c>
      <c r="J213" s="124">
        <v>1090</v>
      </c>
      <c r="K213" s="124">
        <v>1090</v>
      </c>
      <c r="L213" s="124">
        <v>1090</v>
      </c>
      <c r="M213" s="124">
        <v>1090</v>
      </c>
      <c r="N213" s="124">
        <v>1090</v>
      </c>
      <c r="O213" s="124">
        <v>1090</v>
      </c>
      <c r="P213" s="124">
        <v>1090</v>
      </c>
      <c r="Q213" s="124">
        <v>1090</v>
      </c>
      <c r="R213" s="124">
        <v>1090</v>
      </c>
      <c r="S213" s="124">
        <v>807</v>
      </c>
      <c r="T213" s="728">
        <f t="shared" si="199"/>
        <v>0.74036697247706418</v>
      </c>
      <c r="U213" s="27"/>
    </row>
    <row r="214" spans="1:35" x14ac:dyDescent="0.25">
      <c r="A214" s="297"/>
      <c r="B214" s="312"/>
      <c r="C214" s="157"/>
      <c r="D214" s="157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  <c r="R214" s="157"/>
      <c r="S214" s="157"/>
      <c r="T214" s="157"/>
      <c r="U214" s="1"/>
    </row>
    <row r="215" spans="1:35" ht="15.75" x14ac:dyDescent="0.25">
      <c r="A215" s="101"/>
      <c r="B215" s="295"/>
      <c r="C215" s="295"/>
      <c r="D215" s="295"/>
      <c r="E215" s="295"/>
      <c r="F215" s="295"/>
      <c r="G215" s="295"/>
      <c r="H215" s="295"/>
      <c r="I215" s="295"/>
      <c r="J215" s="295"/>
      <c r="K215" s="295"/>
      <c r="L215" s="295"/>
      <c r="M215" s="295"/>
      <c r="N215" s="295"/>
      <c r="O215" s="295"/>
      <c r="P215" s="295"/>
      <c r="Q215" s="295"/>
      <c r="R215" s="295"/>
      <c r="S215" s="295"/>
      <c r="T215" s="295"/>
      <c r="U215" s="1"/>
    </row>
    <row r="216" spans="1:35" ht="18.75" thickBot="1" x14ac:dyDescent="0.3">
      <c r="A216" s="882" t="s">
        <v>174</v>
      </c>
      <c r="B216" s="883"/>
      <c r="C216" s="883"/>
      <c r="D216" s="883"/>
      <c r="E216" s="883"/>
      <c r="F216" s="883"/>
      <c r="G216" s="883"/>
      <c r="H216" s="883"/>
      <c r="I216" s="883"/>
      <c r="J216" s="883"/>
      <c r="K216" s="883"/>
      <c r="L216" s="883"/>
      <c r="M216" s="883"/>
      <c r="N216" s="883"/>
      <c r="O216" s="883"/>
      <c r="P216" s="883"/>
      <c r="Q216" s="883"/>
      <c r="R216" s="883"/>
      <c r="S216" s="883"/>
      <c r="T216" s="729"/>
      <c r="U216" s="295"/>
    </row>
    <row r="217" spans="1:35" ht="36" customHeight="1" thickBot="1" x14ac:dyDescent="0.3">
      <c r="A217" s="876" t="s">
        <v>1</v>
      </c>
      <c r="B217" s="877"/>
      <c r="C217" s="387" t="s">
        <v>467</v>
      </c>
      <c r="D217" s="387" t="s">
        <v>465</v>
      </c>
      <c r="E217" s="387" t="s">
        <v>483</v>
      </c>
      <c r="F217" s="387" t="s">
        <v>500</v>
      </c>
      <c r="G217" s="387" t="s">
        <v>533</v>
      </c>
      <c r="H217" s="387" t="s">
        <v>578</v>
      </c>
      <c r="I217" s="387" t="s">
        <v>610</v>
      </c>
      <c r="J217" s="387" t="s">
        <v>579</v>
      </c>
      <c r="K217" s="387" t="s">
        <v>646</v>
      </c>
      <c r="L217" s="387" t="s">
        <v>637</v>
      </c>
      <c r="M217" s="387" t="s">
        <v>670</v>
      </c>
      <c r="N217" s="387" t="s">
        <v>680</v>
      </c>
      <c r="O217" s="387" t="s">
        <v>749</v>
      </c>
      <c r="P217" s="387" t="s">
        <v>774</v>
      </c>
      <c r="Q217" s="387" t="s">
        <v>783</v>
      </c>
      <c r="R217" s="387" t="s">
        <v>784</v>
      </c>
      <c r="S217" s="387" t="s">
        <v>853</v>
      </c>
      <c r="T217" s="730"/>
      <c r="U217" s="1"/>
    </row>
    <row r="218" spans="1:35" ht="15.75" x14ac:dyDescent="0.25">
      <c r="A218" s="313" t="s">
        <v>175</v>
      </c>
      <c r="B218" s="29"/>
      <c r="C218" s="314">
        <f t="shared" ref="C218:S218" si="212">C72</f>
        <v>2971575</v>
      </c>
      <c r="D218" s="314">
        <f t="shared" si="212"/>
        <v>2971247</v>
      </c>
      <c r="E218" s="314">
        <f t="shared" si="212"/>
        <v>2988357</v>
      </c>
      <c r="F218" s="314">
        <f t="shared" si="212"/>
        <v>2981581</v>
      </c>
      <c r="G218" s="314">
        <f t="shared" si="212"/>
        <v>2981581</v>
      </c>
      <c r="H218" s="314">
        <f t="shared" si="212"/>
        <v>2981581</v>
      </c>
      <c r="I218" s="314">
        <f t="shared" si="212"/>
        <v>2993537</v>
      </c>
      <c r="J218" s="314">
        <f t="shared" si="212"/>
        <v>2994461</v>
      </c>
      <c r="K218" s="314">
        <f t="shared" si="212"/>
        <v>3092290</v>
      </c>
      <c r="L218" s="314">
        <f t="shared" si="212"/>
        <v>3093835</v>
      </c>
      <c r="M218" s="314">
        <f t="shared" si="212"/>
        <v>3093835</v>
      </c>
      <c r="N218" s="314">
        <f t="shared" si="212"/>
        <v>3098234</v>
      </c>
      <c r="O218" s="314">
        <f t="shared" si="212"/>
        <v>3100431</v>
      </c>
      <c r="P218" s="314">
        <f t="shared" si="212"/>
        <v>3102031</v>
      </c>
      <c r="Q218" s="314">
        <f t="shared" si="212"/>
        <v>3101031</v>
      </c>
      <c r="R218" s="314">
        <f t="shared" si="212"/>
        <v>3142312</v>
      </c>
      <c r="S218" s="314">
        <f t="shared" si="212"/>
        <v>2289236.2999999998</v>
      </c>
      <c r="T218" s="726"/>
    </row>
    <row r="219" spans="1:35" ht="15.75" x14ac:dyDescent="0.25">
      <c r="A219" s="315" t="s">
        <v>176</v>
      </c>
      <c r="B219" s="316"/>
      <c r="C219" s="317">
        <f t="shared" ref="C219:S219" si="213">C139</f>
        <v>2990485</v>
      </c>
      <c r="D219" s="317">
        <f t="shared" si="213"/>
        <v>2995354</v>
      </c>
      <c r="E219" s="317">
        <f t="shared" si="213"/>
        <v>3012464</v>
      </c>
      <c r="F219" s="317">
        <f t="shared" si="213"/>
        <v>3005688</v>
      </c>
      <c r="G219" s="317">
        <f t="shared" si="213"/>
        <v>3005688</v>
      </c>
      <c r="H219" s="317">
        <f t="shared" si="213"/>
        <v>3005688</v>
      </c>
      <c r="I219" s="317">
        <f t="shared" si="213"/>
        <v>3017644</v>
      </c>
      <c r="J219" s="317">
        <f t="shared" si="213"/>
        <v>3018568</v>
      </c>
      <c r="K219" s="317">
        <f t="shared" si="213"/>
        <v>3116397</v>
      </c>
      <c r="L219" s="317">
        <f t="shared" si="213"/>
        <v>3117942</v>
      </c>
      <c r="M219" s="317">
        <f t="shared" si="213"/>
        <v>3117942</v>
      </c>
      <c r="N219" s="317">
        <f t="shared" si="213"/>
        <v>3122341</v>
      </c>
      <c r="O219" s="317">
        <f t="shared" si="213"/>
        <v>3124538</v>
      </c>
      <c r="P219" s="317">
        <f t="shared" si="213"/>
        <v>3126138</v>
      </c>
      <c r="Q219" s="317">
        <f t="shared" si="213"/>
        <v>3125138</v>
      </c>
      <c r="R219" s="317">
        <f t="shared" si="213"/>
        <v>3166419</v>
      </c>
      <c r="S219" s="317">
        <f t="shared" si="213"/>
        <v>2061380.4</v>
      </c>
      <c r="T219" s="726"/>
    </row>
    <row r="220" spans="1:35" ht="18.75" customHeight="1" x14ac:dyDescent="0.25">
      <c r="A220" s="884" t="s">
        <v>177</v>
      </c>
      <c r="B220" s="885"/>
      <c r="C220" s="318">
        <f t="shared" ref="C220:S220" si="214">C218-C219</f>
        <v>-18910</v>
      </c>
      <c r="D220" s="318">
        <f t="shared" si="214"/>
        <v>-24107</v>
      </c>
      <c r="E220" s="318">
        <f t="shared" si="214"/>
        <v>-24107</v>
      </c>
      <c r="F220" s="318">
        <f t="shared" si="214"/>
        <v>-24107</v>
      </c>
      <c r="G220" s="318">
        <f t="shared" si="214"/>
        <v>-24107</v>
      </c>
      <c r="H220" s="318">
        <f t="shared" si="214"/>
        <v>-24107</v>
      </c>
      <c r="I220" s="318">
        <f t="shared" si="214"/>
        <v>-24107</v>
      </c>
      <c r="J220" s="318">
        <f t="shared" si="214"/>
        <v>-24107</v>
      </c>
      <c r="K220" s="318">
        <f t="shared" si="214"/>
        <v>-24107</v>
      </c>
      <c r="L220" s="318">
        <f t="shared" si="214"/>
        <v>-24107</v>
      </c>
      <c r="M220" s="318">
        <f t="shared" si="214"/>
        <v>-24107</v>
      </c>
      <c r="N220" s="318">
        <f t="shared" si="214"/>
        <v>-24107</v>
      </c>
      <c r="O220" s="318">
        <f t="shared" ref="O220:P220" si="215">O218-O219</f>
        <v>-24107</v>
      </c>
      <c r="P220" s="318">
        <f t="shared" si="215"/>
        <v>-24107</v>
      </c>
      <c r="Q220" s="318">
        <f t="shared" ref="Q220:R220" si="216">Q218-Q219</f>
        <v>-24107</v>
      </c>
      <c r="R220" s="318">
        <f t="shared" si="216"/>
        <v>-24107</v>
      </c>
      <c r="S220" s="318">
        <f t="shared" si="214"/>
        <v>227855.89999999991</v>
      </c>
      <c r="T220" s="731"/>
      <c r="U220" s="27">
        <f>O220-O213</f>
        <v>-25197</v>
      </c>
      <c r="V220" s="27"/>
      <c r="W220" s="27"/>
      <c r="X220" s="27"/>
    </row>
    <row r="221" spans="1:35" ht="16.149999999999999" customHeight="1" x14ac:dyDescent="0.25">
      <c r="A221" s="315" t="s">
        <v>178</v>
      </c>
      <c r="B221" s="18"/>
      <c r="C221" s="317">
        <f t="shared" ref="C221:S221" si="217">C144</f>
        <v>2593450</v>
      </c>
      <c r="D221" s="317">
        <f t="shared" si="217"/>
        <v>2523450</v>
      </c>
      <c r="E221" s="317">
        <f t="shared" si="217"/>
        <v>2511270</v>
      </c>
      <c r="F221" s="317">
        <f t="shared" si="217"/>
        <v>2511270</v>
      </c>
      <c r="G221" s="317">
        <f t="shared" si="217"/>
        <v>2541070</v>
      </c>
      <c r="H221" s="317">
        <f t="shared" si="217"/>
        <v>2541070</v>
      </c>
      <c r="I221" s="317">
        <f t="shared" si="217"/>
        <v>2541070</v>
      </c>
      <c r="J221" s="317">
        <f t="shared" si="217"/>
        <v>2541070</v>
      </c>
      <c r="K221" s="317">
        <f t="shared" si="217"/>
        <v>2541070</v>
      </c>
      <c r="L221" s="317">
        <f t="shared" si="217"/>
        <v>2614470</v>
      </c>
      <c r="M221" s="317">
        <f t="shared" si="217"/>
        <v>2714670</v>
      </c>
      <c r="N221" s="317">
        <f t="shared" si="217"/>
        <v>2714670</v>
      </c>
      <c r="O221" s="317">
        <f t="shared" si="217"/>
        <v>2809670</v>
      </c>
      <c r="P221" s="317">
        <f t="shared" si="217"/>
        <v>2809670</v>
      </c>
      <c r="Q221" s="317">
        <f t="shared" si="217"/>
        <v>3949970</v>
      </c>
      <c r="R221" s="317">
        <f t="shared" si="217"/>
        <v>3949970</v>
      </c>
      <c r="S221" s="317">
        <f t="shared" si="217"/>
        <v>339919.73</v>
      </c>
      <c r="T221" s="726"/>
    </row>
    <row r="222" spans="1:35" ht="15.75" x14ac:dyDescent="0.25">
      <c r="A222" s="315" t="s">
        <v>179</v>
      </c>
      <c r="B222" s="18"/>
      <c r="C222" s="20">
        <f t="shared" ref="C222:S222" si="218">C164</f>
        <v>3144736</v>
      </c>
      <c r="D222" s="20">
        <f t="shared" si="218"/>
        <v>3137146</v>
      </c>
      <c r="E222" s="20">
        <f t="shared" si="218"/>
        <v>3124966</v>
      </c>
      <c r="F222" s="20">
        <f t="shared" si="218"/>
        <v>3124966</v>
      </c>
      <c r="G222" s="20">
        <f t="shared" si="218"/>
        <v>3154766</v>
      </c>
      <c r="H222" s="20">
        <f t="shared" si="218"/>
        <v>3154766</v>
      </c>
      <c r="I222" s="20">
        <f t="shared" si="218"/>
        <v>3154766</v>
      </c>
      <c r="J222" s="20">
        <f t="shared" si="218"/>
        <v>3154766</v>
      </c>
      <c r="K222" s="20">
        <f t="shared" si="218"/>
        <v>3154766</v>
      </c>
      <c r="L222" s="20">
        <f t="shared" si="218"/>
        <v>3228166</v>
      </c>
      <c r="M222" s="20">
        <f t="shared" si="218"/>
        <v>3633366</v>
      </c>
      <c r="N222" s="20">
        <f t="shared" si="218"/>
        <v>3633366</v>
      </c>
      <c r="O222" s="20">
        <f t="shared" si="218"/>
        <v>3728366</v>
      </c>
      <c r="P222" s="20">
        <f t="shared" si="218"/>
        <v>3728366</v>
      </c>
      <c r="Q222" s="20">
        <f t="shared" si="218"/>
        <v>4868666</v>
      </c>
      <c r="R222" s="20">
        <f t="shared" si="218"/>
        <v>4868666</v>
      </c>
      <c r="S222" s="20">
        <f t="shared" si="218"/>
        <v>515861</v>
      </c>
      <c r="T222" s="703"/>
      <c r="U222" s="1"/>
    </row>
    <row r="223" spans="1:35" ht="18" customHeight="1" x14ac:dyDescent="0.25">
      <c r="A223" s="884" t="s">
        <v>180</v>
      </c>
      <c r="B223" s="885"/>
      <c r="C223" s="318">
        <f t="shared" ref="C223:S223" si="219">C221-C222</f>
        <v>-551286</v>
      </c>
      <c r="D223" s="318">
        <f t="shared" si="219"/>
        <v>-613696</v>
      </c>
      <c r="E223" s="318">
        <f t="shared" si="219"/>
        <v>-613696</v>
      </c>
      <c r="F223" s="318">
        <f t="shared" si="219"/>
        <v>-613696</v>
      </c>
      <c r="G223" s="318">
        <f t="shared" si="219"/>
        <v>-613696</v>
      </c>
      <c r="H223" s="318">
        <f t="shared" si="219"/>
        <v>-613696</v>
      </c>
      <c r="I223" s="318">
        <f t="shared" si="219"/>
        <v>-613696</v>
      </c>
      <c r="J223" s="318">
        <f t="shared" si="219"/>
        <v>-613696</v>
      </c>
      <c r="K223" s="318">
        <f t="shared" si="219"/>
        <v>-613696</v>
      </c>
      <c r="L223" s="318">
        <f t="shared" si="219"/>
        <v>-613696</v>
      </c>
      <c r="M223" s="318">
        <f t="shared" si="219"/>
        <v>-918696</v>
      </c>
      <c r="N223" s="318">
        <f t="shared" si="219"/>
        <v>-918696</v>
      </c>
      <c r="O223" s="318">
        <f t="shared" ref="O223:P223" si="220">O221-O222</f>
        <v>-918696</v>
      </c>
      <c r="P223" s="318">
        <f t="shared" si="220"/>
        <v>-918696</v>
      </c>
      <c r="Q223" s="318">
        <f t="shared" ref="Q223:R223" si="221">Q221-Q222</f>
        <v>-918696</v>
      </c>
      <c r="R223" s="318">
        <f t="shared" si="221"/>
        <v>-918696</v>
      </c>
      <c r="S223" s="318">
        <f t="shared" si="219"/>
        <v>-175941.27000000002</v>
      </c>
      <c r="T223" s="731"/>
      <c r="U223" s="1"/>
      <c r="V223" s="703"/>
      <c r="W223" s="703"/>
    </row>
    <row r="224" spans="1:35" ht="15.75" x14ac:dyDescent="0.25">
      <c r="A224" s="319" t="s">
        <v>181</v>
      </c>
      <c r="B224" s="320"/>
      <c r="C224" s="321">
        <f t="shared" ref="C224:S224" si="222">C196</f>
        <v>571286</v>
      </c>
      <c r="D224" s="321">
        <f t="shared" si="222"/>
        <v>638913</v>
      </c>
      <c r="E224" s="321">
        <f t="shared" si="222"/>
        <v>638913</v>
      </c>
      <c r="F224" s="321">
        <f t="shared" si="222"/>
        <v>638913</v>
      </c>
      <c r="G224" s="321">
        <f t="shared" si="222"/>
        <v>692938</v>
      </c>
      <c r="H224" s="321">
        <f t="shared" si="222"/>
        <v>692938</v>
      </c>
      <c r="I224" s="321">
        <f t="shared" si="222"/>
        <v>692938</v>
      </c>
      <c r="J224" s="321">
        <f t="shared" si="222"/>
        <v>692938</v>
      </c>
      <c r="K224" s="321">
        <f t="shared" si="222"/>
        <v>692938</v>
      </c>
      <c r="L224" s="321">
        <f t="shared" si="222"/>
        <v>692938</v>
      </c>
      <c r="M224" s="321">
        <f t="shared" si="222"/>
        <v>997938</v>
      </c>
      <c r="N224" s="321">
        <f t="shared" si="222"/>
        <v>997938</v>
      </c>
      <c r="O224" s="321">
        <f t="shared" ref="O224:P224" si="223">O196</f>
        <v>997938</v>
      </c>
      <c r="P224" s="321">
        <f t="shared" si="223"/>
        <v>997938</v>
      </c>
      <c r="Q224" s="321">
        <f t="shared" ref="Q224:R224" si="224">Q196</f>
        <v>943913</v>
      </c>
      <c r="R224" s="321">
        <f t="shared" si="224"/>
        <v>943913</v>
      </c>
      <c r="S224" s="321">
        <f t="shared" si="222"/>
        <v>531134</v>
      </c>
      <c r="T224" s="726"/>
      <c r="U224" s="703"/>
    </row>
    <row r="225" spans="1:38" ht="16.5" customHeight="1" x14ac:dyDescent="0.25">
      <c r="A225" s="319" t="s">
        <v>182</v>
      </c>
      <c r="B225" s="320"/>
      <c r="C225" s="321">
        <f t="shared" ref="C225:S225" si="225">C210</f>
        <v>1090</v>
      </c>
      <c r="D225" s="321">
        <f t="shared" si="225"/>
        <v>1110</v>
      </c>
      <c r="E225" s="321">
        <f t="shared" si="225"/>
        <v>1110</v>
      </c>
      <c r="F225" s="321">
        <f t="shared" si="225"/>
        <v>1110</v>
      </c>
      <c r="G225" s="321">
        <f t="shared" si="225"/>
        <v>55135</v>
      </c>
      <c r="H225" s="321">
        <f t="shared" si="225"/>
        <v>55135</v>
      </c>
      <c r="I225" s="321">
        <f t="shared" si="225"/>
        <v>55135</v>
      </c>
      <c r="J225" s="321">
        <f t="shared" si="225"/>
        <v>55135</v>
      </c>
      <c r="K225" s="321">
        <f t="shared" si="225"/>
        <v>55135</v>
      </c>
      <c r="L225" s="321">
        <f t="shared" si="225"/>
        <v>55135</v>
      </c>
      <c r="M225" s="321">
        <f t="shared" si="225"/>
        <v>55135</v>
      </c>
      <c r="N225" s="321">
        <f t="shared" si="225"/>
        <v>55135</v>
      </c>
      <c r="O225" s="321">
        <f t="shared" ref="O225:P225" si="226">O210</f>
        <v>55135</v>
      </c>
      <c r="P225" s="321">
        <f t="shared" si="226"/>
        <v>55135</v>
      </c>
      <c r="Q225" s="321">
        <f t="shared" ref="Q225:R225" si="227">Q210</f>
        <v>1110</v>
      </c>
      <c r="R225" s="321">
        <f t="shared" si="227"/>
        <v>1110</v>
      </c>
      <c r="S225" s="321">
        <f t="shared" si="225"/>
        <v>812</v>
      </c>
      <c r="T225" s="726"/>
      <c r="U225" s="1"/>
    </row>
    <row r="226" spans="1:38" ht="19.5" customHeight="1" thickBot="1" x14ac:dyDescent="0.3">
      <c r="A226" s="870" t="s">
        <v>183</v>
      </c>
      <c r="B226" s="871"/>
      <c r="C226" s="322">
        <f t="shared" ref="C226:S226" si="228">C224-C225</f>
        <v>570196</v>
      </c>
      <c r="D226" s="322">
        <f t="shared" si="228"/>
        <v>637803</v>
      </c>
      <c r="E226" s="322">
        <f t="shared" si="228"/>
        <v>637803</v>
      </c>
      <c r="F226" s="322">
        <f t="shared" si="228"/>
        <v>637803</v>
      </c>
      <c r="G226" s="322">
        <f t="shared" si="228"/>
        <v>637803</v>
      </c>
      <c r="H226" s="322">
        <f t="shared" si="228"/>
        <v>637803</v>
      </c>
      <c r="I226" s="322">
        <f t="shared" si="228"/>
        <v>637803</v>
      </c>
      <c r="J226" s="322">
        <f t="shared" si="228"/>
        <v>637803</v>
      </c>
      <c r="K226" s="322">
        <f t="shared" si="228"/>
        <v>637803</v>
      </c>
      <c r="L226" s="322">
        <f t="shared" si="228"/>
        <v>637803</v>
      </c>
      <c r="M226" s="322">
        <f t="shared" si="228"/>
        <v>942803</v>
      </c>
      <c r="N226" s="322">
        <f t="shared" si="228"/>
        <v>942803</v>
      </c>
      <c r="O226" s="322">
        <f t="shared" ref="O226:P226" si="229">O224-O225</f>
        <v>942803</v>
      </c>
      <c r="P226" s="322">
        <f t="shared" si="229"/>
        <v>942803</v>
      </c>
      <c r="Q226" s="322">
        <f t="shared" ref="Q226:R226" si="230">Q224-Q225</f>
        <v>942803</v>
      </c>
      <c r="R226" s="322">
        <f t="shared" si="230"/>
        <v>942803</v>
      </c>
      <c r="S226" s="322">
        <f t="shared" si="228"/>
        <v>530322</v>
      </c>
      <c r="T226" s="731"/>
      <c r="U226" s="1"/>
    </row>
    <row r="227" spans="1:38" ht="27" customHeight="1" thickBot="1" x14ac:dyDescent="0.3">
      <c r="A227" s="323" t="s">
        <v>184</v>
      </c>
      <c r="B227" s="324"/>
      <c r="C227" s="325">
        <f t="shared" ref="C227:S227" si="231">C220+C223+C226</f>
        <v>0</v>
      </c>
      <c r="D227" s="325">
        <f t="shared" si="231"/>
        <v>0</v>
      </c>
      <c r="E227" s="325">
        <f t="shared" si="231"/>
        <v>0</v>
      </c>
      <c r="F227" s="325">
        <f t="shared" si="231"/>
        <v>0</v>
      </c>
      <c r="G227" s="325">
        <f t="shared" si="231"/>
        <v>0</v>
      </c>
      <c r="H227" s="325">
        <f t="shared" si="231"/>
        <v>0</v>
      </c>
      <c r="I227" s="325">
        <f t="shared" si="231"/>
        <v>0</v>
      </c>
      <c r="J227" s="325">
        <f t="shared" si="231"/>
        <v>0</v>
      </c>
      <c r="K227" s="325">
        <f t="shared" si="231"/>
        <v>0</v>
      </c>
      <c r="L227" s="325">
        <f t="shared" si="231"/>
        <v>0</v>
      </c>
      <c r="M227" s="325">
        <f t="shared" si="231"/>
        <v>0</v>
      </c>
      <c r="N227" s="325">
        <f t="shared" si="231"/>
        <v>0</v>
      </c>
      <c r="O227" s="325">
        <f t="shared" ref="O227:P227" si="232">O220+O223+O226</f>
        <v>0</v>
      </c>
      <c r="P227" s="325">
        <f t="shared" si="232"/>
        <v>0</v>
      </c>
      <c r="Q227" s="325">
        <f t="shared" ref="Q227:R227" si="233">Q220+Q223+Q226</f>
        <v>0</v>
      </c>
      <c r="R227" s="325">
        <f t="shared" si="233"/>
        <v>0</v>
      </c>
      <c r="S227" s="325">
        <f t="shared" si="231"/>
        <v>582236.62999999989</v>
      </c>
      <c r="T227" s="731"/>
      <c r="U227" s="1"/>
    </row>
    <row r="228" spans="1:38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00"/>
      <c r="U228" s="1"/>
    </row>
    <row r="229" spans="1:38" x14ac:dyDescent="0.25">
      <c r="A229" s="1"/>
      <c r="B229" s="487" t="s">
        <v>267</v>
      </c>
      <c r="C229" s="488">
        <f t="shared" ref="C229:S230" si="234">C218+C221+C224</f>
        <v>6136311</v>
      </c>
      <c r="D229" s="488">
        <f t="shared" si="234"/>
        <v>6133610</v>
      </c>
      <c r="E229" s="488">
        <f t="shared" si="234"/>
        <v>6138540</v>
      </c>
      <c r="F229" s="488">
        <f t="shared" si="234"/>
        <v>6131764</v>
      </c>
      <c r="G229" s="488">
        <f t="shared" si="234"/>
        <v>6215589</v>
      </c>
      <c r="H229" s="488">
        <f t="shared" si="234"/>
        <v>6215589</v>
      </c>
      <c r="I229" s="488">
        <f t="shared" si="234"/>
        <v>6227545</v>
      </c>
      <c r="J229" s="488">
        <f t="shared" si="234"/>
        <v>6228469</v>
      </c>
      <c r="K229" s="488">
        <f t="shared" si="234"/>
        <v>6326298</v>
      </c>
      <c r="L229" s="488">
        <f t="shared" si="234"/>
        <v>6401243</v>
      </c>
      <c r="M229" s="488">
        <f t="shared" si="234"/>
        <v>6806443</v>
      </c>
      <c r="N229" s="488">
        <f t="shared" si="234"/>
        <v>6810842</v>
      </c>
      <c r="O229" s="488">
        <f t="shared" ref="O229:P229" si="235">O218+O221+O224</f>
        <v>6908039</v>
      </c>
      <c r="P229" s="488">
        <f t="shared" si="235"/>
        <v>6909639</v>
      </c>
      <c r="Q229" s="488">
        <f t="shared" ref="Q229:R229" si="236">Q218+Q221+Q224</f>
        <v>7994914</v>
      </c>
      <c r="R229" s="488">
        <f t="shared" si="236"/>
        <v>8036195</v>
      </c>
      <c r="S229" s="488">
        <f t="shared" si="234"/>
        <v>3160290.03</v>
      </c>
      <c r="T229" s="732"/>
      <c r="U229" s="488">
        <f t="shared" ref="U229:AG230" si="237">D229-C229</f>
        <v>-2701</v>
      </c>
      <c r="V229" s="488">
        <f t="shared" si="237"/>
        <v>4930</v>
      </c>
      <c r="W229" s="488">
        <f t="shared" si="237"/>
        <v>-6776</v>
      </c>
      <c r="X229" s="488">
        <f t="shared" si="237"/>
        <v>83825</v>
      </c>
      <c r="Y229" s="488">
        <f t="shared" si="237"/>
        <v>0</v>
      </c>
      <c r="Z229" s="488">
        <f t="shared" si="237"/>
        <v>11956</v>
      </c>
      <c r="AA229" s="488">
        <f t="shared" si="237"/>
        <v>924</v>
      </c>
      <c r="AB229" s="488">
        <f t="shared" si="237"/>
        <v>97829</v>
      </c>
      <c r="AC229" s="488">
        <f t="shared" si="237"/>
        <v>74945</v>
      </c>
      <c r="AD229" s="488">
        <f t="shared" si="237"/>
        <v>405200</v>
      </c>
      <c r="AE229" s="488">
        <f t="shared" si="237"/>
        <v>4399</v>
      </c>
      <c r="AF229" s="488">
        <f t="shared" si="237"/>
        <v>97197</v>
      </c>
      <c r="AG229" s="488">
        <f t="shared" si="237"/>
        <v>1600</v>
      </c>
      <c r="AH229" s="488">
        <f t="shared" ref="AH229:AH230" si="238">Q229-P229</f>
        <v>1085275</v>
      </c>
      <c r="AI229" s="488">
        <f t="shared" ref="AI229:AI230" si="239">R229-Q229</f>
        <v>41281</v>
      </c>
      <c r="AJ229" s="488"/>
      <c r="AK229" s="488"/>
      <c r="AL229" s="488"/>
    </row>
    <row r="230" spans="1:38" x14ac:dyDescent="0.25">
      <c r="A230" s="1"/>
      <c r="B230" s="487" t="s">
        <v>268</v>
      </c>
      <c r="C230" s="488">
        <f t="shared" si="234"/>
        <v>6136311</v>
      </c>
      <c r="D230" s="488">
        <f t="shared" si="234"/>
        <v>6133610</v>
      </c>
      <c r="E230" s="488">
        <f t="shared" si="234"/>
        <v>6138540</v>
      </c>
      <c r="F230" s="488">
        <f t="shared" si="234"/>
        <v>6131764</v>
      </c>
      <c r="G230" s="488">
        <f t="shared" si="234"/>
        <v>6215589</v>
      </c>
      <c r="H230" s="488">
        <f t="shared" si="234"/>
        <v>6215589</v>
      </c>
      <c r="I230" s="488">
        <f t="shared" si="234"/>
        <v>6227545</v>
      </c>
      <c r="J230" s="488">
        <f t="shared" si="234"/>
        <v>6228469</v>
      </c>
      <c r="K230" s="488">
        <f t="shared" si="234"/>
        <v>6326298</v>
      </c>
      <c r="L230" s="488">
        <f t="shared" si="234"/>
        <v>6401243</v>
      </c>
      <c r="M230" s="488">
        <f t="shared" si="234"/>
        <v>6806443</v>
      </c>
      <c r="N230" s="488">
        <f t="shared" si="234"/>
        <v>6810842</v>
      </c>
      <c r="O230" s="488">
        <f t="shared" ref="O230:P230" si="240">O219+O222+O225</f>
        <v>6908039</v>
      </c>
      <c r="P230" s="488">
        <f t="shared" si="240"/>
        <v>6909639</v>
      </c>
      <c r="Q230" s="488">
        <f t="shared" ref="Q230:R230" si="241">Q219+Q222+Q225</f>
        <v>7994914</v>
      </c>
      <c r="R230" s="488">
        <f t="shared" si="241"/>
        <v>8036195</v>
      </c>
      <c r="S230" s="488">
        <f t="shared" si="234"/>
        <v>2578053.4</v>
      </c>
      <c r="T230" s="732"/>
      <c r="U230" s="488">
        <f t="shared" si="237"/>
        <v>-2701</v>
      </c>
      <c r="V230" s="488">
        <f t="shared" si="237"/>
        <v>4930</v>
      </c>
      <c r="W230" s="488">
        <f t="shared" si="237"/>
        <v>-6776</v>
      </c>
      <c r="X230" s="488">
        <f t="shared" si="237"/>
        <v>83825</v>
      </c>
      <c r="Y230" s="488">
        <f t="shared" si="237"/>
        <v>0</v>
      </c>
      <c r="Z230" s="488">
        <f t="shared" si="237"/>
        <v>11956</v>
      </c>
      <c r="AA230" s="488">
        <f t="shared" si="237"/>
        <v>924</v>
      </c>
      <c r="AB230" s="488">
        <f t="shared" si="237"/>
        <v>97829</v>
      </c>
      <c r="AC230" s="488">
        <f t="shared" si="237"/>
        <v>74945</v>
      </c>
      <c r="AD230" s="488">
        <f t="shared" si="237"/>
        <v>405200</v>
      </c>
      <c r="AE230" s="488">
        <f t="shared" si="237"/>
        <v>4399</v>
      </c>
      <c r="AF230" s="488">
        <f t="shared" si="237"/>
        <v>97197</v>
      </c>
      <c r="AG230" s="488">
        <f t="shared" si="237"/>
        <v>1600</v>
      </c>
      <c r="AH230" s="488">
        <f t="shared" si="238"/>
        <v>1085275</v>
      </c>
      <c r="AI230" s="488">
        <f t="shared" si="239"/>
        <v>41281</v>
      </c>
      <c r="AJ230" s="488"/>
      <c r="AK230" s="488"/>
      <c r="AL230" s="488"/>
    </row>
    <row r="231" spans="1:38" ht="14.25" customHeight="1" x14ac:dyDescent="0.25">
      <c r="A231" s="1"/>
      <c r="B231" s="487"/>
      <c r="C231" s="488"/>
      <c r="D231" s="488"/>
      <c r="E231" s="488"/>
      <c r="F231" s="488"/>
      <c r="G231" s="488"/>
      <c r="H231" s="488"/>
      <c r="I231" s="488"/>
      <c r="J231" s="488"/>
      <c r="K231" s="488"/>
      <c r="L231" s="488"/>
      <c r="M231" s="488"/>
      <c r="N231" s="488"/>
      <c r="O231" s="488"/>
      <c r="P231" s="488"/>
      <c r="Q231" s="488"/>
      <c r="R231" s="488"/>
      <c r="S231" s="488"/>
      <c r="T231" s="732"/>
      <c r="U231" s="488"/>
      <c r="V231" s="488"/>
      <c r="W231" s="488"/>
      <c r="X231" s="488"/>
      <c r="Y231" s="488"/>
      <c r="Z231" s="488"/>
      <c r="AA231" s="488"/>
      <c r="AB231" s="488"/>
      <c r="AC231" s="488"/>
      <c r="AD231" s="488"/>
      <c r="AE231" s="488"/>
      <c r="AF231" s="488"/>
      <c r="AG231" s="488"/>
      <c r="AH231" s="488"/>
      <c r="AI231" s="488"/>
      <c r="AJ231" s="488"/>
      <c r="AK231" s="488"/>
      <c r="AL231" s="488"/>
    </row>
    <row r="232" spans="1:38" x14ac:dyDescent="0.25">
      <c r="A232" s="1"/>
      <c r="B232" s="487" t="s">
        <v>269</v>
      </c>
      <c r="C232" s="488">
        <f t="shared" ref="C232:S232" si="242">C229-C71</f>
        <v>6117611</v>
      </c>
      <c r="D232" s="488">
        <f t="shared" si="242"/>
        <v>6114910</v>
      </c>
      <c r="E232" s="488">
        <f t="shared" si="242"/>
        <v>6119840</v>
      </c>
      <c r="F232" s="488">
        <f t="shared" si="242"/>
        <v>6113064</v>
      </c>
      <c r="G232" s="488">
        <f t="shared" si="242"/>
        <v>6196889</v>
      </c>
      <c r="H232" s="488">
        <f t="shared" si="242"/>
        <v>6196889</v>
      </c>
      <c r="I232" s="488">
        <f t="shared" si="242"/>
        <v>6208845</v>
      </c>
      <c r="J232" s="488">
        <f t="shared" si="242"/>
        <v>6209769</v>
      </c>
      <c r="K232" s="488">
        <f t="shared" si="242"/>
        <v>6307598</v>
      </c>
      <c r="L232" s="488">
        <f t="shared" si="242"/>
        <v>6382543</v>
      </c>
      <c r="M232" s="488">
        <f t="shared" si="242"/>
        <v>6787743</v>
      </c>
      <c r="N232" s="488">
        <f t="shared" si="242"/>
        <v>6792142</v>
      </c>
      <c r="O232" s="488">
        <f t="shared" si="242"/>
        <v>6889339</v>
      </c>
      <c r="P232" s="488">
        <f t="shared" si="242"/>
        <v>6890939</v>
      </c>
      <c r="Q232" s="488">
        <f t="shared" si="242"/>
        <v>7977214</v>
      </c>
      <c r="R232" s="488">
        <f t="shared" si="242"/>
        <v>8018495</v>
      </c>
      <c r="S232" s="488">
        <f t="shared" si="242"/>
        <v>3146011.03</v>
      </c>
      <c r="T232" s="732"/>
      <c r="U232" s="488">
        <f t="shared" ref="U232:AG233" si="243">D232-C232</f>
        <v>-2701</v>
      </c>
      <c r="V232" s="488">
        <f t="shared" si="243"/>
        <v>4930</v>
      </c>
      <c r="W232" s="488">
        <f t="shared" si="243"/>
        <v>-6776</v>
      </c>
      <c r="X232" s="488">
        <f t="shared" si="243"/>
        <v>83825</v>
      </c>
      <c r="Y232" s="488">
        <f t="shared" si="243"/>
        <v>0</v>
      </c>
      <c r="Z232" s="488">
        <f t="shared" si="243"/>
        <v>11956</v>
      </c>
      <c r="AA232" s="488">
        <f t="shared" si="243"/>
        <v>924</v>
      </c>
      <c r="AB232" s="488">
        <f t="shared" si="243"/>
        <v>97829</v>
      </c>
      <c r="AC232" s="488">
        <f t="shared" si="243"/>
        <v>74945</v>
      </c>
      <c r="AD232" s="488">
        <f t="shared" si="243"/>
        <v>405200</v>
      </c>
      <c r="AE232" s="488">
        <f t="shared" si="243"/>
        <v>4399</v>
      </c>
      <c r="AF232" s="488">
        <f t="shared" si="243"/>
        <v>97197</v>
      </c>
      <c r="AG232" s="488">
        <f t="shared" si="243"/>
        <v>1600</v>
      </c>
      <c r="AH232" s="488">
        <f t="shared" ref="AH232:AH233" si="244">Q232-P232</f>
        <v>1086275</v>
      </c>
      <c r="AI232" s="488">
        <f t="shared" ref="AI232:AI233" si="245">R232-Q232</f>
        <v>41281</v>
      </c>
      <c r="AJ232" s="488">
        <f>SUM(AH232:AI232)</f>
        <v>1127556</v>
      </c>
      <c r="AK232" s="488"/>
      <c r="AL232" s="488"/>
    </row>
    <row r="233" spans="1:38" x14ac:dyDescent="0.25">
      <c r="A233" s="1"/>
      <c r="B233" s="487" t="s">
        <v>270</v>
      </c>
      <c r="C233" s="488">
        <f t="shared" ref="C233:S233" si="246">C230-C138</f>
        <v>5065211</v>
      </c>
      <c r="D233" s="488">
        <f t="shared" si="246"/>
        <v>5060412</v>
      </c>
      <c r="E233" s="488">
        <f t="shared" si="246"/>
        <v>5065342</v>
      </c>
      <c r="F233" s="488">
        <f t="shared" si="246"/>
        <v>5069205</v>
      </c>
      <c r="G233" s="488">
        <f t="shared" si="246"/>
        <v>5153030</v>
      </c>
      <c r="H233" s="488">
        <f t="shared" si="246"/>
        <v>5153030</v>
      </c>
      <c r="I233" s="488">
        <f t="shared" si="246"/>
        <v>5161347</v>
      </c>
      <c r="J233" s="488">
        <f t="shared" si="246"/>
        <v>5162271</v>
      </c>
      <c r="K233" s="488">
        <f t="shared" si="246"/>
        <v>5224103</v>
      </c>
      <c r="L233" s="488">
        <f t="shared" si="246"/>
        <v>5299048</v>
      </c>
      <c r="M233" s="488">
        <f t="shared" si="246"/>
        <v>5704248</v>
      </c>
      <c r="N233" s="488">
        <f t="shared" si="246"/>
        <v>5708702</v>
      </c>
      <c r="O233" s="488">
        <f t="shared" si="246"/>
        <v>5806765</v>
      </c>
      <c r="P233" s="488">
        <f t="shared" si="246"/>
        <v>5808365</v>
      </c>
      <c r="Q233" s="488">
        <f t="shared" si="246"/>
        <v>6894640</v>
      </c>
      <c r="R233" s="488">
        <f t="shared" si="246"/>
        <v>6925342</v>
      </c>
      <c r="S233" s="488">
        <f t="shared" si="246"/>
        <v>1711698.4</v>
      </c>
      <c r="T233" s="732"/>
      <c r="U233" s="488">
        <f t="shared" si="243"/>
        <v>-4799</v>
      </c>
      <c r="V233" s="488">
        <f t="shared" si="243"/>
        <v>4930</v>
      </c>
      <c r="W233" s="488">
        <f t="shared" si="243"/>
        <v>3863</v>
      </c>
      <c r="X233" s="488">
        <f t="shared" si="243"/>
        <v>83825</v>
      </c>
      <c r="Y233" s="488">
        <f t="shared" si="243"/>
        <v>0</v>
      </c>
      <c r="Z233" s="488">
        <f t="shared" si="243"/>
        <v>8317</v>
      </c>
      <c r="AA233" s="488">
        <f t="shared" si="243"/>
        <v>924</v>
      </c>
      <c r="AB233" s="488">
        <f t="shared" si="243"/>
        <v>61832</v>
      </c>
      <c r="AC233" s="488">
        <f t="shared" si="243"/>
        <v>74945</v>
      </c>
      <c r="AD233" s="488">
        <f t="shared" si="243"/>
        <v>405200</v>
      </c>
      <c r="AE233" s="488">
        <f t="shared" si="243"/>
        <v>4454</v>
      </c>
      <c r="AF233" s="488">
        <f t="shared" si="243"/>
        <v>98063</v>
      </c>
      <c r="AG233" s="488">
        <f t="shared" si="243"/>
        <v>1600</v>
      </c>
      <c r="AH233" s="488">
        <f t="shared" si="244"/>
        <v>1086275</v>
      </c>
      <c r="AI233" s="488">
        <f t="shared" si="245"/>
        <v>30702</v>
      </c>
      <c r="AJ233" s="488">
        <f>SUM(AH233:AI233)</f>
        <v>1116977</v>
      </c>
      <c r="AK233" s="488"/>
      <c r="AL233" s="488"/>
    </row>
    <row r="234" spans="1:38" x14ac:dyDescent="0.25">
      <c r="A234" s="1"/>
      <c r="B234" s="487"/>
      <c r="C234" s="488"/>
      <c r="D234" s="488"/>
      <c r="E234" s="488"/>
      <c r="F234" s="488"/>
      <c r="G234" s="488"/>
      <c r="H234" s="488"/>
      <c r="I234" s="488"/>
      <c r="J234" s="488"/>
      <c r="K234" s="488"/>
      <c r="L234" s="488"/>
      <c r="M234" s="488"/>
      <c r="N234" s="488"/>
      <c r="O234" s="488"/>
      <c r="P234" s="488"/>
      <c r="Q234" s="488"/>
      <c r="R234" s="488"/>
      <c r="S234" s="488"/>
      <c r="T234" s="732"/>
      <c r="U234" s="488"/>
      <c r="V234" s="488"/>
      <c r="W234" s="488"/>
      <c r="X234" s="488"/>
    </row>
    <row r="235" spans="1:38" x14ac:dyDescent="0.25">
      <c r="A235" s="1"/>
      <c r="B235" s="485" t="s">
        <v>271</v>
      </c>
      <c r="C235" s="486">
        <f t="shared" ref="C235:S236" si="247">C229-C232</f>
        <v>18700</v>
      </c>
      <c r="D235" s="486">
        <f t="shared" si="247"/>
        <v>18700</v>
      </c>
      <c r="E235" s="486">
        <f t="shared" si="247"/>
        <v>18700</v>
      </c>
      <c r="F235" s="486">
        <f t="shared" si="247"/>
        <v>18700</v>
      </c>
      <c r="G235" s="486">
        <f t="shared" si="247"/>
        <v>18700</v>
      </c>
      <c r="H235" s="486">
        <f t="shared" si="247"/>
        <v>18700</v>
      </c>
      <c r="I235" s="486">
        <f t="shared" si="247"/>
        <v>18700</v>
      </c>
      <c r="J235" s="486">
        <f t="shared" si="247"/>
        <v>18700</v>
      </c>
      <c r="K235" s="486">
        <f t="shared" si="247"/>
        <v>18700</v>
      </c>
      <c r="L235" s="486">
        <f t="shared" si="247"/>
        <v>18700</v>
      </c>
      <c r="M235" s="486">
        <f t="shared" si="247"/>
        <v>18700</v>
      </c>
      <c r="N235" s="486">
        <f t="shared" si="247"/>
        <v>18700</v>
      </c>
      <c r="O235" s="486">
        <f t="shared" ref="O235:P235" si="248">O229-O232</f>
        <v>18700</v>
      </c>
      <c r="P235" s="486">
        <f t="shared" si="248"/>
        <v>18700</v>
      </c>
      <c r="Q235" s="486">
        <f t="shared" ref="Q235:R235" si="249">Q229-Q232</f>
        <v>17700</v>
      </c>
      <c r="R235" s="486">
        <f t="shared" si="249"/>
        <v>17700</v>
      </c>
      <c r="S235" s="486">
        <f t="shared" si="247"/>
        <v>14279</v>
      </c>
      <c r="T235" s="733"/>
      <c r="U235" s="488">
        <f t="shared" ref="U235:AG236" si="250">D235-C235</f>
        <v>0</v>
      </c>
      <c r="V235" s="488">
        <f t="shared" si="250"/>
        <v>0</v>
      </c>
      <c r="W235" s="488">
        <f t="shared" si="250"/>
        <v>0</v>
      </c>
      <c r="X235" s="488">
        <f t="shared" si="250"/>
        <v>0</v>
      </c>
      <c r="Y235" s="488">
        <f t="shared" si="250"/>
        <v>0</v>
      </c>
      <c r="Z235" s="488">
        <f t="shared" si="250"/>
        <v>0</v>
      </c>
      <c r="AA235" s="488">
        <f t="shared" si="250"/>
        <v>0</v>
      </c>
      <c r="AB235" s="488">
        <f t="shared" si="250"/>
        <v>0</v>
      </c>
      <c r="AC235" s="488">
        <f t="shared" si="250"/>
        <v>0</v>
      </c>
      <c r="AD235" s="488">
        <f t="shared" si="250"/>
        <v>0</v>
      </c>
      <c r="AE235" s="488">
        <f t="shared" si="250"/>
        <v>0</v>
      </c>
      <c r="AF235" s="488">
        <f t="shared" si="250"/>
        <v>0</v>
      </c>
      <c r="AG235" s="488">
        <f t="shared" si="250"/>
        <v>0</v>
      </c>
      <c r="AH235" s="488">
        <f t="shared" ref="AH235:AH236" si="251">Q235-P235</f>
        <v>-1000</v>
      </c>
      <c r="AI235" s="488">
        <f t="shared" ref="AI235:AI236" si="252">R235-Q235</f>
        <v>0</v>
      </c>
      <c r="AJ235" s="488"/>
      <c r="AK235" s="488"/>
      <c r="AL235" s="488"/>
    </row>
    <row r="236" spans="1:38" x14ac:dyDescent="0.25">
      <c r="A236" s="100"/>
      <c r="B236" s="485" t="s">
        <v>272</v>
      </c>
      <c r="C236" s="486">
        <f t="shared" si="247"/>
        <v>1071100</v>
      </c>
      <c r="D236" s="486">
        <f t="shared" si="247"/>
        <v>1073198</v>
      </c>
      <c r="E236" s="486">
        <f t="shared" si="247"/>
        <v>1073198</v>
      </c>
      <c r="F236" s="486">
        <f t="shared" si="247"/>
        <v>1062559</v>
      </c>
      <c r="G236" s="486">
        <f t="shared" si="247"/>
        <v>1062559</v>
      </c>
      <c r="H236" s="486">
        <f t="shared" si="247"/>
        <v>1062559</v>
      </c>
      <c r="I236" s="486">
        <f t="shared" si="247"/>
        <v>1066198</v>
      </c>
      <c r="J236" s="486">
        <f t="shared" si="247"/>
        <v>1066198</v>
      </c>
      <c r="K236" s="486">
        <f t="shared" si="247"/>
        <v>1102195</v>
      </c>
      <c r="L236" s="486">
        <f t="shared" si="247"/>
        <v>1102195</v>
      </c>
      <c r="M236" s="486">
        <f t="shared" si="247"/>
        <v>1102195</v>
      </c>
      <c r="N236" s="486">
        <f t="shared" si="247"/>
        <v>1102140</v>
      </c>
      <c r="O236" s="486">
        <f t="shared" ref="O236:P236" si="253">O230-O233</f>
        <v>1101274</v>
      </c>
      <c r="P236" s="486">
        <f t="shared" si="253"/>
        <v>1101274</v>
      </c>
      <c r="Q236" s="486">
        <f t="shared" ref="Q236:R236" si="254">Q230-Q233</f>
        <v>1100274</v>
      </c>
      <c r="R236" s="486">
        <f t="shared" si="254"/>
        <v>1110853</v>
      </c>
      <c r="S236" s="486">
        <f t="shared" si="247"/>
        <v>866355</v>
      </c>
      <c r="T236" s="486"/>
      <c r="U236" s="488">
        <f t="shared" si="250"/>
        <v>2098</v>
      </c>
      <c r="V236" s="488">
        <f t="shared" si="250"/>
        <v>0</v>
      </c>
      <c r="W236" s="488">
        <f t="shared" si="250"/>
        <v>-10639</v>
      </c>
      <c r="X236" s="488">
        <f t="shared" si="250"/>
        <v>0</v>
      </c>
      <c r="Y236" s="488">
        <f t="shared" si="250"/>
        <v>0</v>
      </c>
      <c r="Z236" s="488">
        <f t="shared" si="250"/>
        <v>3639</v>
      </c>
      <c r="AA236" s="488">
        <f t="shared" si="250"/>
        <v>0</v>
      </c>
      <c r="AB236" s="488">
        <f t="shared" si="250"/>
        <v>35997</v>
      </c>
      <c r="AC236" s="488">
        <f t="shared" si="250"/>
        <v>0</v>
      </c>
      <c r="AD236" s="488">
        <f t="shared" si="250"/>
        <v>0</v>
      </c>
      <c r="AE236" s="488">
        <f t="shared" si="250"/>
        <v>-55</v>
      </c>
      <c r="AF236" s="488">
        <f t="shared" si="250"/>
        <v>-866</v>
      </c>
      <c r="AG236" s="488">
        <f t="shared" si="250"/>
        <v>0</v>
      </c>
      <c r="AH236" s="488">
        <f t="shared" si="251"/>
        <v>-1000</v>
      </c>
      <c r="AI236" s="488">
        <f t="shared" si="252"/>
        <v>10579</v>
      </c>
      <c r="AJ236" s="488"/>
      <c r="AK236" s="488"/>
      <c r="AL236" s="488"/>
    </row>
    <row r="237" spans="1:38" ht="15.75" thickBot="1" x14ac:dyDescent="0.3">
      <c r="A237" s="1"/>
      <c r="B237" s="489"/>
      <c r="C237" s="486">
        <f t="shared" ref="C237:S237" si="255">C236-C235+C227</f>
        <v>1052400</v>
      </c>
      <c r="D237" s="486">
        <f t="shared" si="255"/>
        <v>1054498</v>
      </c>
      <c r="E237" s="486">
        <f t="shared" si="255"/>
        <v>1054498</v>
      </c>
      <c r="F237" s="486">
        <f t="shared" si="255"/>
        <v>1043859</v>
      </c>
      <c r="G237" s="486">
        <f t="shared" si="255"/>
        <v>1043859</v>
      </c>
      <c r="H237" s="486">
        <f t="shared" si="255"/>
        <v>1043859</v>
      </c>
      <c r="I237" s="486">
        <f t="shared" si="255"/>
        <v>1047498</v>
      </c>
      <c r="J237" s="486">
        <f t="shared" si="255"/>
        <v>1047498</v>
      </c>
      <c r="K237" s="486">
        <f t="shared" si="255"/>
        <v>1083495</v>
      </c>
      <c r="L237" s="486">
        <f t="shared" si="255"/>
        <v>1083495</v>
      </c>
      <c r="M237" s="486">
        <f t="shared" si="255"/>
        <v>1083495</v>
      </c>
      <c r="N237" s="486">
        <f t="shared" si="255"/>
        <v>1083440</v>
      </c>
      <c r="O237" s="486">
        <f t="shared" ref="O237:P237" si="256">O236-O235+O227</f>
        <v>1082574</v>
      </c>
      <c r="P237" s="486">
        <f t="shared" si="256"/>
        <v>1082574</v>
      </c>
      <c r="Q237" s="486">
        <f t="shared" ref="Q237:R237" si="257">Q236-Q235+Q227</f>
        <v>1082574</v>
      </c>
      <c r="R237" s="486">
        <f t="shared" si="257"/>
        <v>1093153</v>
      </c>
      <c r="S237" s="486">
        <f t="shared" si="255"/>
        <v>1434312.63</v>
      </c>
      <c r="T237" s="486"/>
      <c r="U237" s="489"/>
      <c r="V237" s="489"/>
    </row>
    <row r="238" spans="1:38" ht="15.75" thickBot="1" x14ac:dyDescent="0.3">
      <c r="A238" s="1"/>
      <c r="B238" s="327" t="s">
        <v>185</v>
      </c>
      <c r="C238" s="469"/>
      <c r="D238" s="327"/>
      <c r="E238" s="327"/>
      <c r="F238" s="327"/>
      <c r="G238" s="327"/>
      <c r="H238" s="327"/>
      <c r="I238" s="327"/>
      <c r="J238" s="327"/>
      <c r="K238" s="327"/>
      <c r="L238" s="327"/>
      <c r="M238" s="327"/>
      <c r="N238" s="327"/>
      <c r="O238" s="327"/>
      <c r="P238" s="327"/>
      <c r="Q238" s="327"/>
      <c r="R238" s="327"/>
      <c r="S238" s="826">
        <f>S227-S226</f>
        <v>51914.629999999888</v>
      </c>
      <c r="T238" s="327"/>
      <c r="U238" s="1"/>
    </row>
    <row r="239" spans="1:38" x14ac:dyDescent="0.25">
      <c r="A239" s="1"/>
      <c r="B239" s="327" t="s">
        <v>295</v>
      </c>
      <c r="C239" s="523"/>
      <c r="D239" s="327"/>
      <c r="E239" s="327"/>
      <c r="F239" s="327"/>
      <c r="G239" s="327"/>
      <c r="H239" s="327"/>
      <c r="I239" s="327"/>
      <c r="J239" s="327"/>
      <c r="K239" s="327"/>
      <c r="L239" s="327"/>
      <c r="M239" s="327"/>
      <c r="N239" s="327"/>
      <c r="O239" s="327"/>
      <c r="P239" s="327"/>
      <c r="Q239" s="327"/>
      <c r="R239" s="327"/>
      <c r="S239" s="327"/>
      <c r="T239" s="327"/>
      <c r="U239" s="1"/>
    </row>
    <row r="240" spans="1:38" x14ac:dyDescent="0.25">
      <c r="A240" s="1"/>
      <c r="B240" s="327"/>
      <c r="C240" s="327"/>
      <c r="D240" s="327"/>
      <c r="E240" s="327"/>
      <c r="F240" s="327"/>
      <c r="G240" s="327"/>
      <c r="H240" s="327"/>
      <c r="I240" s="327"/>
      <c r="J240" s="327"/>
      <c r="K240" s="327"/>
      <c r="L240" s="327"/>
      <c r="M240" s="327"/>
      <c r="N240" s="327"/>
      <c r="O240" s="327"/>
      <c r="P240" s="327"/>
      <c r="Q240" s="327"/>
      <c r="R240" s="327"/>
      <c r="S240" s="327"/>
      <c r="T240" s="327"/>
      <c r="U240" s="1"/>
    </row>
    <row r="241" spans="1:21" x14ac:dyDescent="0.25">
      <c r="A241" s="1"/>
      <c r="B241" s="327"/>
      <c r="C241" s="327"/>
      <c r="D241" s="327"/>
      <c r="E241" s="327"/>
      <c r="F241" s="327"/>
      <c r="G241" s="327"/>
      <c r="H241" s="327"/>
      <c r="I241" s="327"/>
      <c r="J241" s="327"/>
      <c r="K241" s="327"/>
      <c r="L241" s="327"/>
      <c r="M241" s="327"/>
      <c r="N241" s="327"/>
      <c r="O241" s="327"/>
      <c r="P241" s="327"/>
      <c r="Q241" s="327"/>
      <c r="R241" s="327"/>
      <c r="S241" s="327"/>
      <c r="T241" s="327"/>
      <c r="U241" s="1"/>
    </row>
    <row r="242" spans="1:21" x14ac:dyDescent="0.25">
      <c r="A242" s="1"/>
      <c r="C242" s="327"/>
      <c r="D242" s="327"/>
      <c r="E242" s="327"/>
      <c r="F242" s="327"/>
      <c r="G242" s="327"/>
      <c r="H242" s="327"/>
      <c r="I242" s="327"/>
      <c r="J242" s="327"/>
      <c r="K242" s="327"/>
      <c r="L242" s="327"/>
      <c r="M242" s="327"/>
      <c r="N242" s="327"/>
      <c r="O242" s="327"/>
      <c r="P242" s="327"/>
      <c r="Q242" s="327"/>
      <c r="R242" s="327"/>
      <c r="S242" s="327"/>
      <c r="T242" s="327"/>
      <c r="U242" s="1"/>
    </row>
    <row r="243" spans="1:21" x14ac:dyDescent="0.25">
      <c r="A243" s="1"/>
      <c r="B243" s="328" t="s">
        <v>856</v>
      </c>
      <c r="C243" s="327"/>
      <c r="D243" s="327"/>
      <c r="E243" s="327"/>
      <c r="F243" s="327"/>
      <c r="G243" s="327"/>
      <c r="H243" s="327"/>
      <c r="I243" s="327"/>
      <c r="J243" s="327"/>
      <c r="K243" s="327"/>
      <c r="L243" s="327"/>
      <c r="M243" s="327"/>
      <c r="N243" s="327"/>
      <c r="O243" s="327"/>
      <c r="P243" s="327"/>
      <c r="Q243" s="327"/>
      <c r="R243" s="327"/>
      <c r="S243" s="327"/>
      <c r="T243" s="327"/>
      <c r="U243" s="1"/>
    </row>
    <row r="244" spans="1:21" x14ac:dyDescent="0.25">
      <c r="A244" s="1"/>
      <c r="C244" s="327"/>
      <c r="D244" s="327"/>
      <c r="E244" s="327"/>
      <c r="F244" s="327"/>
      <c r="G244" s="327"/>
      <c r="H244" s="327"/>
      <c r="I244" s="327"/>
      <c r="J244" s="327"/>
      <c r="K244" s="327"/>
      <c r="L244" s="327"/>
      <c r="M244" s="327"/>
      <c r="N244" s="327"/>
      <c r="O244" s="327"/>
      <c r="P244" s="327"/>
      <c r="Q244" s="327"/>
      <c r="R244" s="327"/>
      <c r="S244" s="327"/>
      <c r="T244" s="327"/>
      <c r="U244" s="1"/>
    </row>
    <row r="245" spans="1:21" x14ac:dyDescent="0.25">
      <c r="A245" s="1"/>
      <c r="B245" s="327" t="s">
        <v>855</v>
      </c>
      <c r="C245" s="327"/>
      <c r="D245" s="327"/>
      <c r="E245" s="327"/>
      <c r="F245" s="327"/>
      <c r="G245" s="327"/>
      <c r="H245" s="327"/>
      <c r="I245" s="327"/>
      <c r="J245" s="327"/>
      <c r="K245" s="327"/>
      <c r="L245" s="327"/>
      <c r="M245" s="327"/>
      <c r="N245" s="327"/>
      <c r="O245" s="327"/>
      <c r="P245" s="327"/>
      <c r="Q245" s="327"/>
      <c r="R245" s="327"/>
      <c r="S245" s="327"/>
      <c r="T245" s="327"/>
      <c r="U245" s="1"/>
    </row>
    <row r="246" spans="1:21" x14ac:dyDescent="0.25">
      <c r="A246" s="1"/>
      <c r="B246" s="327" t="s">
        <v>854</v>
      </c>
      <c r="C246" s="327"/>
      <c r="D246" s="327"/>
      <c r="E246" s="327"/>
      <c r="F246" s="327"/>
      <c r="G246" s="327"/>
      <c r="H246" s="327"/>
      <c r="I246" s="327"/>
      <c r="J246" s="327"/>
      <c r="K246" s="327"/>
      <c r="L246" s="327"/>
      <c r="M246" s="327"/>
      <c r="N246" s="327"/>
      <c r="O246" s="327"/>
      <c r="P246" s="327"/>
      <c r="Q246" s="327"/>
      <c r="R246" s="327"/>
      <c r="S246" s="327"/>
      <c r="T246" s="327"/>
      <c r="U246" s="1"/>
    </row>
    <row r="247" spans="1:21" x14ac:dyDescent="0.25">
      <c r="A247" s="1"/>
      <c r="B247" s="327"/>
      <c r="C247" s="327"/>
      <c r="D247" s="327"/>
      <c r="E247" s="327"/>
      <c r="F247" s="327"/>
      <c r="G247" s="327"/>
      <c r="H247" s="327"/>
      <c r="I247" s="327"/>
      <c r="J247" s="327"/>
      <c r="K247" s="327"/>
      <c r="L247" s="327"/>
      <c r="M247" s="327"/>
      <c r="N247" s="327"/>
      <c r="O247" s="327"/>
      <c r="P247" s="327"/>
      <c r="Q247" s="327"/>
      <c r="R247" s="327"/>
      <c r="S247" s="327"/>
      <c r="T247" s="327"/>
      <c r="U247" s="1"/>
    </row>
    <row r="248" spans="1:21" x14ac:dyDescent="0.25">
      <c r="A248" s="1"/>
      <c r="B248" s="329" t="s">
        <v>361</v>
      </c>
      <c r="C248" s="327"/>
      <c r="D248" s="327"/>
      <c r="E248" s="327"/>
      <c r="F248" s="327"/>
      <c r="G248" s="327"/>
      <c r="H248" s="327"/>
      <c r="I248" s="327"/>
      <c r="J248" s="327"/>
      <c r="K248" s="327"/>
      <c r="L248" s="327"/>
      <c r="M248" s="327"/>
      <c r="N248" s="327"/>
      <c r="O248" s="327"/>
      <c r="P248" s="327"/>
      <c r="Q248" s="327"/>
      <c r="R248" s="327"/>
      <c r="S248" s="327"/>
      <c r="T248" s="327"/>
      <c r="U248" s="1"/>
    </row>
    <row r="249" spans="1:21" x14ac:dyDescent="0.25">
      <c r="A249" s="1"/>
      <c r="B249" s="329" t="s">
        <v>362</v>
      </c>
      <c r="C249" s="327"/>
      <c r="D249" s="327"/>
      <c r="E249" s="327"/>
      <c r="F249" s="327"/>
      <c r="G249" s="327"/>
      <c r="H249" s="327"/>
      <c r="I249" s="327"/>
      <c r="J249" s="327"/>
      <c r="K249" s="327"/>
      <c r="L249" s="327"/>
      <c r="M249" s="327"/>
      <c r="N249" s="327"/>
      <c r="O249" s="327"/>
      <c r="P249" s="327"/>
      <c r="Q249" s="327"/>
      <c r="R249" s="327"/>
      <c r="S249" s="327"/>
      <c r="T249" s="327"/>
      <c r="U249" s="1"/>
    </row>
    <row r="250" spans="1:21" x14ac:dyDescent="0.25">
      <c r="A250" s="1"/>
      <c r="B250" s="329"/>
      <c r="C250" s="327"/>
      <c r="D250" s="327"/>
      <c r="E250" s="327"/>
      <c r="F250" s="327"/>
      <c r="G250" s="327"/>
      <c r="H250" s="327"/>
      <c r="I250" s="327"/>
      <c r="J250" s="327"/>
      <c r="K250" s="327"/>
      <c r="L250" s="327"/>
      <c r="M250" s="327"/>
      <c r="N250" s="327"/>
      <c r="O250" s="327"/>
      <c r="P250" s="327"/>
      <c r="Q250" s="327"/>
      <c r="R250" s="327"/>
      <c r="S250" s="327"/>
      <c r="T250" s="327"/>
      <c r="U250" s="1"/>
    </row>
    <row r="251" spans="1:21" ht="20.25" customHeight="1" x14ac:dyDescent="0.25">
      <c r="A251" s="1"/>
      <c r="B251" s="329" t="s">
        <v>532</v>
      </c>
      <c r="C251" s="327"/>
      <c r="D251" s="327"/>
      <c r="E251" s="327"/>
      <c r="F251" s="327"/>
      <c r="G251" s="327"/>
      <c r="H251" s="327"/>
      <c r="I251" s="327"/>
      <c r="J251" s="327"/>
      <c r="K251" s="327"/>
      <c r="L251" s="327"/>
      <c r="M251" s="327"/>
      <c r="N251" s="327"/>
      <c r="O251" s="327"/>
      <c r="P251" s="327"/>
      <c r="Q251" s="327"/>
      <c r="R251" s="327"/>
      <c r="S251" s="327"/>
      <c r="T251" s="327"/>
      <c r="U251" s="1"/>
    </row>
    <row r="252" spans="1:21" ht="16.5" customHeight="1" x14ac:dyDescent="0.25">
      <c r="A252" s="1"/>
      <c r="B252" s="329" t="s">
        <v>614</v>
      </c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7.25" customHeight="1" x14ac:dyDescent="0.25">
      <c r="A253" s="1"/>
      <c r="B253" s="329" t="s">
        <v>615</v>
      </c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x14ac:dyDescent="0.25">
      <c r="A254" s="1"/>
      <c r="B254" s="329" t="s">
        <v>669</v>
      </c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6.5" customHeight="1" x14ac:dyDescent="0.25">
      <c r="A255" s="1"/>
      <c r="B255" s="329" t="s">
        <v>721</v>
      </c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6.5" customHeight="1" x14ac:dyDescent="0.25">
      <c r="B256" s="329" t="s">
        <v>851</v>
      </c>
      <c r="U256" s="1"/>
    </row>
    <row r="257" ht="49.5" customHeight="1" x14ac:dyDescent="0.25"/>
  </sheetData>
  <mergeCells count="24">
    <mergeCell ref="A137:B137"/>
    <mergeCell ref="A1:S1"/>
    <mergeCell ref="A2:B2"/>
    <mergeCell ref="A3:B3"/>
    <mergeCell ref="A11:B11"/>
    <mergeCell ref="A68:B68"/>
    <mergeCell ref="A70:B70"/>
    <mergeCell ref="A71:B71"/>
    <mergeCell ref="A75:S75"/>
    <mergeCell ref="A76:B76"/>
    <mergeCell ref="A92:B92"/>
    <mergeCell ref="A133:B133"/>
    <mergeCell ref="A226:B226"/>
    <mergeCell ref="A138:B138"/>
    <mergeCell ref="A142:S142"/>
    <mergeCell ref="A143:B143"/>
    <mergeCell ref="A144:B144"/>
    <mergeCell ref="A164:B164"/>
    <mergeCell ref="A194:S194"/>
    <mergeCell ref="A195:B195"/>
    <mergeCell ref="A216:S216"/>
    <mergeCell ref="A217:B217"/>
    <mergeCell ref="A220:B220"/>
    <mergeCell ref="A223:B223"/>
  </mergeCells>
  <pageMargins left="0.70866141732283472" right="0.70866141732283472" top="0.74803149606299213" bottom="0.74803149606299213" header="0.31496062992125984" footer="0.31496062992125984"/>
  <pageSetup paperSize="8" scale="44" fitToHeight="0" orientation="landscape" r:id="rId1"/>
  <headerFooter>
    <oddHeader xml:space="preserve">&amp;CRozpočet obce Heľpa na rok 2025
6. zmena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DC5B0-52D9-4254-BB33-BB14B8E42166}">
  <sheetPr>
    <pageSetUpPr fitToPage="1"/>
  </sheetPr>
  <dimension ref="A1:AA24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O1"/>
    </sheetView>
  </sheetViews>
  <sheetFormatPr defaultRowHeight="15" x14ac:dyDescent="0.25"/>
  <cols>
    <col min="1" max="1" width="6.42578125" customWidth="1"/>
    <col min="2" max="2" width="52.28515625" customWidth="1"/>
    <col min="3" max="15" width="12.7109375" customWidth="1"/>
    <col min="16" max="16" width="7.42578125" customWidth="1"/>
    <col min="17" max="17" width="10.85546875" customWidth="1"/>
    <col min="18" max="18" width="10" customWidth="1"/>
    <col min="24" max="24" width="10.85546875" customWidth="1"/>
    <col min="27" max="27" width="11.28515625" customWidth="1"/>
  </cols>
  <sheetData>
    <row r="1" spans="1:25" ht="18.75" thickBot="1" x14ac:dyDescent="0.3">
      <c r="A1" s="888" t="s">
        <v>0</v>
      </c>
      <c r="B1" s="889"/>
      <c r="C1" s="889"/>
      <c r="D1" s="889"/>
      <c r="E1" s="889"/>
      <c r="F1" s="889"/>
      <c r="G1" s="889"/>
      <c r="H1" s="889"/>
      <c r="I1" s="889"/>
      <c r="J1" s="889"/>
      <c r="K1" s="889"/>
      <c r="L1" s="889"/>
      <c r="M1" s="889"/>
      <c r="N1" s="889"/>
      <c r="O1" s="889"/>
      <c r="P1" s="725"/>
      <c r="Q1" s="1"/>
    </row>
    <row r="2" spans="1:25" ht="46.5" customHeight="1" thickBot="1" x14ac:dyDescent="0.3">
      <c r="A2" s="890" t="s">
        <v>1</v>
      </c>
      <c r="B2" s="891"/>
      <c r="C2" s="387" t="s">
        <v>467</v>
      </c>
      <c r="D2" s="387" t="s">
        <v>465</v>
      </c>
      <c r="E2" s="387" t="s">
        <v>483</v>
      </c>
      <c r="F2" s="387" t="s">
        <v>500</v>
      </c>
      <c r="G2" s="387" t="s">
        <v>533</v>
      </c>
      <c r="H2" s="387" t="s">
        <v>578</v>
      </c>
      <c r="I2" s="387" t="s">
        <v>610</v>
      </c>
      <c r="J2" s="387" t="s">
        <v>579</v>
      </c>
      <c r="K2" s="387" t="s">
        <v>646</v>
      </c>
      <c r="L2" s="387" t="s">
        <v>637</v>
      </c>
      <c r="M2" s="387" t="s">
        <v>670</v>
      </c>
      <c r="N2" s="387" t="s">
        <v>680</v>
      </c>
      <c r="O2" s="387" t="s">
        <v>722</v>
      </c>
      <c r="P2" s="727" t="s">
        <v>479</v>
      </c>
      <c r="Q2" s="1"/>
    </row>
    <row r="3" spans="1:25" ht="15.75" thickBot="1" x14ac:dyDescent="0.3">
      <c r="A3" s="892" t="s">
        <v>4</v>
      </c>
      <c r="B3" s="893"/>
      <c r="C3" s="2">
        <f t="shared" ref="C3:O3" si="0">SUM(C4:C10)</f>
        <v>1338200</v>
      </c>
      <c r="D3" s="2">
        <f t="shared" si="0"/>
        <v>1338200</v>
      </c>
      <c r="E3" s="2">
        <f t="shared" si="0"/>
        <v>1338200</v>
      </c>
      <c r="F3" s="2">
        <f t="shared" si="0"/>
        <v>1338200</v>
      </c>
      <c r="G3" s="2">
        <f t="shared" si="0"/>
        <v>1338200</v>
      </c>
      <c r="H3" s="2">
        <f t="shared" si="0"/>
        <v>1338200</v>
      </c>
      <c r="I3" s="2">
        <f t="shared" si="0"/>
        <v>1338200</v>
      </c>
      <c r="J3" s="2">
        <f t="shared" si="0"/>
        <v>1338200</v>
      </c>
      <c r="K3" s="2">
        <f t="shared" si="0"/>
        <v>1338200</v>
      </c>
      <c r="L3" s="2">
        <f t="shared" si="0"/>
        <v>1338200</v>
      </c>
      <c r="M3" s="2">
        <f t="shared" ref="M3:N3" si="1">SUM(M4:M10)</f>
        <v>1338200</v>
      </c>
      <c r="N3" s="2">
        <f t="shared" si="1"/>
        <v>1338200</v>
      </c>
      <c r="O3" s="2">
        <f t="shared" si="0"/>
        <v>612850</v>
      </c>
      <c r="P3" s="728">
        <f>O3/N3</f>
        <v>0.45796592437602751</v>
      </c>
      <c r="Q3" s="1"/>
    </row>
    <row r="4" spans="1:25" ht="15.75" thickBot="1" x14ac:dyDescent="0.3">
      <c r="A4" s="3">
        <v>111</v>
      </c>
      <c r="B4" s="120" t="s">
        <v>5</v>
      </c>
      <c r="C4" s="6">
        <v>1227300</v>
      </c>
      <c r="D4" s="6">
        <v>1227300</v>
      </c>
      <c r="E4" s="6">
        <v>1227300</v>
      </c>
      <c r="F4" s="6">
        <v>1227300</v>
      </c>
      <c r="G4" s="6">
        <v>1227300</v>
      </c>
      <c r="H4" s="6">
        <v>1227300</v>
      </c>
      <c r="I4" s="6">
        <v>1227300</v>
      </c>
      <c r="J4" s="6">
        <v>1227300</v>
      </c>
      <c r="K4" s="6">
        <v>1227300</v>
      </c>
      <c r="L4" s="6">
        <v>1227300</v>
      </c>
      <c r="M4" s="6">
        <v>1227300</v>
      </c>
      <c r="N4" s="6">
        <v>1227300</v>
      </c>
      <c r="O4" s="6">
        <v>545193</v>
      </c>
      <c r="P4" s="728">
        <f t="shared" ref="P4:P67" si="2">O4/N4</f>
        <v>0.44422146174529453</v>
      </c>
      <c r="Q4" s="1"/>
    </row>
    <row r="5" spans="1:25" ht="15.75" thickBot="1" x14ac:dyDescent="0.3">
      <c r="A5" s="7">
        <v>121</v>
      </c>
      <c r="B5" s="332" t="s">
        <v>6</v>
      </c>
      <c r="C5" s="11">
        <v>61200</v>
      </c>
      <c r="D5" s="11">
        <v>61200</v>
      </c>
      <c r="E5" s="11">
        <v>61200</v>
      </c>
      <c r="F5" s="11">
        <v>61200</v>
      </c>
      <c r="G5" s="11">
        <v>61200</v>
      </c>
      <c r="H5" s="11">
        <v>61200</v>
      </c>
      <c r="I5" s="11">
        <v>61200</v>
      </c>
      <c r="J5" s="11">
        <v>61200</v>
      </c>
      <c r="K5" s="11">
        <v>61200</v>
      </c>
      <c r="L5" s="11">
        <v>61200</v>
      </c>
      <c r="M5" s="11">
        <v>61200</v>
      </c>
      <c r="N5" s="11">
        <v>61200</v>
      </c>
      <c r="O5" s="11">
        <v>30154</v>
      </c>
      <c r="P5" s="728">
        <f t="shared" si="2"/>
        <v>0.4927124183006536</v>
      </c>
      <c r="Q5" s="1"/>
    </row>
    <row r="6" spans="1:25" x14ac:dyDescent="0.25">
      <c r="A6" s="12">
        <v>133</v>
      </c>
      <c r="B6" s="333" t="s">
        <v>7</v>
      </c>
      <c r="C6" s="16">
        <v>2000</v>
      </c>
      <c r="D6" s="16">
        <v>2000</v>
      </c>
      <c r="E6" s="16">
        <v>2000</v>
      </c>
      <c r="F6" s="16">
        <v>2000</v>
      </c>
      <c r="G6" s="16">
        <v>2000</v>
      </c>
      <c r="H6" s="16">
        <v>2000</v>
      </c>
      <c r="I6" s="16">
        <v>2000</v>
      </c>
      <c r="J6" s="16">
        <v>2000</v>
      </c>
      <c r="K6" s="16">
        <v>2000</v>
      </c>
      <c r="L6" s="16">
        <v>2000</v>
      </c>
      <c r="M6" s="16">
        <v>2000</v>
      </c>
      <c r="N6" s="16">
        <v>2000</v>
      </c>
      <c r="O6" s="16">
        <v>1744</v>
      </c>
      <c r="P6" s="728">
        <f t="shared" si="2"/>
        <v>0.872</v>
      </c>
      <c r="Q6" s="1"/>
    </row>
    <row r="7" spans="1:25" x14ac:dyDescent="0.25">
      <c r="A7" s="17">
        <v>133</v>
      </c>
      <c r="B7" s="334" t="s">
        <v>8</v>
      </c>
      <c r="C7" s="21">
        <v>200</v>
      </c>
      <c r="D7" s="21">
        <v>200</v>
      </c>
      <c r="E7" s="21">
        <v>200</v>
      </c>
      <c r="F7" s="21">
        <v>200</v>
      </c>
      <c r="G7" s="21">
        <v>200</v>
      </c>
      <c r="H7" s="21">
        <v>200</v>
      </c>
      <c r="I7" s="21">
        <v>200</v>
      </c>
      <c r="J7" s="21">
        <v>200</v>
      </c>
      <c r="K7" s="21">
        <v>200</v>
      </c>
      <c r="L7" s="21">
        <v>200</v>
      </c>
      <c r="M7" s="21">
        <v>200</v>
      </c>
      <c r="N7" s="21">
        <v>200</v>
      </c>
      <c r="O7" s="21">
        <v>160</v>
      </c>
      <c r="P7" s="728">
        <f t="shared" si="2"/>
        <v>0.8</v>
      </c>
      <c r="Q7" s="1"/>
    </row>
    <row r="8" spans="1:25" x14ac:dyDescent="0.25">
      <c r="A8" s="17">
        <v>133</v>
      </c>
      <c r="B8" s="334" t="s">
        <v>9</v>
      </c>
      <c r="C8" s="21">
        <v>6000</v>
      </c>
      <c r="D8" s="21">
        <v>6000</v>
      </c>
      <c r="E8" s="21">
        <v>6000</v>
      </c>
      <c r="F8" s="21">
        <v>6000</v>
      </c>
      <c r="G8" s="21">
        <v>6000</v>
      </c>
      <c r="H8" s="21">
        <v>6000</v>
      </c>
      <c r="I8" s="21">
        <v>6000</v>
      </c>
      <c r="J8" s="21">
        <v>6000</v>
      </c>
      <c r="K8" s="21">
        <v>6000</v>
      </c>
      <c r="L8" s="21">
        <v>6000</v>
      </c>
      <c r="M8" s="21">
        <v>6000</v>
      </c>
      <c r="N8" s="21">
        <v>6000</v>
      </c>
      <c r="O8" s="21">
        <v>2220</v>
      </c>
      <c r="P8" s="728">
        <f t="shared" si="2"/>
        <v>0.37</v>
      </c>
      <c r="Q8" s="1"/>
    </row>
    <row r="9" spans="1:25" x14ac:dyDescent="0.25">
      <c r="A9" s="17">
        <v>133</v>
      </c>
      <c r="B9" s="334" t="s">
        <v>10</v>
      </c>
      <c r="C9" s="21">
        <v>6500</v>
      </c>
      <c r="D9" s="21">
        <v>6500</v>
      </c>
      <c r="E9" s="21">
        <v>6500</v>
      </c>
      <c r="F9" s="21">
        <v>6500</v>
      </c>
      <c r="G9" s="21">
        <v>6500</v>
      </c>
      <c r="H9" s="21">
        <v>6500</v>
      </c>
      <c r="I9" s="21">
        <v>6500</v>
      </c>
      <c r="J9" s="21">
        <v>6500</v>
      </c>
      <c r="K9" s="21">
        <v>6500</v>
      </c>
      <c r="L9" s="21">
        <v>6500</v>
      </c>
      <c r="M9" s="21">
        <v>6500</v>
      </c>
      <c r="N9" s="21">
        <v>6500</v>
      </c>
      <c r="O9" s="21">
        <v>4884</v>
      </c>
      <c r="P9" s="728">
        <f t="shared" si="2"/>
        <v>0.75138461538461543</v>
      </c>
      <c r="Q9" s="1"/>
    </row>
    <row r="10" spans="1:25" ht="15.75" thickBot="1" x14ac:dyDescent="0.3">
      <c r="A10" s="22">
        <v>133</v>
      </c>
      <c r="B10" s="335" t="s">
        <v>11</v>
      </c>
      <c r="C10" s="26">
        <v>35000</v>
      </c>
      <c r="D10" s="26">
        <v>35000</v>
      </c>
      <c r="E10" s="26">
        <v>35000</v>
      </c>
      <c r="F10" s="26">
        <v>35000</v>
      </c>
      <c r="G10" s="26">
        <v>35000</v>
      </c>
      <c r="H10" s="26">
        <v>35000</v>
      </c>
      <c r="I10" s="26">
        <v>35000</v>
      </c>
      <c r="J10" s="26">
        <v>35000</v>
      </c>
      <c r="K10" s="26">
        <v>35000</v>
      </c>
      <c r="L10" s="26">
        <v>35000</v>
      </c>
      <c r="M10" s="26">
        <v>35000</v>
      </c>
      <c r="N10" s="26">
        <v>35000</v>
      </c>
      <c r="O10" s="26">
        <v>28495</v>
      </c>
      <c r="P10" s="728">
        <f t="shared" si="2"/>
        <v>0.81414285714285717</v>
      </c>
      <c r="Q10" s="27">
        <f>SUM(N6:N10)</f>
        <v>49700</v>
      </c>
      <c r="R10" s="27">
        <f>SUM(O6:O10)</f>
        <v>37503</v>
      </c>
      <c r="S10" s="27"/>
      <c r="T10" s="27"/>
      <c r="U10" s="27"/>
      <c r="V10" s="27"/>
      <c r="W10" s="27"/>
    </row>
    <row r="11" spans="1:25" ht="15.75" thickBot="1" x14ac:dyDescent="0.3">
      <c r="A11" s="892" t="s">
        <v>12</v>
      </c>
      <c r="B11" s="893"/>
      <c r="C11" s="336">
        <f t="shared" ref="C11:O11" si="3">SUM(C12:C30)</f>
        <v>247720</v>
      </c>
      <c r="D11" s="336">
        <f t="shared" si="3"/>
        <v>247720</v>
      </c>
      <c r="E11" s="336">
        <f t="shared" si="3"/>
        <v>247720</v>
      </c>
      <c r="F11" s="336">
        <f t="shared" si="3"/>
        <v>247720</v>
      </c>
      <c r="G11" s="336">
        <f t="shared" si="3"/>
        <v>247720</v>
      </c>
      <c r="H11" s="336">
        <f t="shared" si="3"/>
        <v>247720</v>
      </c>
      <c r="I11" s="336">
        <f t="shared" si="3"/>
        <v>247720</v>
      </c>
      <c r="J11" s="336">
        <f t="shared" si="3"/>
        <v>247720</v>
      </c>
      <c r="K11" s="336">
        <f t="shared" si="3"/>
        <v>247720</v>
      </c>
      <c r="L11" s="336">
        <f t="shared" si="3"/>
        <v>248725</v>
      </c>
      <c r="M11" s="336">
        <f t="shared" ref="M11:N11" si="4">SUM(M12:M30)</f>
        <v>248725</v>
      </c>
      <c r="N11" s="336">
        <f t="shared" si="4"/>
        <v>248725</v>
      </c>
      <c r="O11" s="336">
        <f t="shared" si="3"/>
        <v>100279</v>
      </c>
      <c r="P11" s="728">
        <f t="shared" si="2"/>
        <v>0.4031721781083526</v>
      </c>
      <c r="Q11" s="1"/>
    </row>
    <row r="12" spans="1:25" x14ac:dyDescent="0.25">
      <c r="A12" s="28">
        <v>212</v>
      </c>
      <c r="B12" s="29" t="s">
        <v>13</v>
      </c>
      <c r="C12" s="32">
        <v>3032</v>
      </c>
      <c r="D12" s="692">
        <f>3032-20+127</f>
        <v>3139</v>
      </c>
      <c r="E12" s="32">
        <f t="shared" ref="E12:I12" si="5">3032-20+127</f>
        <v>3139</v>
      </c>
      <c r="F12" s="32">
        <f t="shared" si="5"/>
        <v>3139</v>
      </c>
      <c r="G12" s="32">
        <f t="shared" si="5"/>
        <v>3139</v>
      </c>
      <c r="H12" s="32">
        <f t="shared" si="5"/>
        <v>3139</v>
      </c>
      <c r="I12" s="32">
        <f t="shared" si="5"/>
        <v>3139</v>
      </c>
      <c r="J12" s="692">
        <f>3032-20+127+149</f>
        <v>3288</v>
      </c>
      <c r="K12" s="32">
        <f>3032-20+127+149</f>
        <v>3288</v>
      </c>
      <c r="L12" s="32">
        <f t="shared" ref="L12:N12" si="6">3032-20+127+149</f>
        <v>3288</v>
      </c>
      <c r="M12" s="32">
        <f t="shared" si="6"/>
        <v>3288</v>
      </c>
      <c r="N12" s="32">
        <f t="shared" si="6"/>
        <v>3288</v>
      </c>
      <c r="O12" s="32">
        <v>1426</v>
      </c>
      <c r="P12" s="728">
        <f t="shared" si="2"/>
        <v>0.43369829683698297</v>
      </c>
      <c r="Q12" s="1"/>
    </row>
    <row r="13" spans="1:25" x14ac:dyDescent="0.25">
      <c r="A13" s="17">
        <v>212</v>
      </c>
      <c r="B13" s="18" t="s">
        <v>14</v>
      </c>
      <c r="C13" s="21">
        <v>1000</v>
      </c>
      <c r="D13" s="21">
        <v>1000</v>
      </c>
      <c r="E13" s="21">
        <v>1000</v>
      </c>
      <c r="F13" s="21">
        <v>1000</v>
      </c>
      <c r="G13" s="21">
        <v>1000</v>
      </c>
      <c r="H13" s="21">
        <v>1000</v>
      </c>
      <c r="I13" s="21">
        <v>1000</v>
      </c>
      <c r="J13" s="21">
        <v>1000</v>
      </c>
      <c r="K13" s="21">
        <v>1000</v>
      </c>
      <c r="L13" s="21">
        <v>1000</v>
      </c>
      <c r="M13" s="21">
        <v>1000</v>
      </c>
      <c r="N13" s="21">
        <v>1000</v>
      </c>
      <c r="O13" s="21">
        <v>200</v>
      </c>
      <c r="P13" s="728">
        <f t="shared" si="2"/>
        <v>0.2</v>
      </c>
      <c r="Q13" s="27"/>
    </row>
    <row r="14" spans="1:25" x14ac:dyDescent="0.25">
      <c r="A14" s="12">
        <v>212</v>
      </c>
      <c r="B14" s="13" t="s">
        <v>15</v>
      </c>
      <c r="C14" s="82">
        <v>3425</v>
      </c>
      <c r="D14" s="82">
        <v>3425</v>
      </c>
      <c r="E14" s="82">
        <v>3425</v>
      </c>
      <c r="F14" s="82">
        <v>3425</v>
      </c>
      <c r="G14" s="82">
        <v>3425</v>
      </c>
      <c r="H14" s="82">
        <v>3425</v>
      </c>
      <c r="I14" s="82">
        <v>3425</v>
      </c>
      <c r="J14" s="82">
        <v>3425</v>
      </c>
      <c r="K14" s="82">
        <v>3425</v>
      </c>
      <c r="L14" s="82">
        <v>3425</v>
      </c>
      <c r="M14" s="82">
        <v>3425</v>
      </c>
      <c r="N14" s="82">
        <v>3425</v>
      </c>
      <c r="O14" s="82">
        <v>1715</v>
      </c>
      <c r="P14" s="728">
        <f t="shared" si="2"/>
        <v>0.50072992700729924</v>
      </c>
      <c r="Q14" s="1"/>
    </row>
    <row r="15" spans="1:25" x14ac:dyDescent="0.25">
      <c r="A15" s="17">
        <v>212</v>
      </c>
      <c r="B15" s="18" t="s">
        <v>16</v>
      </c>
      <c r="C15" s="21">
        <v>19463</v>
      </c>
      <c r="D15" s="693">
        <f t="shared" ref="D15:I15" si="7">19463+129-236</f>
        <v>19356</v>
      </c>
      <c r="E15" s="21">
        <f t="shared" si="7"/>
        <v>19356</v>
      </c>
      <c r="F15" s="21">
        <f t="shared" si="7"/>
        <v>19356</v>
      </c>
      <c r="G15" s="21">
        <f t="shared" si="7"/>
        <v>19356</v>
      </c>
      <c r="H15" s="21">
        <f t="shared" si="7"/>
        <v>19356</v>
      </c>
      <c r="I15" s="21">
        <f t="shared" si="7"/>
        <v>19356</v>
      </c>
      <c r="J15" s="21">
        <f>19463+129-236-149</f>
        <v>19207</v>
      </c>
      <c r="K15" s="21">
        <f>19463+129-236-149</f>
        <v>19207</v>
      </c>
      <c r="L15" s="693">
        <f>19463+129-236-149+1005</f>
        <v>20212</v>
      </c>
      <c r="M15" s="21">
        <f>19463+129-236-149+1005</f>
        <v>20212</v>
      </c>
      <c r="N15" s="21">
        <f>19463+129-236-149+1005</f>
        <v>20212</v>
      </c>
      <c r="O15" s="21">
        <v>8892</v>
      </c>
      <c r="P15" s="728">
        <f t="shared" si="2"/>
        <v>0.43993667128438552</v>
      </c>
      <c r="Q15" s="27"/>
    </row>
    <row r="16" spans="1:25" ht="15.75" thickBot="1" x14ac:dyDescent="0.3">
      <c r="A16" s="35">
        <v>212</v>
      </c>
      <c r="B16" s="36" t="s">
        <v>17</v>
      </c>
      <c r="C16" s="39">
        <v>100</v>
      </c>
      <c r="D16" s="39">
        <v>100</v>
      </c>
      <c r="E16" s="39">
        <v>100</v>
      </c>
      <c r="F16" s="39">
        <v>100</v>
      </c>
      <c r="G16" s="39">
        <v>100</v>
      </c>
      <c r="H16" s="39">
        <v>100</v>
      </c>
      <c r="I16" s="39">
        <v>100</v>
      </c>
      <c r="J16" s="39">
        <v>100</v>
      </c>
      <c r="K16" s="39">
        <v>100</v>
      </c>
      <c r="L16" s="39">
        <v>100</v>
      </c>
      <c r="M16" s="39">
        <v>100</v>
      </c>
      <c r="N16" s="39">
        <v>100</v>
      </c>
      <c r="O16" s="39">
        <v>0</v>
      </c>
      <c r="P16" s="728">
        <f t="shared" si="2"/>
        <v>0</v>
      </c>
      <c r="Q16" s="426">
        <f>SUM(N12:N16)</f>
        <v>28025</v>
      </c>
      <c r="R16" s="426">
        <f>SUM(O12:O16)</f>
        <v>12233</v>
      </c>
      <c r="S16" s="426"/>
      <c r="T16" s="426"/>
      <c r="U16" s="426"/>
      <c r="V16" s="426"/>
      <c r="W16" s="426"/>
      <c r="X16" s="27"/>
      <c r="Y16" s="426"/>
    </row>
    <row r="17" spans="1:25" ht="15.75" thickBot="1" x14ac:dyDescent="0.3">
      <c r="A17" s="7">
        <v>221</v>
      </c>
      <c r="B17" s="8" t="s">
        <v>18</v>
      </c>
      <c r="C17" s="41">
        <v>7200</v>
      </c>
      <c r="D17" s="41">
        <v>7200</v>
      </c>
      <c r="E17" s="41">
        <v>7200</v>
      </c>
      <c r="F17" s="41">
        <v>7200</v>
      </c>
      <c r="G17" s="41">
        <v>7200</v>
      </c>
      <c r="H17" s="41">
        <v>7200</v>
      </c>
      <c r="I17" s="41">
        <v>7200</v>
      </c>
      <c r="J17" s="41">
        <v>7200</v>
      </c>
      <c r="K17" s="41">
        <v>7200</v>
      </c>
      <c r="L17" s="41">
        <v>7200</v>
      </c>
      <c r="M17" s="41">
        <v>7200</v>
      </c>
      <c r="N17" s="41">
        <v>7200</v>
      </c>
      <c r="O17" s="41">
        <v>3882</v>
      </c>
      <c r="P17" s="728">
        <f t="shared" si="2"/>
        <v>0.53916666666666668</v>
      </c>
      <c r="Q17" s="1"/>
    </row>
    <row r="18" spans="1:25" ht="15.75" thickBot="1" x14ac:dyDescent="0.3">
      <c r="A18" s="35">
        <v>222</v>
      </c>
      <c r="B18" s="36" t="s">
        <v>19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728">
        <v>0</v>
      </c>
      <c r="Q18" s="1"/>
    </row>
    <row r="19" spans="1:25" x14ac:dyDescent="0.25">
      <c r="A19" s="12">
        <v>223</v>
      </c>
      <c r="B19" s="13" t="s">
        <v>20</v>
      </c>
      <c r="C19" s="16">
        <v>900</v>
      </c>
      <c r="D19" s="16">
        <v>900</v>
      </c>
      <c r="E19" s="16">
        <v>900</v>
      </c>
      <c r="F19" s="16">
        <v>900</v>
      </c>
      <c r="G19" s="16">
        <v>900</v>
      </c>
      <c r="H19" s="16">
        <v>900</v>
      </c>
      <c r="I19" s="16">
        <v>900</v>
      </c>
      <c r="J19" s="16">
        <v>900</v>
      </c>
      <c r="K19" s="16">
        <v>900</v>
      </c>
      <c r="L19" s="16">
        <v>900</v>
      </c>
      <c r="M19" s="16">
        <v>900</v>
      </c>
      <c r="N19" s="16">
        <v>900</v>
      </c>
      <c r="O19" s="16">
        <v>88</v>
      </c>
      <c r="P19" s="728">
        <f t="shared" si="2"/>
        <v>9.7777777777777783E-2</v>
      </c>
      <c r="Q19" s="1"/>
    </row>
    <row r="20" spans="1:25" x14ac:dyDescent="0.25">
      <c r="A20" s="17">
        <v>223</v>
      </c>
      <c r="B20" s="18" t="s">
        <v>21</v>
      </c>
      <c r="C20" s="21">
        <v>25000</v>
      </c>
      <c r="D20" s="21">
        <v>25000</v>
      </c>
      <c r="E20" s="21">
        <v>25000</v>
      </c>
      <c r="F20" s="21">
        <v>25000</v>
      </c>
      <c r="G20" s="21">
        <v>25000</v>
      </c>
      <c r="H20" s="21">
        <v>25000</v>
      </c>
      <c r="I20" s="21">
        <v>25000</v>
      </c>
      <c r="J20" s="21">
        <v>25000</v>
      </c>
      <c r="K20" s="21">
        <v>25000</v>
      </c>
      <c r="L20" s="21">
        <v>25000</v>
      </c>
      <c r="M20" s="21">
        <v>25000</v>
      </c>
      <c r="N20" s="21">
        <v>25000</v>
      </c>
      <c r="O20" s="21">
        <v>13177</v>
      </c>
      <c r="P20" s="728">
        <f t="shared" si="2"/>
        <v>0.52707999999999999</v>
      </c>
      <c r="Q20" s="1"/>
    </row>
    <row r="21" spans="1:25" x14ac:dyDescent="0.25">
      <c r="A21" s="17">
        <v>223</v>
      </c>
      <c r="B21" s="18" t="s">
        <v>22</v>
      </c>
      <c r="C21" s="21">
        <v>100</v>
      </c>
      <c r="D21" s="21">
        <v>100</v>
      </c>
      <c r="E21" s="21">
        <v>100</v>
      </c>
      <c r="F21" s="21">
        <v>100</v>
      </c>
      <c r="G21" s="21">
        <v>100</v>
      </c>
      <c r="H21" s="21">
        <v>100</v>
      </c>
      <c r="I21" s="21">
        <v>100</v>
      </c>
      <c r="J21" s="21">
        <v>100</v>
      </c>
      <c r="K21" s="21">
        <v>100</v>
      </c>
      <c r="L21" s="21">
        <v>100</v>
      </c>
      <c r="M21" s="21">
        <v>100</v>
      </c>
      <c r="N21" s="21">
        <v>100</v>
      </c>
      <c r="O21" s="21">
        <v>0</v>
      </c>
      <c r="P21" s="728">
        <f t="shared" si="2"/>
        <v>0</v>
      </c>
      <c r="Q21" s="1"/>
    </row>
    <row r="22" spans="1:25" x14ac:dyDescent="0.25">
      <c r="A22" s="17">
        <v>223</v>
      </c>
      <c r="B22" s="18" t="s">
        <v>290</v>
      </c>
      <c r="C22" s="21">
        <v>3000</v>
      </c>
      <c r="D22" s="21">
        <v>3000</v>
      </c>
      <c r="E22" s="21">
        <v>3000</v>
      </c>
      <c r="F22" s="21">
        <v>3000</v>
      </c>
      <c r="G22" s="21">
        <v>3000</v>
      </c>
      <c r="H22" s="21">
        <v>3000</v>
      </c>
      <c r="I22" s="21">
        <v>3000</v>
      </c>
      <c r="J22" s="21">
        <v>3000</v>
      </c>
      <c r="K22" s="21">
        <v>3000</v>
      </c>
      <c r="L22" s="21">
        <v>3000</v>
      </c>
      <c r="M22" s="21">
        <v>3000</v>
      </c>
      <c r="N22" s="21">
        <v>3000</v>
      </c>
      <c r="O22" s="21">
        <v>1647</v>
      </c>
      <c r="P22" s="728">
        <f t="shared" si="2"/>
        <v>0.54900000000000004</v>
      </c>
      <c r="Q22" s="1"/>
    </row>
    <row r="23" spans="1:25" x14ac:dyDescent="0.25">
      <c r="A23" s="17">
        <v>223</v>
      </c>
      <c r="B23" s="18" t="s">
        <v>23</v>
      </c>
      <c r="C23" s="21">
        <v>2000</v>
      </c>
      <c r="D23" s="21">
        <v>2000</v>
      </c>
      <c r="E23" s="21">
        <v>2000</v>
      </c>
      <c r="F23" s="21">
        <v>2000</v>
      </c>
      <c r="G23" s="21">
        <v>2000</v>
      </c>
      <c r="H23" s="21">
        <v>2000</v>
      </c>
      <c r="I23" s="21">
        <v>2000</v>
      </c>
      <c r="J23" s="21">
        <v>2000</v>
      </c>
      <c r="K23" s="21">
        <v>2000</v>
      </c>
      <c r="L23" s="21">
        <v>2000</v>
      </c>
      <c r="M23" s="21">
        <v>2000</v>
      </c>
      <c r="N23" s="21">
        <v>2000</v>
      </c>
      <c r="O23" s="21">
        <v>0</v>
      </c>
      <c r="P23" s="728">
        <f t="shared" si="2"/>
        <v>0</v>
      </c>
      <c r="Q23" s="1"/>
    </row>
    <row r="24" spans="1:25" x14ac:dyDescent="0.25">
      <c r="A24" s="17">
        <v>223</v>
      </c>
      <c r="B24" s="18" t="s">
        <v>24</v>
      </c>
      <c r="C24" s="21">
        <v>1000</v>
      </c>
      <c r="D24" s="21">
        <v>1000</v>
      </c>
      <c r="E24" s="21">
        <v>1000</v>
      </c>
      <c r="F24" s="21">
        <v>1000</v>
      </c>
      <c r="G24" s="21">
        <v>1000</v>
      </c>
      <c r="H24" s="21">
        <v>1000</v>
      </c>
      <c r="I24" s="21">
        <v>1000</v>
      </c>
      <c r="J24" s="21">
        <v>1000</v>
      </c>
      <c r="K24" s="21">
        <v>1000</v>
      </c>
      <c r="L24" s="21">
        <v>1000</v>
      </c>
      <c r="M24" s="21">
        <v>1000</v>
      </c>
      <c r="N24" s="21">
        <v>1000</v>
      </c>
      <c r="O24" s="21">
        <v>280</v>
      </c>
      <c r="P24" s="728">
        <f t="shared" si="2"/>
        <v>0.28000000000000003</v>
      </c>
      <c r="Q24" s="1"/>
    </row>
    <row r="25" spans="1:25" x14ac:dyDescent="0.25">
      <c r="A25" s="17">
        <v>223</v>
      </c>
      <c r="B25" s="18" t="s">
        <v>25</v>
      </c>
      <c r="C25" s="21">
        <v>46000</v>
      </c>
      <c r="D25" s="21">
        <v>46000</v>
      </c>
      <c r="E25" s="21">
        <v>46000</v>
      </c>
      <c r="F25" s="21">
        <v>46000</v>
      </c>
      <c r="G25" s="21">
        <v>46000</v>
      </c>
      <c r="H25" s="21">
        <v>46000</v>
      </c>
      <c r="I25" s="21">
        <v>46000</v>
      </c>
      <c r="J25" s="21">
        <v>46000</v>
      </c>
      <c r="K25" s="21">
        <v>46000</v>
      </c>
      <c r="L25" s="21">
        <v>46000</v>
      </c>
      <c r="M25" s="21">
        <v>46000</v>
      </c>
      <c r="N25" s="21">
        <v>46000</v>
      </c>
      <c r="O25" s="21">
        <v>16407</v>
      </c>
      <c r="P25" s="728">
        <f t="shared" si="2"/>
        <v>0.35667391304347829</v>
      </c>
      <c r="Q25" s="1"/>
    </row>
    <row r="26" spans="1:25" x14ac:dyDescent="0.25">
      <c r="A26" s="17">
        <v>223</v>
      </c>
      <c r="B26" s="18" t="s">
        <v>26</v>
      </c>
      <c r="C26" s="21">
        <v>61000</v>
      </c>
      <c r="D26" s="21">
        <v>61000</v>
      </c>
      <c r="E26" s="21">
        <v>61000</v>
      </c>
      <c r="F26" s="21">
        <v>61000</v>
      </c>
      <c r="G26" s="21">
        <v>61000</v>
      </c>
      <c r="H26" s="21">
        <v>61000</v>
      </c>
      <c r="I26" s="21">
        <v>61000</v>
      </c>
      <c r="J26" s="21">
        <v>61000</v>
      </c>
      <c r="K26" s="21">
        <v>61000</v>
      </c>
      <c r="L26" s="21">
        <v>61000</v>
      </c>
      <c r="M26" s="21">
        <v>61000</v>
      </c>
      <c r="N26" s="21">
        <v>61000</v>
      </c>
      <c r="O26" s="21">
        <v>28846</v>
      </c>
      <c r="P26" s="728">
        <f t="shared" si="2"/>
        <v>0.47288524590163933</v>
      </c>
      <c r="Q26" s="1"/>
    </row>
    <row r="27" spans="1:25" x14ac:dyDescent="0.25">
      <c r="A27" s="17">
        <v>223</v>
      </c>
      <c r="B27" s="18" t="s">
        <v>28</v>
      </c>
      <c r="C27" s="21">
        <v>2100</v>
      </c>
      <c r="D27" s="21">
        <v>2100</v>
      </c>
      <c r="E27" s="21">
        <v>2100</v>
      </c>
      <c r="F27" s="21">
        <v>2100</v>
      </c>
      <c r="G27" s="21">
        <v>2100</v>
      </c>
      <c r="H27" s="21">
        <v>2100</v>
      </c>
      <c r="I27" s="21">
        <v>2100</v>
      </c>
      <c r="J27" s="21">
        <v>2100</v>
      </c>
      <c r="K27" s="21">
        <v>2100</v>
      </c>
      <c r="L27" s="21">
        <v>2100</v>
      </c>
      <c r="M27" s="21">
        <v>2100</v>
      </c>
      <c r="N27" s="21">
        <v>2100</v>
      </c>
      <c r="O27" s="21">
        <v>1246</v>
      </c>
      <c r="P27" s="728">
        <f t="shared" si="2"/>
        <v>0.59333333333333338</v>
      </c>
      <c r="Q27" s="1"/>
    </row>
    <row r="28" spans="1:25" x14ac:dyDescent="0.25">
      <c r="A28" s="17">
        <v>223</v>
      </c>
      <c r="B28" s="18" t="s">
        <v>214</v>
      </c>
      <c r="C28" s="21">
        <v>1300</v>
      </c>
      <c r="D28" s="21">
        <v>1300</v>
      </c>
      <c r="E28" s="21">
        <v>1300</v>
      </c>
      <c r="F28" s="21">
        <v>1300</v>
      </c>
      <c r="G28" s="21">
        <v>1300</v>
      </c>
      <c r="H28" s="21">
        <v>1300</v>
      </c>
      <c r="I28" s="21">
        <v>1300</v>
      </c>
      <c r="J28" s="21">
        <v>1300</v>
      </c>
      <c r="K28" s="21">
        <v>1300</v>
      </c>
      <c r="L28" s="21">
        <v>1300</v>
      </c>
      <c r="M28" s="21">
        <v>1300</v>
      </c>
      <c r="N28" s="21">
        <v>1300</v>
      </c>
      <c r="O28" s="21">
        <v>480</v>
      </c>
      <c r="P28" s="728">
        <f t="shared" si="2"/>
        <v>0.36923076923076925</v>
      </c>
      <c r="Q28" s="1"/>
    </row>
    <row r="29" spans="1:25" x14ac:dyDescent="0.25">
      <c r="A29" s="43">
        <v>223</v>
      </c>
      <c r="B29" s="44" t="s">
        <v>29</v>
      </c>
      <c r="C29" s="46">
        <v>71000</v>
      </c>
      <c r="D29" s="46">
        <v>71000</v>
      </c>
      <c r="E29" s="46">
        <v>71000</v>
      </c>
      <c r="F29" s="46">
        <v>71000</v>
      </c>
      <c r="G29" s="46">
        <v>71000</v>
      </c>
      <c r="H29" s="46">
        <v>71000</v>
      </c>
      <c r="I29" s="46">
        <v>71000</v>
      </c>
      <c r="J29" s="46">
        <v>71000</v>
      </c>
      <c r="K29" s="46">
        <v>71000</v>
      </c>
      <c r="L29" s="46">
        <v>71000</v>
      </c>
      <c r="M29" s="46">
        <v>71000</v>
      </c>
      <c r="N29" s="46">
        <v>71000</v>
      </c>
      <c r="O29" s="46">
        <v>21993</v>
      </c>
      <c r="P29" s="728">
        <f t="shared" si="2"/>
        <v>0.30976056338028168</v>
      </c>
      <c r="Q29" s="27"/>
    </row>
    <row r="30" spans="1:25" ht="15.75" thickBot="1" x14ac:dyDescent="0.3">
      <c r="A30" s="22">
        <v>223</v>
      </c>
      <c r="B30" s="23" t="s">
        <v>30</v>
      </c>
      <c r="C30" s="79">
        <v>100</v>
      </c>
      <c r="D30" s="79">
        <v>100</v>
      </c>
      <c r="E30" s="79">
        <v>100</v>
      </c>
      <c r="F30" s="79">
        <v>100</v>
      </c>
      <c r="G30" s="79">
        <v>100</v>
      </c>
      <c r="H30" s="79">
        <v>100</v>
      </c>
      <c r="I30" s="79">
        <v>100</v>
      </c>
      <c r="J30" s="79">
        <v>100</v>
      </c>
      <c r="K30" s="79">
        <v>100</v>
      </c>
      <c r="L30" s="79">
        <v>100</v>
      </c>
      <c r="M30" s="79">
        <v>100</v>
      </c>
      <c r="N30" s="79">
        <v>100</v>
      </c>
      <c r="O30" s="48">
        <v>0</v>
      </c>
      <c r="P30" s="728">
        <f t="shared" si="2"/>
        <v>0</v>
      </c>
      <c r="Q30" s="27">
        <f>SUM(N19:N30)</f>
        <v>213500</v>
      </c>
      <c r="R30" s="27">
        <f>SUM(O19:O30)</f>
        <v>84164</v>
      </c>
      <c r="S30" s="27"/>
      <c r="T30" s="27"/>
      <c r="U30" s="27"/>
      <c r="V30" s="27"/>
      <c r="W30" s="27"/>
      <c r="X30" s="426"/>
      <c r="Y30" s="426"/>
    </row>
    <row r="31" spans="1:25" ht="15.75" thickBot="1" x14ac:dyDescent="0.3">
      <c r="A31" s="802" t="s">
        <v>31</v>
      </c>
      <c r="B31" s="803"/>
      <c r="C31" s="2">
        <f t="shared" ref="C31:O31" si="8">SUM(C32)</f>
        <v>50</v>
      </c>
      <c r="D31" s="2">
        <f t="shared" si="8"/>
        <v>50</v>
      </c>
      <c r="E31" s="2">
        <f t="shared" si="8"/>
        <v>50</v>
      </c>
      <c r="F31" s="2">
        <f t="shared" si="8"/>
        <v>50</v>
      </c>
      <c r="G31" s="2">
        <f t="shared" si="8"/>
        <v>50</v>
      </c>
      <c r="H31" s="2">
        <f t="shared" si="8"/>
        <v>50</v>
      </c>
      <c r="I31" s="2">
        <f t="shared" si="8"/>
        <v>50</v>
      </c>
      <c r="J31" s="2">
        <f t="shared" si="8"/>
        <v>50</v>
      </c>
      <c r="K31" s="2">
        <f t="shared" si="8"/>
        <v>50</v>
      </c>
      <c r="L31" s="2">
        <f t="shared" si="8"/>
        <v>50</v>
      </c>
      <c r="M31" s="2">
        <f t="shared" si="8"/>
        <v>50</v>
      </c>
      <c r="N31" s="2">
        <f t="shared" si="8"/>
        <v>50</v>
      </c>
      <c r="O31" s="2">
        <f t="shared" si="8"/>
        <v>17</v>
      </c>
      <c r="P31" s="728">
        <f t="shared" si="2"/>
        <v>0.34</v>
      </c>
      <c r="Q31" s="27">
        <f>SUM(N17:N30)</f>
        <v>220700</v>
      </c>
      <c r="R31" s="27">
        <f>SUM(O17:O30)</f>
        <v>88046</v>
      </c>
    </row>
    <row r="32" spans="1:25" ht="15.75" thickBot="1" x14ac:dyDescent="0.3">
      <c r="A32" s="51">
        <v>240</v>
      </c>
      <c r="B32" s="47" t="s">
        <v>32</v>
      </c>
      <c r="C32" s="38">
        <v>50</v>
      </c>
      <c r="D32" s="38">
        <v>50</v>
      </c>
      <c r="E32" s="38">
        <v>50</v>
      </c>
      <c r="F32" s="38">
        <v>50</v>
      </c>
      <c r="G32" s="38">
        <v>50</v>
      </c>
      <c r="H32" s="38">
        <v>50</v>
      </c>
      <c r="I32" s="38">
        <v>50</v>
      </c>
      <c r="J32" s="38">
        <v>50</v>
      </c>
      <c r="K32" s="38">
        <v>50</v>
      </c>
      <c r="L32" s="38">
        <v>50</v>
      </c>
      <c r="M32" s="38">
        <v>50</v>
      </c>
      <c r="N32" s="38">
        <v>50</v>
      </c>
      <c r="O32" s="38">
        <v>17</v>
      </c>
      <c r="P32" s="728">
        <f t="shared" si="2"/>
        <v>0.34</v>
      </c>
      <c r="Q32" s="1"/>
    </row>
    <row r="33" spans="1:23" ht="15.75" thickBot="1" x14ac:dyDescent="0.3">
      <c r="A33" s="802" t="s">
        <v>33</v>
      </c>
      <c r="B33" s="803"/>
      <c r="C33" s="336">
        <f t="shared" ref="C33:O33" si="9">SUM(C34:C38)</f>
        <v>60240</v>
      </c>
      <c r="D33" s="336">
        <f t="shared" si="9"/>
        <v>60255</v>
      </c>
      <c r="E33" s="336">
        <f t="shared" si="9"/>
        <v>64505</v>
      </c>
      <c r="F33" s="336">
        <f t="shared" si="9"/>
        <v>64505</v>
      </c>
      <c r="G33" s="336">
        <f t="shared" si="9"/>
        <v>64505</v>
      </c>
      <c r="H33" s="336">
        <f t="shared" si="9"/>
        <v>64505</v>
      </c>
      <c r="I33" s="336">
        <f t="shared" si="9"/>
        <v>64505</v>
      </c>
      <c r="J33" s="336">
        <f t="shared" si="9"/>
        <v>65429</v>
      </c>
      <c r="K33" s="336">
        <f t="shared" si="9"/>
        <v>65429</v>
      </c>
      <c r="L33" s="336">
        <f t="shared" si="9"/>
        <v>65969</v>
      </c>
      <c r="M33" s="336">
        <f t="shared" ref="M33:N33" si="10">SUM(M34:M38)</f>
        <v>65969</v>
      </c>
      <c r="N33" s="336">
        <f t="shared" si="10"/>
        <v>65969</v>
      </c>
      <c r="O33" s="336">
        <f t="shared" si="9"/>
        <v>32544</v>
      </c>
      <c r="P33" s="728">
        <f t="shared" si="2"/>
        <v>0.49332262123118437</v>
      </c>
      <c r="Q33" s="1"/>
    </row>
    <row r="34" spans="1:23" x14ac:dyDescent="0.25">
      <c r="A34" s="57">
        <v>292</v>
      </c>
      <c r="B34" s="58" t="s">
        <v>36</v>
      </c>
      <c r="C34" s="61">
        <v>10000</v>
      </c>
      <c r="D34" s="695">
        <f t="shared" ref="D34:N34" si="11">10000+4250</f>
        <v>14250</v>
      </c>
      <c r="E34" s="61">
        <f>10000+4250</f>
        <v>14250</v>
      </c>
      <c r="F34" s="61">
        <f t="shared" si="11"/>
        <v>14250</v>
      </c>
      <c r="G34" s="61">
        <f t="shared" si="11"/>
        <v>14250</v>
      </c>
      <c r="H34" s="61">
        <f t="shared" si="11"/>
        <v>14250</v>
      </c>
      <c r="I34" s="61">
        <f t="shared" si="11"/>
        <v>14250</v>
      </c>
      <c r="J34" s="61">
        <f t="shared" si="11"/>
        <v>14250</v>
      </c>
      <c r="K34" s="61">
        <f t="shared" si="11"/>
        <v>14250</v>
      </c>
      <c r="L34" s="61">
        <f t="shared" si="11"/>
        <v>14250</v>
      </c>
      <c r="M34" s="61">
        <f t="shared" si="11"/>
        <v>14250</v>
      </c>
      <c r="N34" s="61">
        <f t="shared" si="11"/>
        <v>14250</v>
      </c>
      <c r="O34" s="61">
        <v>14231</v>
      </c>
      <c r="P34" s="728">
        <f t="shared" si="2"/>
        <v>0.9986666666666667</v>
      </c>
      <c r="Q34" s="1"/>
    </row>
    <row r="35" spans="1:23" x14ac:dyDescent="0.25">
      <c r="A35" s="57">
        <v>292</v>
      </c>
      <c r="B35" s="58" t="s">
        <v>37</v>
      </c>
      <c r="C35" s="60">
        <v>500</v>
      </c>
      <c r="D35" s="60">
        <v>500</v>
      </c>
      <c r="E35" s="60">
        <v>500</v>
      </c>
      <c r="F35" s="60">
        <v>500</v>
      </c>
      <c r="G35" s="60">
        <v>500</v>
      </c>
      <c r="H35" s="60">
        <v>500</v>
      </c>
      <c r="I35" s="60">
        <v>500</v>
      </c>
      <c r="J35" s="60">
        <v>500</v>
      </c>
      <c r="K35" s="60">
        <v>500</v>
      </c>
      <c r="L35" s="60">
        <v>500</v>
      </c>
      <c r="M35" s="60">
        <v>500</v>
      </c>
      <c r="N35" s="60">
        <v>500</v>
      </c>
      <c r="O35" s="60">
        <v>197</v>
      </c>
      <c r="P35" s="728">
        <f t="shared" si="2"/>
        <v>0.39400000000000002</v>
      </c>
      <c r="Q35" s="1"/>
    </row>
    <row r="36" spans="1:23" x14ac:dyDescent="0.25">
      <c r="A36" s="57">
        <v>292</v>
      </c>
      <c r="B36" s="18" t="s">
        <v>38</v>
      </c>
      <c r="C36" s="64">
        <v>380</v>
      </c>
      <c r="D36" s="689">
        <f t="shared" ref="D36:N36" si="12">380+15</f>
        <v>395</v>
      </c>
      <c r="E36" s="64">
        <f t="shared" si="12"/>
        <v>395</v>
      </c>
      <c r="F36" s="64">
        <f t="shared" si="12"/>
        <v>395</v>
      </c>
      <c r="G36" s="64">
        <f t="shared" si="12"/>
        <v>395</v>
      </c>
      <c r="H36" s="64">
        <f t="shared" si="12"/>
        <v>395</v>
      </c>
      <c r="I36" s="64">
        <f t="shared" si="12"/>
        <v>395</v>
      </c>
      <c r="J36" s="64">
        <f t="shared" si="12"/>
        <v>395</v>
      </c>
      <c r="K36" s="64">
        <f t="shared" si="12"/>
        <v>395</v>
      </c>
      <c r="L36" s="64">
        <f t="shared" si="12"/>
        <v>395</v>
      </c>
      <c r="M36" s="64">
        <f t="shared" si="12"/>
        <v>395</v>
      </c>
      <c r="N36" s="64">
        <f t="shared" si="12"/>
        <v>395</v>
      </c>
      <c r="O36" s="64">
        <v>0</v>
      </c>
      <c r="P36" s="728">
        <f t="shared" si="2"/>
        <v>0</v>
      </c>
      <c r="Q36" s="1"/>
    </row>
    <row r="37" spans="1:23" x14ac:dyDescent="0.25">
      <c r="A37" s="57">
        <v>292</v>
      </c>
      <c r="B37" s="58" t="s">
        <v>188</v>
      </c>
      <c r="C37" s="60">
        <f>49730-C36</f>
        <v>49350</v>
      </c>
      <c r="D37" s="694">
        <f>49730+15-4250-D36</f>
        <v>45100</v>
      </c>
      <c r="E37" s="694">
        <f t="shared" ref="E37:H37" si="13">49730+15-4250-E36+4250</f>
        <v>49350</v>
      </c>
      <c r="F37" s="60">
        <f t="shared" si="13"/>
        <v>49350</v>
      </c>
      <c r="G37" s="60">
        <f t="shared" si="13"/>
        <v>49350</v>
      </c>
      <c r="H37" s="60">
        <f t="shared" si="13"/>
        <v>49350</v>
      </c>
      <c r="I37" s="694">
        <f>49730+15-4250-I36+4250-924</f>
        <v>48426</v>
      </c>
      <c r="J37" s="60">
        <f>49730+15-4250-J36+4250-924</f>
        <v>48426</v>
      </c>
      <c r="K37" s="60">
        <f>49730+15-4250-K36+4250-924</f>
        <v>48426</v>
      </c>
      <c r="L37" s="694">
        <f>49730+15-4250-L36+4250-924+540</f>
        <v>48966</v>
      </c>
      <c r="M37" s="60">
        <f>49730+15-4250-M36+4250-924+540</f>
        <v>48966</v>
      </c>
      <c r="N37" s="694">
        <f>49730+15-4250-N36+4250-924+540+924</f>
        <v>49890</v>
      </c>
      <c r="O37" s="60">
        <v>17491</v>
      </c>
      <c r="P37" s="728">
        <f t="shared" si="2"/>
        <v>0.35059130086189616</v>
      </c>
      <c r="Q37" s="27">
        <f>SUM(N36:N37)</f>
        <v>50285</v>
      </c>
      <c r="R37" s="27">
        <f>SUM(O36:O37)</f>
        <v>17491</v>
      </c>
      <c r="S37" s="27"/>
      <c r="T37" s="27"/>
      <c r="U37" s="27"/>
      <c r="V37" s="27"/>
      <c r="W37" s="27"/>
    </row>
    <row r="38" spans="1:23" ht="15.75" thickBot="1" x14ac:dyDescent="0.3">
      <c r="A38" s="57">
        <v>292</v>
      </c>
      <c r="B38" s="58" t="s">
        <v>260</v>
      </c>
      <c r="C38" s="60">
        <v>10</v>
      </c>
      <c r="D38" s="60">
        <v>10</v>
      </c>
      <c r="E38" s="60">
        <v>10</v>
      </c>
      <c r="F38" s="60">
        <v>10</v>
      </c>
      <c r="G38" s="60">
        <v>10</v>
      </c>
      <c r="H38" s="60">
        <v>10</v>
      </c>
      <c r="I38" s="694">
        <f t="shared" ref="I38" si="14">10+924</f>
        <v>934</v>
      </c>
      <c r="J38" s="694">
        <f>10+924+924</f>
        <v>1858</v>
      </c>
      <c r="K38" s="60">
        <f t="shared" ref="K38:M38" si="15">10+924+924</f>
        <v>1858</v>
      </c>
      <c r="L38" s="60">
        <f t="shared" si="15"/>
        <v>1858</v>
      </c>
      <c r="M38" s="60">
        <f t="shared" si="15"/>
        <v>1858</v>
      </c>
      <c r="N38" s="694">
        <f>10+924+924-924</f>
        <v>934</v>
      </c>
      <c r="O38" s="60">
        <v>625</v>
      </c>
      <c r="P38" s="728">
        <f t="shared" si="2"/>
        <v>0.66916488222698067</v>
      </c>
      <c r="Q38" s="1"/>
    </row>
    <row r="39" spans="1:23" ht="15.75" thickBot="1" x14ac:dyDescent="0.3">
      <c r="A39" s="65" t="s">
        <v>39</v>
      </c>
      <c r="B39" s="340"/>
      <c r="C39" s="336">
        <f t="shared" ref="C39:O39" si="16">SUM(C40:C64)</f>
        <v>1306665</v>
      </c>
      <c r="D39" s="336">
        <f t="shared" si="16"/>
        <v>1306322</v>
      </c>
      <c r="E39" s="336">
        <f t="shared" si="16"/>
        <v>1319182</v>
      </c>
      <c r="F39" s="336">
        <f t="shared" si="16"/>
        <v>1312406</v>
      </c>
      <c r="G39" s="336">
        <f t="shared" si="16"/>
        <v>1312406</v>
      </c>
      <c r="H39" s="336">
        <f t="shared" si="16"/>
        <v>1312406</v>
      </c>
      <c r="I39" s="336">
        <f t="shared" si="16"/>
        <v>1324362</v>
      </c>
      <c r="J39" s="336">
        <f t="shared" si="16"/>
        <v>1324362</v>
      </c>
      <c r="K39" s="336">
        <f t="shared" si="16"/>
        <v>1422191</v>
      </c>
      <c r="L39" s="336">
        <f t="shared" si="16"/>
        <v>1422191</v>
      </c>
      <c r="M39" s="336">
        <f t="shared" si="16"/>
        <v>1422191</v>
      </c>
      <c r="N39" s="336">
        <f t="shared" si="16"/>
        <v>1426590</v>
      </c>
      <c r="O39" s="336">
        <f t="shared" si="16"/>
        <v>798618</v>
      </c>
      <c r="P39" s="728">
        <f t="shared" si="2"/>
        <v>0.55980905515950619</v>
      </c>
      <c r="Q39" s="1"/>
    </row>
    <row r="40" spans="1:23" ht="15.75" thickBot="1" x14ac:dyDescent="0.3">
      <c r="A40" s="787">
        <v>311</v>
      </c>
      <c r="B40" s="788" t="s">
        <v>40</v>
      </c>
      <c r="C40" s="789">
        <v>0</v>
      </c>
      <c r="D40" s="789">
        <v>0</v>
      </c>
      <c r="E40" s="789">
        <v>0</v>
      </c>
      <c r="F40" s="789">
        <v>0</v>
      </c>
      <c r="G40" s="789">
        <v>0</v>
      </c>
      <c r="H40" s="789">
        <v>0</v>
      </c>
      <c r="I40" s="789">
        <v>0</v>
      </c>
      <c r="J40" s="789">
        <v>0</v>
      </c>
      <c r="K40" s="789">
        <v>0</v>
      </c>
      <c r="L40" s="789">
        <v>0</v>
      </c>
      <c r="M40" s="789">
        <v>0</v>
      </c>
      <c r="N40" s="814">
        <v>3000</v>
      </c>
      <c r="O40" s="789">
        <v>3000</v>
      </c>
      <c r="P40" s="728">
        <v>0</v>
      </c>
      <c r="Q40" s="1"/>
    </row>
    <row r="41" spans="1:23" x14ac:dyDescent="0.25">
      <c r="A41" s="817">
        <v>312</v>
      </c>
      <c r="B41" s="818" t="s">
        <v>660</v>
      </c>
      <c r="C41" s="819">
        <v>0</v>
      </c>
      <c r="D41" s="819">
        <v>0</v>
      </c>
      <c r="E41" s="819">
        <v>0</v>
      </c>
      <c r="F41" s="819">
        <v>0</v>
      </c>
      <c r="G41" s="819">
        <v>0</v>
      </c>
      <c r="H41" s="819">
        <v>0</v>
      </c>
      <c r="I41" s="819">
        <v>0</v>
      </c>
      <c r="J41" s="819">
        <v>0</v>
      </c>
      <c r="K41" s="820">
        <f>63800</f>
        <v>63800</v>
      </c>
      <c r="L41" s="819">
        <f>63800</f>
        <v>63800</v>
      </c>
      <c r="M41" s="819">
        <f>63800</f>
        <v>63800</v>
      </c>
      <c r="N41" s="820">
        <f>63800+4</f>
        <v>63804</v>
      </c>
      <c r="O41" s="819">
        <v>63796</v>
      </c>
      <c r="P41" s="728">
        <f>O41/N41</f>
        <v>0.99987461601153538</v>
      </c>
      <c r="Q41" s="1"/>
    </row>
    <row r="42" spans="1:23" x14ac:dyDescent="0.25">
      <c r="A42" s="69">
        <v>312</v>
      </c>
      <c r="B42" s="333" t="s">
        <v>279</v>
      </c>
      <c r="C42" s="70">
        <v>69225</v>
      </c>
      <c r="D42" s="70">
        <v>69225</v>
      </c>
      <c r="E42" s="70">
        <v>69225</v>
      </c>
      <c r="F42" s="70">
        <v>69225</v>
      </c>
      <c r="G42" s="70">
        <v>69225</v>
      </c>
      <c r="H42" s="70">
        <v>69225</v>
      </c>
      <c r="I42" s="70">
        <v>69225</v>
      </c>
      <c r="J42" s="70">
        <v>69225</v>
      </c>
      <c r="K42" s="70">
        <v>69225</v>
      </c>
      <c r="L42" s="70">
        <v>69225</v>
      </c>
      <c r="M42" s="70">
        <v>69225</v>
      </c>
      <c r="N42" s="70">
        <v>69225</v>
      </c>
      <c r="O42" s="70">
        <v>49246</v>
      </c>
      <c r="P42" s="728">
        <f t="shared" si="2"/>
        <v>0.71139039364391476</v>
      </c>
      <c r="Q42" s="1"/>
    </row>
    <row r="43" spans="1:23" x14ac:dyDescent="0.25">
      <c r="A43" s="71">
        <v>312</v>
      </c>
      <c r="B43" s="334" t="s">
        <v>193</v>
      </c>
      <c r="C43" s="16">
        <f t="shared" ref="C43:N43" si="17">62400+500</f>
        <v>62900</v>
      </c>
      <c r="D43" s="16">
        <f t="shared" si="17"/>
        <v>62900</v>
      </c>
      <c r="E43" s="16">
        <f t="shared" si="17"/>
        <v>62900</v>
      </c>
      <c r="F43" s="16">
        <f t="shared" si="17"/>
        <v>62900</v>
      </c>
      <c r="G43" s="16">
        <f t="shared" si="17"/>
        <v>62900</v>
      </c>
      <c r="H43" s="16">
        <f t="shared" si="17"/>
        <v>62900</v>
      </c>
      <c r="I43" s="16">
        <f t="shared" si="17"/>
        <v>62900</v>
      </c>
      <c r="J43" s="16">
        <f t="shared" si="17"/>
        <v>62900</v>
      </c>
      <c r="K43" s="16">
        <f t="shared" si="17"/>
        <v>62900</v>
      </c>
      <c r="L43" s="16">
        <f t="shared" si="17"/>
        <v>62900</v>
      </c>
      <c r="M43" s="16">
        <f t="shared" si="17"/>
        <v>62900</v>
      </c>
      <c r="N43" s="16">
        <f t="shared" si="17"/>
        <v>62900</v>
      </c>
      <c r="O43" s="16">
        <v>44683</v>
      </c>
      <c r="P43" s="728">
        <f t="shared" si="2"/>
        <v>0.7103815580286168</v>
      </c>
      <c r="Q43" s="1"/>
    </row>
    <row r="44" spans="1:23" x14ac:dyDescent="0.25">
      <c r="A44" s="71">
        <v>312</v>
      </c>
      <c r="B44" s="334" t="s">
        <v>194</v>
      </c>
      <c r="C44" s="16">
        <v>500</v>
      </c>
      <c r="D44" s="16">
        <v>500</v>
      </c>
      <c r="E44" s="16">
        <v>500</v>
      </c>
      <c r="F44" s="16">
        <v>500</v>
      </c>
      <c r="G44" s="16">
        <v>500</v>
      </c>
      <c r="H44" s="16">
        <v>500</v>
      </c>
      <c r="I44" s="781">
        <f t="shared" ref="I44:N44" si="18">500+580</f>
        <v>1080</v>
      </c>
      <c r="J44" s="16">
        <f t="shared" si="18"/>
        <v>1080</v>
      </c>
      <c r="K44" s="16">
        <f t="shared" si="18"/>
        <v>1080</v>
      </c>
      <c r="L44" s="16">
        <f t="shared" si="18"/>
        <v>1080</v>
      </c>
      <c r="M44" s="16">
        <f t="shared" si="18"/>
        <v>1080</v>
      </c>
      <c r="N44" s="16">
        <f t="shared" si="18"/>
        <v>1080</v>
      </c>
      <c r="O44" s="16">
        <v>780</v>
      </c>
      <c r="P44" s="728">
        <f t="shared" si="2"/>
        <v>0.72222222222222221</v>
      </c>
      <c r="Q44" s="27"/>
    </row>
    <row r="45" spans="1:23" x14ac:dyDescent="0.25">
      <c r="A45" s="71">
        <v>312</v>
      </c>
      <c r="B45" s="114" t="s">
        <v>41</v>
      </c>
      <c r="C45" s="73">
        <v>0</v>
      </c>
      <c r="D45" s="696">
        <f t="shared" ref="D45:M45" si="19">57+660</f>
        <v>717</v>
      </c>
      <c r="E45" s="73">
        <f t="shared" si="19"/>
        <v>717</v>
      </c>
      <c r="F45" s="73">
        <f t="shared" si="19"/>
        <v>717</v>
      </c>
      <c r="G45" s="73">
        <f t="shared" si="19"/>
        <v>717</v>
      </c>
      <c r="H45" s="73">
        <f t="shared" si="19"/>
        <v>717</v>
      </c>
      <c r="I45" s="73">
        <f t="shared" si="19"/>
        <v>717</v>
      </c>
      <c r="J45" s="73">
        <f t="shared" si="19"/>
        <v>717</v>
      </c>
      <c r="K45" s="73">
        <f t="shared" si="19"/>
        <v>717</v>
      </c>
      <c r="L45" s="73">
        <f t="shared" si="19"/>
        <v>717</v>
      </c>
      <c r="M45" s="73">
        <f t="shared" si="19"/>
        <v>717</v>
      </c>
      <c r="N45" s="696">
        <f>57+660+570</f>
        <v>1287</v>
      </c>
      <c r="O45" s="73">
        <v>405</v>
      </c>
      <c r="P45" s="728">
        <f t="shared" si="2"/>
        <v>0.31468531468531469</v>
      </c>
      <c r="Q45" s="27"/>
    </row>
    <row r="46" spans="1:23" x14ac:dyDescent="0.25">
      <c r="A46" s="83">
        <v>312</v>
      </c>
      <c r="B46" s="114" t="s">
        <v>344</v>
      </c>
      <c r="C46" s="501">
        <v>9680</v>
      </c>
      <c r="D46" s="501">
        <v>9680</v>
      </c>
      <c r="E46" s="501">
        <v>9680</v>
      </c>
      <c r="F46" s="501">
        <v>9680</v>
      </c>
      <c r="G46" s="501">
        <v>9680</v>
      </c>
      <c r="H46" s="501">
        <v>9680</v>
      </c>
      <c r="I46" s="501">
        <v>9680</v>
      </c>
      <c r="J46" s="501">
        <v>9680</v>
      </c>
      <c r="K46" s="501">
        <v>9680</v>
      </c>
      <c r="L46" s="501">
        <v>9680</v>
      </c>
      <c r="M46" s="501">
        <v>9680</v>
      </c>
      <c r="N46" s="501">
        <v>9680</v>
      </c>
      <c r="O46" s="501">
        <v>0</v>
      </c>
      <c r="P46" s="728">
        <f t="shared" si="2"/>
        <v>0</v>
      </c>
      <c r="Q46" s="27"/>
      <c r="R46" s="426"/>
    </row>
    <row r="47" spans="1:23" x14ac:dyDescent="0.25">
      <c r="A47" s="83">
        <v>312</v>
      </c>
      <c r="B47" s="114" t="s">
        <v>346</v>
      </c>
      <c r="C47" s="501">
        <v>1450</v>
      </c>
      <c r="D47" s="501">
        <v>1450</v>
      </c>
      <c r="E47" s="501">
        <v>1450</v>
      </c>
      <c r="F47" s="501">
        <v>1450</v>
      </c>
      <c r="G47" s="501">
        <v>1450</v>
      </c>
      <c r="H47" s="501">
        <v>1450</v>
      </c>
      <c r="I47" s="501">
        <v>1450</v>
      </c>
      <c r="J47" s="501">
        <v>1450</v>
      </c>
      <c r="K47" s="501">
        <v>1450</v>
      </c>
      <c r="L47" s="501">
        <v>1450</v>
      </c>
      <c r="M47" s="501">
        <v>1450</v>
      </c>
      <c r="N47" s="501">
        <v>1450</v>
      </c>
      <c r="O47" s="501">
        <v>0</v>
      </c>
      <c r="P47" s="728">
        <f t="shared" si="2"/>
        <v>0</v>
      </c>
      <c r="Q47" s="27"/>
      <c r="R47" s="426"/>
    </row>
    <row r="48" spans="1:23" x14ac:dyDescent="0.25">
      <c r="A48" s="83">
        <v>312</v>
      </c>
      <c r="B48" s="114" t="s">
        <v>336</v>
      </c>
      <c r="C48" s="501">
        <v>5000</v>
      </c>
      <c r="D48" s="34">
        <v>5000</v>
      </c>
      <c r="E48" s="34">
        <v>5000</v>
      </c>
      <c r="F48" s="34">
        <v>5000</v>
      </c>
      <c r="G48" s="34">
        <v>5000</v>
      </c>
      <c r="H48" s="34">
        <v>5000</v>
      </c>
      <c r="I48" s="34">
        <v>5000</v>
      </c>
      <c r="J48" s="34">
        <v>5000</v>
      </c>
      <c r="K48" s="34">
        <v>5000</v>
      </c>
      <c r="L48" s="34">
        <v>5000</v>
      </c>
      <c r="M48" s="34">
        <v>5000</v>
      </c>
      <c r="N48" s="34">
        <v>5000</v>
      </c>
      <c r="O48" s="501">
        <v>0</v>
      </c>
      <c r="P48" s="728">
        <f t="shared" si="2"/>
        <v>0</v>
      </c>
      <c r="Q48" s="27"/>
      <c r="R48" s="426"/>
    </row>
    <row r="49" spans="1:19" x14ac:dyDescent="0.25">
      <c r="A49" s="476">
        <v>312</v>
      </c>
      <c r="B49" s="155" t="s">
        <v>501</v>
      </c>
      <c r="C49" s="561">
        <v>0</v>
      </c>
      <c r="D49" s="561">
        <v>0</v>
      </c>
      <c r="E49" s="756">
        <v>12860</v>
      </c>
      <c r="F49" s="561">
        <v>12860</v>
      </c>
      <c r="G49" s="561">
        <v>12860</v>
      </c>
      <c r="H49" s="561">
        <v>12860</v>
      </c>
      <c r="I49" s="561">
        <v>12860</v>
      </c>
      <c r="J49" s="561">
        <v>12860</v>
      </c>
      <c r="K49" s="561">
        <v>12860</v>
      </c>
      <c r="L49" s="561">
        <v>12860</v>
      </c>
      <c r="M49" s="561">
        <v>12860</v>
      </c>
      <c r="N49" s="561">
        <v>12860</v>
      </c>
      <c r="O49" s="561">
        <v>0</v>
      </c>
      <c r="P49" s="728">
        <f t="shared" si="2"/>
        <v>0</v>
      </c>
      <c r="Q49" s="27"/>
      <c r="R49" s="426"/>
    </row>
    <row r="50" spans="1:19" x14ac:dyDescent="0.25">
      <c r="A50" s="83">
        <v>312</v>
      </c>
      <c r="B50" s="114" t="s">
        <v>345</v>
      </c>
      <c r="C50" s="501">
        <v>0</v>
      </c>
      <c r="D50" s="501">
        <v>0</v>
      </c>
      <c r="E50" s="501">
        <v>0</v>
      </c>
      <c r="F50" s="501">
        <v>0</v>
      </c>
      <c r="G50" s="501">
        <v>0</v>
      </c>
      <c r="H50" s="501">
        <v>0</v>
      </c>
      <c r="I50" s="501">
        <v>0</v>
      </c>
      <c r="J50" s="501">
        <v>0</v>
      </c>
      <c r="K50" s="501">
        <v>0</v>
      </c>
      <c r="L50" s="501">
        <v>0</v>
      </c>
      <c r="M50" s="501">
        <v>0</v>
      </c>
      <c r="N50" s="501">
        <v>0</v>
      </c>
      <c r="O50" s="501">
        <v>0</v>
      </c>
      <c r="P50" s="728">
        <v>0</v>
      </c>
      <c r="Q50" s="27"/>
      <c r="R50" s="426"/>
    </row>
    <row r="51" spans="1:19" x14ac:dyDescent="0.25">
      <c r="A51" s="67">
        <v>312</v>
      </c>
      <c r="B51" s="341" t="s">
        <v>43</v>
      </c>
      <c r="C51" s="68">
        <v>50</v>
      </c>
      <c r="D51" s="68">
        <v>50</v>
      </c>
      <c r="E51" s="68">
        <v>50</v>
      </c>
      <c r="F51" s="68">
        <v>50</v>
      </c>
      <c r="G51" s="68">
        <v>50</v>
      </c>
      <c r="H51" s="68">
        <v>50</v>
      </c>
      <c r="I51" s="68">
        <v>50</v>
      </c>
      <c r="J51" s="68">
        <v>50</v>
      </c>
      <c r="K51" s="68">
        <v>50</v>
      </c>
      <c r="L51" s="68">
        <v>50</v>
      </c>
      <c r="M51" s="68">
        <v>50</v>
      </c>
      <c r="N51" s="68">
        <v>50</v>
      </c>
      <c r="O51" s="68">
        <v>47</v>
      </c>
      <c r="P51" s="728">
        <f t="shared" si="2"/>
        <v>0.94</v>
      </c>
      <c r="Q51" s="1"/>
    </row>
    <row r="52" spans="1:19" ht="15.75" thickBot="1" x14ac:dyDescent="0.3">
      <c r="A52" s="330">
        <v>312</v>
      </c>
      <c r="B52" s="342" t="s">
        <v>273</v>
      </c>
      <c r="C52" s="331">
        <v>4000</v>
      </c>
      <c r="D52" s="331">
        <v>4000</v>
      </c>
      <c r="E52" s="331">
        <v>4000</v>
      </c>
      <c r="F52" s="331">
        <v>4000</v>
      </c>
      <c r="G52" s="331">
        <v>4000</v>
      </c>
      <c r="H52" s="331">
        <v>4000</v>
      </c>
      <c r="I52" s="331">
        <v>4000</v>
      </c>
      <c r="J52" s="331">
        <v>4000</v>
      </c>
      <c r="K52" s="796">
        <f>4000+380</f>
        <v>4380</v>
      </c>
      <c r="L52" s="331">
        <f>4000+380</f>
        <v>4380</v>
      </c>
      <c r="M52" s="331">
        <f>4000+380</f>
        <v>4380</v>
      </c>
      <c r="N52" s="331">
        <f>4000+380</f>
        <v>4380</v>
      </c>
      <c r="O52" s="331">
        <v>4379</v>
      </c>
      <c r="P52" s="728">
        <f t="shared" si="2"/>
        <v>0.99977168949771689</v>
      </c>
      <c r="Q52" s="27"/>
    </row>
    <row r="53" spans="1:19" x14ac:dyDescent="0.25">
      <c r="A53" s="71">
        <v>312</v>
      </c>
      <c r="B53" s="84" t="s">
        <v>44</v>
      </c>
      <c r="C53" s="16">
        <v>1600</v>
      </c>
      <c r="D53" s="16">
        <v>1600</v>
      </c>
      <c r="E53" s="16">
        <v>1600</v>
      </c>
      <c r="F53" s="16">
        <v>1600</v>
      </c>
      <c r="G53" s="16">
        <v>1600</v>
      </c>
      <c r="H53" s="16">
        <v>1600</v>
      </c>
      <c r="I53" s="16">
        <v>1600</v>
      </c>
      <c r="J53" s="16">
        <v>1600</v>
      </c>
      <c r="K53" s="16">
        <v>1600</v>
      </c>
      <c r="L53" s="16">
        <v>1600</v>
      </c>
      <c r="M53" s="16">
        <v>1600</v>
      </c>
      <c r="N53" s="16">
        <v>1600</v>
      </c>
      <c r="O53" s="16">
        <v>500</v>
      </c>
      <c r="P53" s="728">
        <f t="shared" si="2"/>
        <v>0.3125</v>
      </c>
      <c r="Q53" s="1"/>
    </row>
    <row r="54" spans="1:19" ht="15.75" thickBot="1" x14ac:dyDescent="0.3">
      <c r="A54" s="77">
        <v>312</v>
      </c>
      <c r="B54" s="161" t="s">
        <v>46</v>
      </c>
      <c r="C54" s="79">
        <f t="shared" ref="C54:M54" si="20">350+5600</f>
        <v>5950</v>
      </c>
      <c r="D54" s="79">
        <f t="shared" si="20"/>
        <v>5950</v>
      </c>
      <c r="E54" s="79">
        <f t="shared" si="20"/>
        <v>5950</v>
      </c>
      <c r="F54" s="79">
        <f t="shared" si="20"/>
        <v>5950</v>
      </c>
      <c r="G54" s="79">
        <f t="shared" si="20"/>
        <v>5950</v>
      </c>
      <c r="H54" s="79">
        <f t="shared" si="20"/>
        <v>5950</v>
      </c>
      <c r="I54" s="79">
        <f t="shared" si="20"/>
        <v>5950</v>
      </c>
      <c r="J54" s="79">
        <f t="shared" si="20"/>
        <v>5950</v>
      </c>
      <c r="K54" s="79">
        <f t="shared" si="20"/>
        <v>5950</v>
      </c>
      <c r="L54" s="79">
        <f t="shared" si="20"/>
        <v>5950</v>
      </c>
      <c r="M54" s="79">
        <f t="shared" si="20"/>
        <v>5950</v>
      </c>
      <c r="N54" s="815">
        <f>350+5600-3755</f>
        <v>2195</v>
      </c>
      <c r="O54" s="79">
        <v>1400</v>
      </c>
      <c r="P54" s="728">
        <f t="shared" si="2"/>
        <v>0.63781321184510253</v>
      </c>
      <c r="Q54" s="1"/>
    </row>
    <row r="55" spans="1:19" x14ac:dyDescent="0.25">
      <c r="A55" s="71">
        <v>312</v>
      </c>
      <c r="B55" s="84" t="s">
        <v>347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781">
        <v>2000</v>
      </c>
      <c r="J55" s="16">
        <v>2000</v>
      </c>
      <c r="K55" s="16">
        <v>2000</v>
      </c>
      <c r="L55" s="16">
        <v>2000</v>
      </c>
      <c r="M55" s="16">
        <v>2000</v>
      </c>
      <c r="N55" s="16">
        <v>2000</v>
      </c>
      <c r="O55" s="16">
        <v>2000</v>
      </c>
      <c r="P55" s="728">
        <f t="shared" si="2"/>
        <v>1</v>
      </c>
      <c r="Q55" s="1"/>
    </row>
    <row r="56" spans="1:19" ht="15.75" thickBot="1" x14ac:dyDescent="0.3">
      <c r="A56" s="74">
        <v>312</v>
      </c>
      <c r="B56" s="81" t="s">
        <v>48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82">
        <v>4000</v>
      </c>
      <c r="J56" s="75">
        <v>4000</v>
      </c>
      <c r="K56" s="782">
        <f>4000+3000</f>
        <v>7000</v>
      </c>
      <c r="L56" s="75">
        <f>4000+3000</f>
        <v>7000</v>
      </c>
      <c r="M56" s="75">
        <f>4000+3000</f>
        <v>7000</v>
      </c>
      <c r="N56" s="75">
        <f>4000+3000</f>
        <v>7000</v>
      </c>
      <c r="O56" s="75">
        <v>3000</v>
      </c>
      <c r="P56" s="728">
        <f t="shared" si="2"/>
        <v>0.42857142857142855</v>
      </c>
      <c r="Q56" s="1"/>
    </row>
    <row r="57" spans="1:19" x14ac:dyDescent="0.25">
      <c r="A57" s="71">
        <v>312</v>
      </c>
      <c r="B57" s="333" t="s">
        <v>49</v>
      </c>
      <c r="C57" s="82">
        <f>4800+810+40</f>
        <v>5650</v>
      </c>
      <c r="D57" s="697">
        <f t="shared" ref="D57:J57" si="21">5650-10-10</f>
        <v>5630</v>
      </c>
      <c r="E57" s="82">
        <f t="shared" si="21"/>
        <v>5630</v>
      </c>
      <c r="F57" s="82">
        <f t="shared" si="21"/>
        <v>5630</v>
      </c>
      <c r="G57" s="82">
        <f t="shared" si="21"/>
        <v>5630</v>
      </c>
      <c r="H57" s="82">
        <f t="shared" si="21"/>
        <v>5630</v>
      </c>
      <c r="I57" s="82">
        <f t="shared" si="21"/>
        <v>5630</v>
      </c>
      <c r="J57" s="82">
        <f t="shared" si="21"/>
        <v>5630</v>
      </c>
      <c r="K57" s="697">
        <f>5650-10-10+220</f>
        <v>5850</v>
      </c>
      <c r="L57" s="82">
        <f>5650-10-10+220</f>
        <v>5850</v>
      </c>
      <c r="M57" s="82">
        <f>5650-10-10+220</f>
        <v>5850</v>
      </c>
      <c r="N57" s="82">
        <f>5650-10-10+220</f>
        <v>5850</v>
      </c>
      <c r="O57" s="82">
        <v>5592</v>
      </c>
      <c r="P57" s="728">
        <f t="shared" si="2"/>
        <v>0.95589743589743592</v>
      </c>
      <c r="Q57" s="27"/>
      <c r="R57" s="27"/>
      <c r="S57" s="27"/>
    </row>
    <row r="58" spans="1:19" x14ac:dyDescent="0.25">
      <c r="A58" s="83">
        <v>312</v>
      </c>
      <c r="B58" s="343" t="s">
        <v>50</v>
      </c>
      <c r="C58" s="21">
        <f>7050+300+110</f>
        <v>7460</v>
      </c>
      <c r="D58" s="693">
        <f t="shared" ref="D58:H58" si="22">7460+70</f>
        <v>7530</v>
      </c>
      <c r="E58" s="21">
        <f t="shared" si="22"/>
        <v>7530</v>
      </c>
      <c r="F58" s="21">
        <f t="shared" si="22"/>
        <v>7530</v>
      </c>
      <c r="G58" s="21">
        <f t="shared" si="22"/>
        <v>7530</v>
      </c>
      <c r="H58" s="21">
        <f t="shared" si="22"/>
        <v>7530</v>
      </c>
      <c r="I58" s="693">
        <f t="shared" ref="I58:M58" si="23">7460+70+15</f>
        <v>7545</v>
      </c>
      <c r="J58" s="21">
        <f t="shared" si="23"/>
        <v>7545</v>
      </c>
      <c r="K58" s="21">
        <f t="shared" si="23"/>
        <v>7545</v>
      </c>
      <c r="L58" s="21">
        <f t="shared" si="23"/>
        <v>7545</v>
      </c>
      <c r="M58" s="21">
        <f t="shared" si="23"/>
        <v>7545</v>
      </c>
      <c r="N58" s="693">
        <f>7460+70+15-3190</f>
        <v>4355</v>
      </c>
      <c r="O58" s="21">
        <v>4348</v>
      </c>
      <c r="P58" s="728">
        <f t="shared" si="2"/>
        <v>0.99839265212399542</v>
      </c>
      <c r="Q58" s="27"/>
      <c r="R58" s="27"/>
      <c r="S58" s="27"/>
    </row>
    <row r="59" spans="1:19" x14ac:dyDescent="0.25">
      <c r="A59" s="83">
        <v>312</v>
      </c>
      <c r="B59" s="344" t="s">
        <v>502</v>
      </c>
      <c r="C59" s="33">
        <v>161700</v>
      </c>
      <c r="D59" s="698">
        <f>161700+3</f>
        <v>161703</v>
      </c>
      <c r="E59" s="33">
        <f>161700+3</f>
        <v>161703</v>
      </c>
      <c r="F59" s="698">
        <f>161700+3+3863</f>
        <v>165566</v>
      </c>
      <c r="G59" s="33">
        <f>161700+3+3863</f>
        <v>165566</v>
      </c>
      <c r="H59" s="33">
        <f>161700+3+3863</f>
        <v>165566</v>
      </c>
      <c r="I59" s="698">
        <f>161700+3+3863+1722</f>
        <v>167288</v>
      </c>
      <c r="J59" s="33">
        <f>161700+3+3863+1722</f>
        <v>167288</v>
      </c>
      <c r="K59" s="698">
        <f>161700+3+3863+1722+7627</f>
        <v>174915</v>
      </c>
      <c r="L59" s="33">
        <f>161700+3+3863+1722+7627</f>
        <v>174915</v>
      </c>
      <c r="M59" s="33">
        <f>161700+3+3863+1722+7627</f>
        <v>174915</v>
      </c>
      <c r="N59" s="33">
        <f>161700+3+3863+1722+7627</f>
        <v>174915</v>
      </c>
      <c r="O59" s="33">
        <v>92120</v>
      </c>
      <c r="P59" s="728">
        <f t="shared" si="2"/>
        <v>0.52665580424777747</v>
      </c>
      <c r="Q59" s="27"/>
      <c r="R59" s="27"/>
      <c r="S59" s="27"/>
    </row>
    <row r="60" spans="1:19" x14ac:dyDescent="0.25">
      <c r="A60" s="71">
        <v>312</v>
      </c>
      <c r="B60" s="114" t="s">
        <v>249</v>
      </c>
      <c r="C60" s="16">
        <v>190000</v>
      </c>
      <c r="D60" s="16">
        <v>190000</v>
      </c>
      <c r="E60" s="16">
        <v>190000</v>
      </c>
      <c r="F60" s="16">
        <v>190000</v>
      </c>
      <c r="G60" s="16">
        <v>190000</v>
      </c>
      <c r="H60" s="16">
        <v>190000</v>
      </c>
      <c r="I60" s="16">
        <v>190000</v>
      </c>
      <c r="J60" s="16">
        <v>190000</v>
      </c>
      <c r="K60" s="16">
        <v>190000</v>
      </c>
      <c r="L60" s="16">
        <v>190000</v>
      </c>
      <c r="M60" s="16">
        <v>190000</v>
      </c>
      <c r="N60" s="781">
        <f>190000+7770</f>
        <v>197770</v>
      </c>
      <c r="O60" s="16">
        <v>94129</v>
      </c>
      <c r="P60" s="728">
        <f t="shared" si="2"/>
        <v>0.47595186327552208</v>
      </c>
      <c r="Q60" s="27"/>
    </row>
    <row r="61" spans="1:19" ht="15.75" thickBot="1" x14ac:dyDescent="0.3">
      <c r="A61" s="77">
        <v>312</v>
      </c>
      <c r="B61" s="161" t="s">
        <v>51</v>
      </c>
      <c r="C61" s="79">
        <v>58200</v>
      </c>
      <c r="D61" s="79">
        <v>58200</v>
      </c>
      <c r="E61" s="79">
        <v>58200</v>
      </c>
      <c r="F61" s="79">
        <v>58200</v>
      </c>
      <c r="G61" s="79">
        <v>58200</v>
      </c>
      <c r="H61" s="79">
        <v>58200</v>
      </c>
      <c r="I61" s="79">
        <v>58200</v>
      </c>
      <c r="J61" s="79">
        <v>58200</v>
      </c>
      <c r="K61" s="79">
        <v>58200</v>
      </c>
      <c r="L61" s="79">
        <v>58200</v>
      </c>
      <c r="M61" s="79">
        <v>58200</v>
      </c>
      <c r="N61" s="79">
        <v>58200</v>
      </c>
      <c r="O61" s="79">
        <v>25828</v>
      </c>
      <c r="P61" s="728">
        <f t="shared" si="2"/>
        <v>0.44378006872852233</v>
      </c>
      <c r="Q61" s="27"/>
    </row>
    <row r="62" spans="1:19" x14ac:dyDescent="0.25">
      <c r="A62" s="71">
        <v>315</v>
      </c>
      <c r="B62" s="76" t="s">
        <v>47</v>
      </c>
      <c r="C62" s="16">
        <v>3000</v>
      </c>
      <c r="D62" s="16">
        <v>3000</v>
      </c>
      <c r="E62" s="16">
        <v>3000</v>
      </c>
      <c r="F62" s="16">
        <v>3000</v>
      </c>
      <c r="G62" s="16">
        <v>3000</v>
      </c>
      <c r="H62" s="16">
        <v>3000</v>
      </c>
      <c r="I62" s="16">
        <v>3000</v>
      </c>
      <c r="J62" s="16">
        <v>3000</v>
      </c>
      <c r="K62" s="16">
        <v>3000</v>
      </c>
      <c r="L62" s="16">
        <v>3000</v>
      </c>
      <c r="M62" s="16">
        <v>3000</v>
      </c>
      <c r="N62" s="16">
        <v>3000</v>
      </c>
      <c r="O62" s="16">
        <v>3000</v>
      </c>
      <c r="P62" s="728">
        <f t="shared" si="2"/>
        <v>1</v>
      </c>
      <c r="Q62" s="1"/>
    </row>
    <row r="63" spans="1:19" ht="15.75" thickBot="1" x14ac:dyDescent="0.3">
      <c r="A63" s="77">
        <v>315</v>
      </c>
      <c r="B63" s="78" t="s">
        <v>236</v>
      </c>
      <c r="C63" s="79">
        <v>300</v>
      </c>
      <c r="D63" s="79">
        <v>300</v>
      </c>
      <c r="E63" s="79">
        <v>300</v>
      </c>
      <c r="F63" s="79">
        <v>300</v>
      </c>
      <c r="G63" s="79">
        <v>300</v>
      </c>
      <c r="H63" s="79">
        <v>300</v>
      </c>
      <c r="I63" s="79">
        <v>300</v>
      </c>
      <c r="J63" s="79">
        <v>300</v>
      </c>
      <c r="K63" s="79">
        <v>300</v>
      </c>
      <c r="L63" s="79">
        <v>300</v>
      </c>
      <c r="M63" s="79">
        <v>300</v>
      </c>
      <c r="N63" s="79">
        <v>300</v>
      </c>
      <c r="O63" s="79">
        <v>100</v>
      </c>
      <c r="P63" s="728">
        <f t="shared" si="2"/>
        <v>0.33333333333333331</v>
      </c>
      <c r="Q63" s="27">
        <f>SUM(N62:N63)</f>
        <v>3300</v>
      </c>
      <c r="R63" s="27">
        <f>SUM(O62:O63)</f>
        <v>3100</v>
      </c>
    </row>
    <row r="64" spans="1:19" ht="15.75" thickBot="1" x14ac:dyDescent="0.3">
      <c r="A64" s="514">
        <v>312</v>
      </c>
      <c r="B64" s="515" t="s">
        <v>307</v>
      </c>
      <c r="C64" s="519">
        <v>720000</v>
      </c>
      <c r="D64" s="724">
        <f>720000-1806+693</f>
        <v>718887</v>
      </c>
      <c r="E64" s="519">
        <f>720000-1806+693</f>
        <v>718887</v>
      </c>
      <c r="F64" s="724">
        <f>720000-1806+693-10639</f>
        <v>708248</v>
      </c>
      <c r="G64" s="519">
        <f>720000-1806+693-10639</f>
        <v>708248</v>
      </c>
      <c r="H64" s="519">
        <f>720000-1806+693-10639</f>
        <v>708248</v>
      </c>
      <c r="I64" s="724">
        <f>720000-1806+693-10639+3639</f>
        <v>711887</v>
      </c>
      <c r="J64" s="519">
        <f>720000-1806+693-10639+3639</f>
        <v>711887</v>
      </c>
      <c r="K64" s="724">
        <f>720000-1806+693-10639+3639+22802</f>
        <v>734689</v>
      </c>
      <c r="L64" s="519">
        <f>720000-1806+693-10639+3639+22802</f>
        <v>734689</v>
      </c>
      <c r="M64" s="519">
        <f>720000-1806+693-10639+3639+22802</f>
        <v>734689</v>
      </c>
      <c r="N64" s="519">
        <f>720000-1806+693-10639+3639+22802</f>
        <v>734689</v>
      </c>
      <c r="O64" s="519">
        <v>400265</v>
      </c>
      <c r="P64" s="728">
        <f t="shared" si="2"/>
        <v>0.54480875581368438</v>
      </c>
      <c r="Q64" s="27">
        <f>SUM(N41:N61)+N64</f>
        <v>1420290</v>
      </c>
      <c r="R64" s="27">
        <f>SUM(O41:O61)+O64</f>
        <v>792518</v>
      </c>
      <c r="S64" s="27"/>
    </row>
    <row r="65" spans="1:27" ht="21" customHeight="1" thickBot="1" x14ac:dyDescent="0.3">
      <c r="A65" s="85" t="s">
        <v>52</v>
      </c>
      <c r="B65" s="345"/>
      <c r="C65" s="358">
        <f t="shared" ref="C65:O65" si="24">SUM(C3+C11+C31+C33+C39)</f>
        <v>2952875</v>
      </c>
      <c r="D65" s="358">
        <f t="shared" si="24"/>
        <v>2952547</v>
      </c>
      <c r="E65" s="358">
        <f t="shared" si="24"/>
        <v>2969657</v>
      </c>
      <c r="F65" s="358">
        <f t="shared" si="24"/>
        <v>2962881</v>
      </c>
      <c r="G65" s="358">
        <f t="shared" si="24"/>
        <v>2962881</v>
      </c>
      <c r="H65" s="358">
        <f t="shared" si="24"/>
        <v>2962881</v>
      </c>
      <c r="I65" s="358">
        <f t="shared" si="24"/>
        <v>2974837</v>
      </c>
      <c r="J65" s="358">
        <f t="shared" si="24"/>
        <v>2975761</v>
      </c>
      <c r="K65" s="358">
        <f t="shared" si="24"/>
        <v>3073590</v>
      </c>
      <c r="L65" s="358">
        <f t="shared" si="24"/>
        <v>3075135</v>
      </c>
      <c r="M65" s="358">
        <f t="shared" si="24"/>
        <v>3075135</v>
      </c>
      <c r="N65" s="358">
        <f t="shared" si="24"/>
        <v>3079534</v>
      </c>
      <c r="O65" s="358">
        <f t="shared" si="24"/>
        <v>1544308</v>
      </c>
      <c r="P65" s="728">
        <f t="shared" si="2"/>
        <v>0.50147457375044402</v>
      </c>
      <c r="Q65" s="27">
        <f t="shared" ref="Q65:X65" si="25">D65-C65</f>
        <v>-328</v>
      </c>
      <c r="R65" s="27">
        <f t="shared" si="25"/>
        <v>17110</v>
      </c>
      <c r="S65" s="27">
        <f t="shared" si="25"/>
        <v>-6776</v>
      </c>
      <c r="T65" s="27">
        <f t="shared" si="25"/>
        <v>0</v>
      </c>
      <c r="U65" s="27">
        <f t="shared" si="25"/>
        <v>0</v>
      </c>
      <c r="V65" s="27">
        <f t="shared" si="25"/>
        <v>11956</v>
      </c>
      <c r="W65" s="27">
        <f t="shared" si="25"/>
        <v>924</v>
      </c>
      <c r="X65" s="27">
        <f t="shared" si="25"/>
        <v>97829</v>
      </c>
      <c r="Y65" s="27">
        <f t="shared" ref="Y65:AA65" si="26">L65-K65</f>
        <v>1545</v>
      </c>
      <c r="Z65" s="27">
        <f t="shared" si="26"/>
        <v>0</v>
      </c>
      <c r="AA65" s="27">
        <f t="shared" si="26"/>
        <v>4399</v>
      </c>
    </row>
    <row r="66" spans="1:27" x14ac:dyDescent="0.25">
      <c r="A66" s="87" t="s">
        <v>53</v>
      </c>
      <c r="B66" s="88" t="s">
        <v>54</v>
      </c>
      <c r="C66" s="89">
        <f>1500</f>
        <v>1500</v>
      </c>
      <c r="D66" s="89">
        <f>1500</f>
        <v>1500</v>
      </c>
      <c r="E66" s="89">
        <f>1500</f>
        <v>1500</v>
      </c>
      <c r="F66" s="89">
        <f>1500</f>
        <v>1500</v>
      </c>
      <c r="G66" s="89">
        <f>1500</f>
        <v>1500</v>
      </c>
      <c r="H66" s="89">
        <f>1500</f>
        <v>1500</v>
      </c>
      <c r="I66" s="89">
        <f>1500</f>
        <v>1500</v>
      </c>
      <c r="J66" s="89">
        <f>1500</f>
        <v>1500</v>
      </c>
      <c r="K66" s="89">
        <f>1500</f>
        <v>1500</v>
      </c>
      <c r="L66" s="89">
        <f>1500</f>
        <v>1500</v>
      </c>
      <c r="M66" s="89">
        <f>1500</f>
        <v>1500</v>
      </c>
      <c r="N66" s="89">
        <f>1500</f>
        <v>1500</v>
      </c>
      <c r="O66" s="89">
        <v>25</v>
      </c>
      <c r="P66" s="728">
        <f t="shared" si="2"/>
        <v>1.6666666666666666E-2</v>
      </c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thickBot="1" x14ac:dyDescent="0.3">
      <c r="A67" s="90" t="s">
        <v>53</v>
      </c>
      <c r="B67" s="88" t="s">
        <v>55</v>
      </c>
      <c r="C67" s="91">
        <v>3600</v>
      </c>
      <c r="D67" s="91">
        <v>3600</v>
      </c>
      <c r="E67" s="91">
        <v>3600</v>
      </c>
      <c r="F67" s="91">
        <v>3600</v>
      </c>
      <c r="G67" s="91">
        <v>3600</v>
      </c>
      <c r="H67" s="91">
        <v>3600</v>
      </c>
      <c r="I67" s="91">
        <v>3600</v>
      </c>
      <c r="J67" s="91">
        <v>3600</v>
      </c>
      <c r="K67" s="91">
        <v>3600</v>
      </c>
      <c r="L67" s="91">
        <v>3600</v>
      </c>
      <c r="M67" s="91">
        <v>3600</v>
      </c>
      <c r="N67" s="91">
        <v>3600</v>
      </c>
      <c r="O67" s="91">
        <v>2184</v>
      </c>
      <c r="P67" s="728">
        <f t="shared" si="2"/>
        <v>0.60666666666666669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9.899999999999999" customHeight="1" thickBot="1" x14ac:dyDescent="0.3">
      <c r="A68" s="894" t="s">
        <v>57</v>
      </c>
      <c r="B68" s="895"/>
      <c r="C68" s="95">
        <f t="shared" ref="C68:O68" si="27">SUM(C66:C67)</f>
        <v>5100</v>
      </c>
      <c r="D68" s="95">
        <f t="shared" si="27"/>
        <v>5100</v>
      </c>
      <c r="E68" s="95">
        <f t="shared" si="27"/>
        <v>5100</v>
      </c>
      <c r="F68" s="95">
        <f t="shared" si="27"/>
        <v>5100</v>
      </c>
      <c r="G68" s="95">
        <f t="shared" si="27"/>
        <v>5100</v>
      </c>
      <c r="H68" s="95">
        <f t="shared" si="27"/>
        <v>5100</v>
      </c>
      <c r="I68" s="95">
        <f t="shared" ref="I68:L68" si="28">SUM(I66:I67)</f>
        <v>5100</v>
      </c>
      <c r="J68" s="95">
        <f t="shared" si="28"/>
        <v>5100</v>
      </c>
      <c r="K68" s="95">
        <f t="shared" si="28"/>
        <v>5100</v>
      </c>
      <c r="L68" s="95">
        <f t="shared" si="28"/>
        <v>5100</v>
      </c>
      <c r="M68" s="95">
        <f t="shared" ref="M68:N68" si="29">SUM(M66:M67)</f>
        <v>5100</v>
      </c>
      <c r="N68" s="95">
        <f t="shared" si="29"/>
        <v>5100</v>
      </c>
      <c r="O68" s="95">
        <f t="shared" si="27"/>
        <v>2209</v>
      </c>
      <c r="P68" s="728">
        <f t="shared" ref="P68:P131" si="30">O68/N68</f>
        <v>0.43313725490196081</v>
      </c>
      <c r="Q68" s="27">
        <f t="shared" ref="Q68:X68" si="31">D68-C68</f>
        <v>0</v>
      </c>
      <c r="R68" s="27">
        <f t="shared" si="31"/>
        <v>0</v>
      </c>
      <c r="S68" s="27">
        <f t="shared" si="31"/>
        <v>0</v>
      </c>
      <c r="T68" s="27">
        <f t="shared" si="31"/>
        <v>0</v>
      </c>
      <c r="U68" s="27">
        <f t="shared" si="31"/>
        <v>0</v>
      </c>
      <c r="V68" s="27">
        <f t="shared" si="31"/>
        <v>0</v>
      </c>
      <c r="W68" s="27">
        <f t="shared" si="31"/>
        <v>0</v>
      </c>
      <c r="X68" s="27">
        <f t="shared" si="31"/>
        <v>0</v>
      </c>
      <c r="Y68" s="27">
        <f t="shared" ref="Y68:AA68" si="32">L68-K68</f>
        <v>0</v>
      </c>
      <c r="Z68" s="27">
        <f t="shared" si="32"/>
        <v>0</v>
      </c>
      <c r="AA68" s="27">
        <f t="shared" si="32"/>
        <v>0</v>
      </c>
    </row>
    <row r="69" spans="1:27" ht="16.5" thickBot="1" x14ac:dyDescent="0.3">
      <c r="A69" s="96" t="s">
        <v>53</v>
      </c>
      <c r="B69" s="97" t="s">
        <v>58</v>
      </c>
      <c r="C69" s="418">
        <v>13600</v>
      </c>
      <c r="D69" s="418">
        <v>13600</v>
      </c>
      <c r="E69" s="418">
        <v>13600</v>
      </c>
      <c r="F69" s="418">
        <v>13600</v>
      </c>
      <c r="G69" s="418">
        <v>13600</v>
      </c>
      <c r="H69" s="418">
        <v>13600</v>
      </c>
      <c r="I69" s="418">
        <v>13600</v>
      </c>
      <c r="J69" s="418">
        <v>13600</v>
      </c>
      <c r="K69" s="418">
        <v>13600</v>
      </c>
      <c r="L69" s="418">
        <v>13600</v>
      </c>
      <c r="M69" s="418">
        <v>13600</v>
      </c>
      <c r="N69" s="418">
        <v>13600</v>
      </c>
      <c r="O69" s="418">
        <v>6775</v>
      </c>
      <c r="P69" s="728">
        <f t="shared" si="30"/>
        <v>0.49816176470588236</v>
      </c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</row>
    <row r="70" spans="1:27" ht="21" customHeight="1" thickBot="1" x14ac:dyDescent="0.3">
      <c r="A70" s="894" t="s">
        <v>217</v>
      </c>
      <c r="B70" s="895"/>
      <c r="C70" s="414">
        <f t="shared" ref="C70:O70" si="33">SUM(C69:C69)</f>
        <v>13600</v>
      </c>
      <c r="D70" s="414">
        <f t="shared" si="33"/>
        <v>13600</v>
      </c>
      <c r="E70" s="414">
        <f t="shared" si="33"/>
        <v>13600</v>
      </c>
      <c r="F70" s="414">
        <f t="shared" si="33"/>
        <v>13600</v>
      </c>
      <c r="G70" s="414">
        <f t="shared" si="33"/>
        <v>13600</v>
      </c>
      <c r="H70" s="414">
        <f t="shared" si="33"/>
        <v>13600</v>
      </c>
      <c r="I70" s="414">
        <f t="shared" si="33"/>
        <v>13600</v>
      </c>
      <c r="J70" s="414">
        <f t="shared" si="33"/>
        <v>13600</v>
      </c>
      <c r="K70" s="414">
        <f t="shared" si="33"/>
        <v>13600</v>
      </c>
      <c r="L70" s="414">
        <f t="shared" si="33"/>
        <v>13600</v>
      </c>
      <c r="M70" s="414">
        <f t="shared" ref="M70:N70" si="34">SUM(M69:M69)</f>
        <v>13600</v>
      </c>
      <c r="N70" s="414">
        <f t="shared" si="34"/>
        <v>13600</v>
      </c>
      <c r="O70" s="414">
        <f t="shared" si="33"/>
        <v>6775</v>
      </c>
      <c r="P70" s="728">
        <f t="shared" si="30"/>
        <v>0.49816176470588236</v>
      </c>
      <c r="Q70" s="27">
        <f t="shared" ref="Q70:X72" si="35">D70-C70</f>
        <v>0</v>
      </c>
      <c r="R70" s="27">
        <f t="shared" si="35"/>
        <v>0</v>
      </c>
      <c r="S70" s="27">
        <f t="shared" si="35"/>
        <v>0</v>
      </c>
      <c r="T70" s="27">
        <f t="shared" si="35"/>
        <v>0</v>
      </c>
      <c r="U70" s="27">
        <f t="shared" si="35"/>
        <v>0</v>
      </c>
      <c r="V70" s="27">
        <f t="shared" si="35"/>
        <v>0</v>
      </c>
      <c r="W70" s="27">
        <f t="shared" si="35"/>
        <v>0</v>
      </c>
      <c r="X70" s="27">
        <f t="shared" si="35"/>
        <v>0</v>
      </c>
      <c r="Y70" s="27">
        <f t="shared" ref="Y70:AA72" si="36">L70-K70</f>
        <v>0</v>
      </c>
      <c r="Z70" s="27">
        <f t="shared" si="36"/>
        <v>0</v>
      </c>
      <c r="AA70" s="27">
        <f t="shared" si="36"/>
        <v>0</v>
      </c>
    </row>
    <row r="71" spans="1:27" ht="19.5" customHeight="1" thickBot="1" x14ac:dyDescent="0.3">
      <c r="A71" s="896" t="s">
        <v>59</v>
      </c>
      <c r="B71" s="897"/>
      <c r="C71" s="99">
        <f t="shared" ref="C71:O71" si="37">C68+C70</f>
        <v>18700</v>
      </c>
      <c r="D71" s="99">
        <f t="shared" si="37"/>
        <v>18700</v>
      </c>
      <c r="E71" s="99">
        <f t="shared" si="37"/>
        <v>18700</v>
      </c>
      <c r="F71" s="99">
        <f t="shared" si="37"/>
        <v>18700</v>
      </c>
      <c r="G71" s="99">
        <f t="shared" si="37"/>
        <v>18700</v>
      </c>
      <c r="H71" s="99">
        <f t="shared" si="37"/>
        <v>18700</v>
      </c>
      <c r="I71" s="99">
        <f t="shared" si="37"/>
        <v>18700</v>
      </c>
      <c r="J71" s="99">
        <f t="shared" si="37"/>
        <v>18700</v>
      </c>
      <c r="K71" s="99">
        <f t="shared" si="37"/>
        <v>18700</v>
      </c>
      <c r="L71" s="99">
        <f t="shared" si="37"/>
        <v>18700</v>
      </c>
      <c r="M71" s="99">
        <f t="shared" ref="M71:N71" si="38">M68+M70</f>
        <v>18700</v>
      </c>
      <c r="N71" s="99">
        <f t="shared" si="38"/>
        <v>18700</v>
      </c>
      <c r="O71" s="99">
        <f t="shared" si="37"/>
        <v>8984</v>
      </c>
      <c r="P71" s="728">
        <f t="shared" si="30"/>
        <v>0.480427807486631</v>
      </c>
      <c r="Q71" s="27">
        <f t="shared" si="35"/>
        <v>0</v>
      </c>
      <c r="R71" s="27">
        <f t="shared" si="35"/>
        <v>0</v>
      </c>
      <c r="S71" s="27">
        <f t="shared" si="35"/>
        <v>0</v>
      </c>
      <c r="T71" s="27">
        <f t="shared" si="35"/>
        <v>0</v>
      </c>
      <c r="U71" s="27">
        <f t="shared" si="35"/>
        <v>0</v>
      </c>
      <c r="V71" s="27">
        <f t="shared" si="35"/>
        <v>0</v>
      </c>
      <c r="W71" s="27">
        <f t="shared" si="35"/>
        <v>0</v>
      </c>
      <c r="X71" s="27">
        <f t="shared" si="35"/>
        <v>0</v>
      </c>
      <c r="Y71" s="27">
        <f t="shared" si="36"/>
        <v>0</v>
      </c>
      <c r="Z71" s="27">
        <f t="shared" si="36"/>
        <v>0</v>
      </c>
      <c r="AA71" s="27">
        <f t="shared" si="36"/>
        <v>0</v>
      </c>
    </row>
    <row r="72" spans="1:27" ht="30.75" customHeight="1" thickBot="1" x14ac:dyDescent="0.3">
      <c r="A72" s="85" t="s">
        <v>60</v>
      </c>
      <c r="B72" s="66"/>
      <c r="C72" s="86">
        <f t="shared" ref="C72:O72" si="39">C65+C71</f>
        <v>2971575</v>
      </c>
      <c r="D72" s="86">
        <f t="shared" si="39"/>
        <v>2971247</v>
      </c>
      <c r="E72" s="86">
        <f t="shared" si="39"/>
        <v>2988357</v>
      </c>
      <c r="F72" s="86">
        <f t="shared" si="39"/>
        <v>2981581</v>
      </c>
      <c r="G72" s="86">
        <f t="shared" si="39"/>
        <v>2981581</v>
      </c>
      <c r="H72" s="86">
        <f t="shared" si="39"/>
        <v>2981581</v>
      </c>
      <c r="I72" s="86">
        <f t="shared" si="39"/>
        <v>2993537</v>
      </c>
      <c r="J72" s="86">
        <f t="shared" si="39"/>
        <v>2994461</v>
      </c>
      <c r="K72" s="86">
        <f t="shared" si="39"/>
        <v>3092290</v>
      </c>
      <c r="L72" s="86">
        <f t="shared" si="39"/>
        <v>3093835</v>
      </c>
      <c r="M72" s="86">
        <f t="shared" ref="M72:N72" si="40">M65+M71</f>
        <v>3093835</v>
      </c>
      <c r="N72" s="86">
        <f t="shared" si="40"/>
        <v>3098234</v>
      </c>
      <c r="O72" s="86">
        <f t="shared" si="39"/>
        <v>1553292</v>
      </c>
      <c r="P72" s="728">
        <f t="shared" si="30"/>
        <v>0.50134754185771635</v>
      </c>
      <c r="Q72" s="27">
        <f t="shared" si="35"/>
        <v>-328</v>
      </c>
      <c r="R72" s="27">
        <f t="shared" si="35"/>
        <v>17110</v>
      </c>
      <c r="S72" s="27">
        <f t="shared" si="35"/>
        <v>-6776</v>
      </c>
      <c r="T72" s="27">
        <f t="shared" si="35"/>
        <v>0</v>
      </c>
      <c r="U72" s="27">
        <f t="shared" si="35"/>
        <v>0</v>
      </c>
      <c r="V72" s="27">
        <f t="shared" si="35"/>
        <v>11956</v>
      </c>
      <c r="W72" s="27">
        <f t="shared" si="35"/>
        <v>924</v>
      </c>
      <c r="X72" s="27">
        <f t="shared" si="35"/>
        <v>97829</v>
      </c>
      <c r="Y72" s="27">
        <f t="shared" si="36"/>
        <v>1545</v>
      </c>
      <c r="Z72" s="27">
        <f t="shared" si="36"/>
        <v>0</v>
      </c>
      <c r="AA72" s="27">
        <f t="shared" si="36"/>
        <v>4399</v>
      </c>
    </row>
    <row r="73" spans="1:27" x14ac:dyDescent="0.25">
      <c r="A73" s="1"/>
      <c r="B73" s="1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728"/>
      <c r="Q73" s="1"/>
    </row>
    <row r="74" spans="1:27" ht="15.75" x14ac:dyDescent="0.25">
      <c r="A74" s="101"/>
      <c r="B74" s="102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728"/>
      <c r="Q74" s="1"/>
    </row>
    <row r="75" spans="1:27" ht="18.75" thickBot="1" x14ac:dyDescent="0.3">
      <c r="A75" s="898" t="s">
        <v>61</v>
      </c>
      <c r="B75" s="899"/>
      <c r="C75" s="899"/>
      <c r="D75" s="899"/>
      <c r="E75" s="899"/>
      <c r="F75" s="899"/>
      <c r="G75" s="899"/>
      <c r="H75" s="899"/>
      <c r="I75" s="899"/>
      <c r="J75" s="899"/>
      <c r="K75" s="899"/>
      <c r="L75" s="899"/>
      <c r="M75" s="899"/>
      <c r="N75" s="899"/>
      <c r="O75" s="899"/>
      <c r="P75" s="728"/>
      <c r="Q75" s="1"/>
    </row>
    <row r="76" spans="1:27" ht="36" customHeight="1" thickBot="1" x14ac:dyDescent="0.3">
      <c r="A76" s="876" t="s">
        <v>1</v>
      </c>
      <c r="B76" s="900"/>
      <c r="C76" s="387" t="s">
        <v>467</v>
      </c>
      <c r="D76" s="387" t="s">
        <v>465</v>
      </c>
      <c r="E76" s="387" t="s">
        <v>483</v>
      </c>
      <c r="F76" s="387" t="s">
        <v>500</v>
      </c>
      <c r="G76" s="387" t="s">
        <v>533</v>
      </c>
      <c r="H76" s="387" t="s">
        <v>578</v>
      </c>
      <c r="I76" s="387" t="s">
        <v>610</v>
      </c>
      <c r="J76" s="387" t="s">
        <v>579</v>
      </c>
      <c r="K76" s="387" t="s">
        <v>646</v>
      </c>
      <c r="L76" s="387" t="s">
        <v>637</v>
      </c>
      <c r="M76" s="387" t="s">
        <v>670</v>
      </c>
      <c r="N76" s="387" t="s">
        <v>680</v>
      </c>
      <c r="O76" s="387" t="s">
        <v>722</v>
      </c>
      <c r="P76" s="728"/>
      <c r="Q76" s="1"/>
    </row>
    <row r="77" spans="1:27" ht="15.75" thickBot="1" x14ac:dyDescent="0.3">
      <c r="A77" s="104" t="s">
        <v>62</v>
      </c>
      <c r="B77" s="105"/>
      <c r="C77" s="108">
        <f t="shared" ref="C77:O77" si="41">SUM(C78:C82)</f>
        <v>317110</v>
      </c>
      <c r="D77" s="108">
        <f t="shared" si="41"/>
        <v>317090</v>
      </c>
      <c r="E77" s="108">
        <f t="shared" si="41"/>
        <v>317090</v>
      </c>
      <c r="F77" s="108">
        <f t="shared" si="41"/>
        <v>317090</v>
      </c>
      <c r="G77" s="108">
        <f t="shared" si="41"/>
        <v>317090</v>
      </c>
      <c r="H77" s="108">
        <f t="shared" si="41"/>
        <v>317090</v>
      </c>
      <c r="I77" s="108">
        <f t="shared" si="41"/>
        <v>317090</v>
      </c>
      <c r="J77" s="108">
        <f t="shared" si="41"/>
        <v>317090</v>
      </c>
      <c r="K77" s="108">
        <f t="shared" si="41"/>
        <v>367915</v>
      </c>
      <c r="L77" s="108">
        <f t="shared" si="41"/>
        <v>367915</v>
      </c>
      <c r="M77" s="108">
        <f t="shared" ref="M77:N77" si="42">SUM(M78:M82)</f>
        <v>367915</v>
      </c>
      <c r="N77" s="108">
        <f t="shared" si="42"/>
        <v>367974</v>
      </c>
      <c r="O77" s="108">
        <f t="shared" si="41"/>
        <v>177353</v>
      </c>
      <c r="P77" s="728">
        <f t="shared" si="30"/>
        <v>0.48197155233793693</v>
      </c>
      <c r="Q77" s="1"/>
    </row>
    <row r="78" spans="1:27" x14ac:dyDescent="0.25">
      <c r="A78" s="109" t="s">
        <v>63</v>
      </c>
      <c r="B78" s="84" t="s">
        <v>64</v>
      </c>
      <c r="C78" s="56">
        <v>155310</v>
      </c>
      <c r="D78" s="56">
        <v>155310</v>
      </c>
      <c r="E78" s="56">
        <v>155310</v>
      </c>
      <c r="F78" s="56">
        <v>155310</v>
      </c>
      <c r="G78" s="56">
        <v>155310</v>
      </c>
      <c r="H78" s="56">
        <v>155310</v>
      </c>
      <c r="I78" s="56">
        <v>155310</v>
      </c>
      <c r="J78" s="56">
        <v>155310</v>
      </c>
      <c r="K78" s="705">
        <f>155310+50605</f>
        <v>205915</v>
      </c>
      <c r="L78" s="56">
        <f>155310+50605</f>
        <v>205915</v>
      </c>
      <c r="M78" s="56">
        <f>155310+50605</f>
        <v>205915</v>
      </c>
      <c r="N78" s="705">
        <f>155310+50605+59</f>
        <v>205974</v>
      </c>
      <c r="O78" s="56">
        <v>99485</v>
      </c>
      <c r="P78" s="728">
        <f t="shared" si="30"/>
        <v>0.48299785409809004</v>
      </c>
      <c r="Q78" s="1"/>
    </row>
    <row r="79" spans="1:27" x14ac:dyDescent="0.25">
      <c r="A79" s="113" t="s">
        <v>65</v>
      </c>
      <c r="B79" s="114" t="s">
        <v>66</v>
      </c>
      <c r="C79" s="61">
        <v>91700</v>
      </c>
      <c r="D79" s="61">
        <v>91700</v>
      </c>
      <c r="E79" s="61">
        <v>91700</v>
      </c>
      <c r="F79" s="61">
        <v>91700</v>
      </c>
      <c r="G79" s="61">
        <v>91700</v>
      </c>
      <c r="H79" s="61">
        <v>91700</v>
      </c>
      <c r="I79" s="61">
        <v>91700</v>
      </c>
      <c r="J79" s="61">
        <v>91700</v>
      </c>
      <c r="K79" s="61">
        <v>91700</v>
      </c>
      <c r="L79" s="61">
        <v>91700</v>
      </c>
      <c r="M79" s="61">
        <v>91700</v>
      </c>
      <c r="N79" s="61">
        <v>91700</v>
      </c>
      <c r="O79" s="61">
        <v>50933</v>
      </c>
      <c r="P79" s="728">
        <f t="shared" si="30"/>
        <v>0.55543075245365325</v>
      </c>
      <c r="Q79" s="1"/>
    </row>
    <row r="80" spans="1:27" x14ac:dyDescent="0.25">
      <c r="A80" s="113" t="s">
        <v>67</v>
      </c>
      <c r="B80" s="114" t="s">
        <v>68</v>
      </c>
      <c r="C80" s="61">
        <v>5200</v>
      </c>
      <c r="D80" s="61">
        <v>5200</v>
      </c>
      <c r="E80" s="61">
        <v>5200</v>
      </c>
      <c r="F80" s="61">
        <v>5200</v>
      </c>
      <c r="G80" s="61">
        <v>5200</v>
      </c>
      <c r="H80" s="61">
        <v>5200</v>
      </c>
      <c r="I80" s="61">
        <v>5200</v>
      </c>
      <c r="J80" s="61">
        <v>5200</v>
      </c>
      <c r="K80" s="61">
        <v>5200</v>
      </c>
      <c r="L80" s="61">
        <v>5200</v>
      </c>
      <c r="M80" s="61">
        <v>5200</v>
      </c>
      <c r="N80" s="61">
        <v>5200</v>
      </c>
      <c r="O80" s="61">
        <v>843</v>
      </c>
      <c r="P80" s="728">
        <f t="shared" si="30"/>
        <v>0.16211538461538461</v>
      </c>
      <c r="Q80" s="1"/>
    </row>
    <row r="81" spans="1:17" x14ac:dyDescent="0.25">
      <c r="A81" s="117" t="s">
        <v>69</v>
      </c>
      <c r="B81" s="114" t="s">
        <v>70</v>
      </c>
      <c r="C81" s="61">
        <v>64900</v>
      </c>
      <c r="D81" s="695">
        <f t="shared" ref="D81:J81" si="43">64900-10-10</f>
        <v>64880</v>
      </c>
      <c r="E81" s="61">
        <f t="shared" si="43"/>
        <v>64880</v>
      </c>
      <c r="F81" s="61">
        <f t="shared" si="43"/>
        <v>64880</v>
      </c>
      <c r="G81" s="61">
        <f t="shared" si="43"/>
        <v>64880</v>
      </c>
      <c r="H81" s="61">
        <f t="shared" si="43"/>
        <v>64880</v>
      </c>
      <c r="I81" s="61">
        <f t="shared" si="43"/>
        <v>64880</v>
      </c>
      <c r="J81" s="61">
        <f t="shared" si="43"/>
        <v>64880</v>
      </c>
      <c r="K81" s="695">
        <f>64900-10-10+220</f>
        <v>65100</v>
      </c>
      <c r="L81" s="61">
        <f>64900-10-10+220</f>
        <v>65100</v>
      </c>
      <c r="M81" s="61">
        <f>64900-10-10+220</f>
        <v>65100</v>
      </c>
      <c r="N81" s="61">
        <f>64900-10-10+220</f>
        <v>65100</v>
      </c>
      <c r="O81" s="61">
        <v>26092</v>
      </c>
      <c r="P81" s="728">
        <f t="shared" si="30"/>
        <v>0.40079877112135176</v>
      </c>
      <c r="Q81" s="1"/>
    </row>
    <row r="82" spans="1:17" ht="15.75" thickBot="1" x14ac:dyDescent="0.3">
      <c r="A82" s="119" t="s">
        <v>71</v>
      </c>
      <c r="B82" s="120" t="s">
        <v>196</v>
      </c>
      <c r="C82" s="124">
        <v>0</v>
      </c>
      <c r="D82" s="124">
        <v>0</v>
      </c>
      <c r="E82" s="124">
        <v>0</v>
      </c>
      <c r="F82" s="124">
        <v>0</v>
      </c>
      <c r="G82" s="124">
        <v>0</v>
      </c>
      <c r="H82" s="124">
        <v>0</v>
      </c>
      <c r="I82" s="124">
        <v>0</v>
      </c>
      <c r="J82" s="124">
        <v>0</v>
      </c>
      <c r="K82" s="124">
        <v>0</v>
      </c>
      <c r="L82" s="124">
        <v>0</v>
      </c>
      <c r="M82" s="124">
        <v>0</v>
      </c>
      <c r="N82" s="124">
        <v>0</v>
      </c>
      <c r="O82" s="124">
        <v>0</v>
      </c>
      <c r="P82" s="728">
        <v>0</v>
      </c>
      <c r="Q82" s="1"/>
    </row>
    <row r="83" spans="1:17" ht="15.75" thickBot="1" x14ac:dyDescent="0.3">
      <c r="A83" s="125" t="s">
        <v>72</v>
      </c>
      <c r="B83" s="126"/>
      <c r="C83" s="108">
        <f t="shared" ref="C83:O83" si="44">SUM(C84)</f>
        <v>2670</v>
      </c>
      <c r="D83" s="108">
        <f t="shared" si="44"/>
        <v>2685</v>
      </c>
      <c r="E83" s="108">
        <f t="shared" si="44"/>
        <v>2685</v>
      </c>
      <c r="F83" s="108">
        <f t="shared" si="44"/>
        <v>2685</v>
      </c>
      <c r="G83" s="108">
        <f t="shared" si="44"/>
        <v>2685</v>
      </c>
      <c r="H83" s="108">
        <f t="shared" si="44"/>
        <v>2685</v>
      </c>
      <c r="I83" s="108">
        <f t="shared" si="44"/>
        <v>2685</v>
      </c>
      <c r="J83" s="108">
        <f t="shared" si="44"/>
        <v>2685</v>
      </c>
      <c r="K83" s="108">
        <f t="shared" si="44"/>
        <v>2685</v>
      </c>
      <c r="L83" s="108">
        <f t="shared" si="44"/>
        <v>2685</v>
      </c>
      <c r="M83" s="108">
        <f t="shared" si="44"/>
        <v>2685</v>
      </c>
      <c r="N83" s="108">
        <f t="shared" si="44"/>
        <v>2685</v>
      </c>
      <c r="O83" s="108">
        <f t="shared" si="44"/>
        <v>338</v>
      </c>
      <c r="P83" s="728">
        <f t="shared" si="30"/>
        <v>0.12588454376163874</v>
      </c>
      <c r="Q83" s="1"/>
    </row>
    <row r="84" spans="1:17" ht="15.75" thickBot="1" x14ac:dyDescent="0.3">
      <c r="A84" s="127" t="s">
        <v>73</v>
      </c>
      <c r="B84" s="102" t="s">
        <v>219</v>
      </c>
      <c r="C84" s="130">
        <v>2670</v>
      </c>
      <c r="D84" s="713">
        <f t="shared" ref="D84:N84" si="45">2670+15</f>
        <v>2685</v>
      </c>
      <c r="E84" s="130">
        <f t="shared" si="45"/>
        <v>2685</v>
      </c>
      <c r="F84" s="130">
        <f t="shared" si="45"/>
        <v>2685</v>
      </c>
      <c r="G84" s="130">
        <f t="shared" si="45"/>
        <v>2685</v>
      </c>
      <c r="H84" s="130">
        <f t="shared" si="45"/>
        <v>2685</v>
      </c>
      <c r="I84" s="130">
        <f t="shared" si="45"/>
        <v>2685</v>
      </c>
      <c r="J84" s="130">
        <f t="shared" si="45"/>
        <v>2685</v>
      </c>
      <c r="K84" s="130">
        <f t="shared" si="45"/>
        <v>2685</v>
      </c>
      <c r="L84" s="130">
        <f t="shared" si="45"/>
        <v>2685</v>
      </c>
      <c r="M84" s="130">
        <f t="shared" si="45"/>
        <v>2685</v>
      </c>
      <c r="N84" s="130">
        <f t="shared" si="45"/>
        <v>2685</v>
      </c>
      <c r="O84" s="130">
        <v>338</v>
      </c>
      <c r="P84" s="728">
        <f t="shared" si="30"/>
        <v>0.12588454376163874</v>
      </c>
      <c r="Q84" s="1"/>
    </row>
    <row r="85" spans="1:17" ht="15.75" thickBot="1" x14ac:dyDescent="0.3">
      <c r="A85" s="125" t="s">
        <v>74</v>
      </c>
      <c r="B85" s="126"/>
      <c r="C85" s="108">
        <f t="shared" ref="C85:O85" si="46">SUM(C86:C87)</f>
        <v>96625</v>
      </c>
      <c r="D85" s="108">
        <f t="shared" si="46"/>
        <v>97008</v>
      </c>
      <c r="E85" s="108">
        <f t="shared" si="46"/>
        <v>94508</v>
      </c>
      <c r="F85" s="108">
        <f t="shared" si="46"/>
        <v>94508</v>
      </c>
      <c r="G85" s="108">
        <f t="shared" si="46"/>
        <v>94508</v>
      </c>
      <c r="H85" s="108">
        <f t="shared" si="46"/>
        <v>94508</v>
      </c>
      <c r="I85" s="108">
        <f t="shared" si="46"/>
        <v>94508</v>
      </c>
      <c r="J85" s="108">
        <f t="shared" si="46"/>
        <v>94508</v>
      </c>
      <c r="K85" s="108">
        <f t="shared" si="46"/>
        <v>94508</v>
      </c>
      <c r="L85" s="108">
        <f t="shared" si="46"/>
        <v>94508</v>
      </c>
      <c r="M85" s="108">
        <f t="shared" ref="M85:N85" si="47">SUM(M86:M87)</f>
        <v>94508</v>
      </c>
      <c r="N85" s="108">
        <f t="shared" si="47"/>
        <v>94508</v>
      </c>
      <c r="O85" s="108">
        <f t="shared" si="46"/>
        <v>34423</v>
      </c>
      <c r="P85" s="728">
        <f t="shared" si="30"/>
        <v>0.36423371566428236</v>
      </c>
      <c r="Q85" s="1"/>
    </row>
    <row r="86" spans="1:17" x14ac:dyDescent="0.25">
      <c r="A86" s="131" t="s">
        <v>75</v>
      </c>
      <c r="B86" s="132" t="s">
        <v>76</v>
      </c>
      <c r="C86" s="135">
        <v>17600</v>
      </c>
      <c r="D86" s="135">
        <v>17600</v>
      </c>
      <c r="E86" s="759">
        <f t="shared" ref="E86:N86" si="48">17600-2500</f>
        <v>15100</v>
      </c>
      <c r="F86" s="135">
        <f t="shared" si="48"/>
        <v>15100</v>
      </c>
      <c r="G86" s="135">
        <f t="shared" si="48"/>
        <v>15100</v>
      </c>
      <c r="H86" s="135">
        <f t="shared" si="48"/>
        <v>15100</v>
      </c>
      <c r="I86" s="135">
        <f t="shared" si="48"/>
        <v>15100</v>
      </c>
      <c r="J86" s="135">
        <f t="shared" si="48"/>
        <v>15100</v>
      </c>
      <c r="K86" s="135">
        <f t="shared" si="48"/>
        <v>15100</v>
      </c>
      <c r="L86" s="135">
        <f t="shared" si="48"/>
        <v>15100</v>
      </c>
      <c r="M86" s="135">
        <f t="shared" si="48"/>
        <v>15100</v>
      </c>
      <c r="N86" s="135">
        <f t="shared" si="48"/>
        <v>15100</v>
      </c>
      <c r="O86" s="135">
        <v>2046</v>
      </c>
      <c r="P86" s="728">
        <f t="shared" si="30"/>
        <v>0.13549668874172185</v>
      </c>
      <c r="Q86" s="1"/>
    </row>
    <row r="87" spans="1:17" ht="15.75" thickBot="1" x14ac:dyDescent="0.3">
      <c r="A87" s="136" t="s">
        <v>77</v>
      </c>
      <c r="B87" s="137" t="s">
        <v>78</v>
      </c>
      <c r="C87" s="124">
        <v>79025</v>
      </c>
      <c r="D87" s="714">
        <f t="shared" ref="D87:N87" si="49">79025+383</f>
        <v>79408</v>
      </c>
      <c r="E87" s="124">
        <f t="shared" si="49"/>
        <v>79408</v>
      </c>
      <c r="F87" s="124">
        <f t="shared" si="49"/>
        <v>79408</v>
      </c>
      <c r="G87" s="124">
        <f t="shared" si="49"/>
        <v>79408</v>
      </c>
      <c r="H87" s="124">
        <f t="shared" si="49"/>
        <v>79408</v>
      </c>
      <c r="I87" s="124">
        <f t="shared" si="49"/>
        <v>79408</v>
      </c>
      <c r="J87" s="124">
        <f t="shared" si="49"/>
        <v>79408</v>
      </c>
      <c r="K87" s="124">
        <f t="shared" si="49"/>
        <v>79408</v>
      </c>
      <c r="L87" s="124">
        <f t="shared" si="49"/>
        <v>79408</v>
      </c>
      <c r="M87" s="124">
        <f t="shared" si="49"/>
        <v>79408</v>
      </c>
      <c r="N87" s="124">
        <f t="shared" si="49"/>
        <v>79408</v>
      </c>
      <c r="O87" s="124">
        <v>32377</v>
      </c>
      <c r="P87" s="728">
        <f t="shared" si="30"/>
        <v>0.40772969977835988</v>
      </c>
      <c r="Q87" s="1"/>
    </row>
    <row r="88" spans="1:17" ht="15.75" thickBot="1" x14ac:dyDescent="0.3">
      <c r="A88" s="104" t="s">
        <v>79</v>
      </c>
      <c r="B88" s="140"/>
      <c r="C88" s="108">
        <f t="shared" ref="C88:O88" si="50">SUM(C89:C91)</f>
        <v>122230</v>
      </c>
      <c r="D88" s="108">
        <f t="shared" si="50"/>
        <v>122300</v>
      </c>
      <c r="E88" s="108">
        <f t="shared" si="50"/>
        <v>122300</v>
      </c>
      <c r="F88" s="108">
        <f t="shared" si="50"/>
        <v>122300</v>
      </c>
      <c r="G88" s="108">
        <f t="shared" si="50"/>
        <v>117000</v>
      </c>
      <c r="H88" s="108">
        <f t="shared" si="50"/>
        <v>117000</v>
      </c>
      <c r="I88" s="108">
        <f t="shared" si="50"/>
        <v>117015</v>
      </c>
      <c r="J88" s="108">
        <f t="shared" si="50"/>
        <v>117015</v>
      </c>
      <c r="K88" s="108">
        <f t="shared" si="50"/>
        <v>117015</v>
      </c>
      <c r="L88" s="108">
        <f t="shared" si="50"/>
        <v>117015</v>
      </c>
      <c r="M88" s="108">
        <f t="shared" ref="M88:N88" si="51">SUM(M89:M91)</f>
        <v>115015</v>
      </c>
      <c r="N88" s="108">
        <f t="shared" si="51"/>
        <v>108070</v>
      </c>
      <c r="O88" s="108">
        <f t="shared" si="50"/>
        <v>51949</v>
      </c>
      <c r="P88" s="728">
        <f t="shared" si="30"/>
        <v>0.48069769593781808</v>
      </c>
      <c r="Q88" s="1"/>
    </row>
    <row r="89" spans="1:17" x14ac:dyDescent="0.25">
      <c r="A89" s="141" t="s">
        <v>80</v>
      </c>
      <c r="B89" s="142" t="s">
        <v>81</v>
      </c>
      <c r="C89" s="55">
        <v>44750</v>
      </c>
      <c r="D89" s="55">
        <v>44750</v>
      </c>
      <c r="E89" s="55">
        <v>44750</v>
      </c>
      <c r="F89" s="55">
        <v>44750</v>
      </c>
      <c r="G89" s="55">
        <v>44750</v>
      </c>
      <c r="H89" s="55">
        <v>44750</v>
      </c>
      <c r="I89" s="55">
        <v>44750</v>
      </c>
      <c r="J89" s="55">
        <v>44750</v>
      </c>
      <c r="K89" s="55">
        <v>44750</v>
      </c>
      <c r="L89" s="55">
        <v>44750</v>
      </c>
      <c r="M89" s="55">
        <v>44750</v>
      </c>
      <c r="N89" s="55">
        <v>44750</v>
      </c>
      <c r="O89" s="55">
        <v>29399</v>
      </c>
      <c r="P89" s="728">
        <f t="shared" si="30"/>
        <v>0.65696089385474865</v>
      </c>
      <c r="Q89" s="1"/>
    </row>
    <row r="90" spans="1:17" x14ac:dyDescent="0.25">
      <c r="A90" s="117" t="s">
        <v>82</v>
      </c>
      <c r="B90" s="114" t="s">
        <v>83</v>
      </c>
      <c r="C90" s="60">
        <v>39680</v>
      </c>
      <c r="D90" s="694">
        <f>39680+70</f>
        <v>39750</v>
      </c>
      <c r="E90" s="60">
        <f>39680+70</f>
        <v>39750</v>
      </c>
      <c r="F90" s="60">
        <f>39680+70</f>
        <v>39750</v>
      </c>
      <c r="G90" s="694">
        <f>39680+70-5300</f>
        <v>34450</v>
      </c>
      <c r="H90" s="60">
        <f>39680+70-5300</f>
        <v>34450</v>
      </c>
      <c r="I90" s="694">
        <f t="shared" ref="I90:M90" si="52">39680+70-5300+15</f>
        <v>34465</v>
      </c>
      <c r="J90" s="60">
        <f t="shared" si="52"/>
        <v>34465</v>
      </c>
      <c r="K90" s="60">
        <f t="shared" si="52"/>
        <v>34465</v>
      </c>
      <c r="L90" s="60">
        <f t="shared" si="52"/>
        <v>34465</v>
      </c>
      <c r="M90" s="60">
        <f t="shared" si="52"/>
        <v>34465</v>
      </c>
      <c r="N90" s="694">
        <f>39680+70-5300+15-6945</f>
        <v>27520</v>
      </c>
      <c r="O90" s="60">
        <v>10277</v>
      </c>
      <c r="P90" s="728">
        <f t="shared" si="30"/>
        <v>0.37343749999999998</v>
      </c>
      <c r="Q90" s="1"/>
    </row>
    <row r="91" spans="1:17" ht="15.75" thickBot="1" x14ac:dyDescent="0.3">
      <c r="A91" s="117" t="s">
        <v>84</v>
      </c>
      <c r="B91" s="114" t="s">
        <v>85</v>
      </c>
      <c r="C91" s="60">
        <v>37800</v>
      </c>
      <c r="D91" s="60">
        <v>37800</v>
      </c>
      <c r="E91" s="60">
        <v>37800</v>
      </c>
      <c r="F91" s="60">
        <v>37800</v>
      </c>
      <c r="G91" s="60">
        <v>37800</v>
      </c>
      <c r="H91" s="60">
        <v>37800</v>
      </c>
      <c r="I91" s="60">
        <v>37800</v>
      </c>
      <c r="J91" s="60">
        <v>37800</v>
      </c>
      <c r="K91" s="60">
        <v>37800</v>
      </c>
      <c r="L91" s="60">
        <v>37800</v>
      </c>
      <c r="M91" s="694">
        <f>37800-2000</f>
        <v>35800</v>
      </c>
      <c r="N91" s="60">
        <f>37800-2000</f>
        <v>35800</v>
      </c>
      <c r="O91" s="60">
        <v>12273</v>
      </c>
      <c r="P91" s="728">
        <f t="shared" si="30"/>
        <v>0.34282122905027934</v>
      </c>
      <c r="Q91" s="1"/>
    </row>
    <row r="92" spans="1:17" ht="15.75" thickBot="1" x14ac:dyDescent="0.3">
      <c r="A92" s="901" t="s">
        <v>86</v>
      </c>
      <c r="B92" s="902"/>
      <c r="C92" s="108">
        <f t="shared" ref="C92:O92" si="53">SUM(C93:C96)</f>
        <v>148830</v>
      </c>
      <c r="D92" s="108">
        <f t="shared" si="53"/>
        <v>148830</v>
      </c>
      <c r="E92" s="108">
        <f t="shared" si="53"/>
        <v>173440</v>
      </c>
      <c r="F92" s="108">
        <f t="shared" si="53"/>
        <v>173440</v>
      </c>
      <c r="G92" s="108">
        <f t="shared" si="53"/>
        <v>173440</v>
      </c>
      <c r="H92" s="108">
        <f t="shared" si="53"/>
        <v>173440</v>
      </c>
      <c r="I92" s="108">
        <f t="shared" si="53"/>
        <v>173440</v>
      </c>
      <c r="J92" s="108">
        <f t="shared" si="53"/>
        <v>173440</v>
      </c>
      <c r="K92" s="108">
        <f t="shared" si="53"/>
        <v>173820</v>
      </c>
      <c r="L92" s="108">
        <f t="shared" si="53"/>
        <v>173820</v>
      </c>
      <c r="M92" s="108">
        <f t="shared" ref="M92:N92" si="54">SUM(M93:M96)</f>
        <v>175820</v>
      </c>
      <c r="N92" s="108">
        <f t="shared" si="54"/>
        <v>175820</v>
      </c>
      <c r="O92" s="108">
        <f t="shared" si="53"/>
        <v>58950</v>
      </c>
      <c r="P92" s="728">
        <f t="shared" si="30"/>
        <v>0.33528608804459104</v>
      </c>
      <c r="Q92" s="1"/>
    </row>
    <row r="93" spans="1:17" x14ac:dyDescent="0.25">
      <c r="A93" s="149" t="s">
        <v>87</v>
      </c>
      <c r="B93" s="150" t="s">
        <v>88</v>
      </c>
      <c r="C93" s="135">
        <v>95830</v>
      </c>
      <c r="D93" s="135">
        <v>95830</v>
      </c>
      <c r="E93" s="135">
        <v>95830</v>
      </c>
      <c r="F93" s="135">
        <v>95830</v>
      </c>
      <c r="G93" s="135">
        <v>95830</v>
      </c>
      <c r="H93" s="135">
        <v>95830</v>
      </c>
      <c r="I93" s="135">
        <v>95830</v>
      </c>
      <c r="J93" s="135">
        <v>95830</v>
      </c>
      <c r="K93" s="759">
        <f>95830+380</f>
        <v>96210</v>
      </c>
      <c r="L93" s="135">
        <f>95830+380</f>
        <v>96210</v>
      </c>
      <c r="M93" s="759">
        <f>95830+380+2000</f>
        <v>98210</v>
      </c>
      <c r="N93" s="135">
        <f>95830+380+2000</f>
        <v>98210</v>
      </c>
      <c r="O93" s="135">
        <v>30286</v>
      </c>
      <c r="P93" s="728">
        <f t="shared" si="30"/>
        <v>0.30838000203645249</v>
      </c>
      <c r="Q93" s="1"/>
    </row>
    <row r="94" spans="1:17" x14ac:dyDescent="0.25">
      <c r="A94" s="117" t="s">
        <v>89</v>
      </c>
      <c r="B94" s="114" t="s">
        <v>90</v>
      </c>
      <c r="C94" s="148">
        <v>39000</v>
      </c>
      <c r="D94" s="148">
        <v>39000</v>
      </c>
      <c r="E94" s="757">
        <f t="shared" ref="E94:N94" si="55">39000-1575</f>
        <v>37425</v>
      </c>
      <c r="F94" s="148">
        <f t="shared" si="55"/>
        <v>37425</v>
      </c>
      <c r="G94" s="148">
        <f t="shared" si="55"/>
        <v>37425</v>
      </c>
      <c r="H94" s="148">
        <f t="shared" si="55"/>
        <v>37425</v>
      </c>
      <c r="I94" s="148">
        <f t="shared" si="55"/>
        <v>37425</v>
      </c>
      <c r="J94" s="148">
        <f t="shared" si="55"/>
        <v>37425</v>
      </c>
      <c r="K94" s="148">
        <f t="shared" si="55"/>
        <v>37425</v>
      </c>
      <c r="L94" s="148">
        <f t="shared" si="55"/>
        <v>37425</v>
      </c>
      <c r="M94" s="148">
        <f t="shared" si="55"/>
        <v>37425</v>
      </c>
      <c r="N94" s="148">
        <f t="shared" si="55"/>
        <v>37425</v>
      </c>
      <c r="O94" s="148">
        <v>17597</v>
      </c>
      <c r="P94" s="728">
        <f t="shared" si="30"/>
        <v>0.47019372077488308</v>
      </c>
      <c r="Q94" s="1"/>
    </row>
    <row r="95" spans="1:17" x14ac:dyDescent="0.25">
      <c r="A95" s="127" t="s">
        <v>91</v>
      </c>
      <c r="B95" s="155" t="s">
        <v>92</v>
      </c>
      <c r="C95" s="159">
        <v>2000</v>
      </c>
      <c r="D95" s="159">
        <v>2000</v>
      </c>
      <c r="E95" s="159">
        <v>2000</v>
      </c>
      <c r="F95" s="159">
        <v>2000</v>
      </c>
      <c r="G95" s="159">
        <v>2000</v>
      </c>
      <c r="H95" s="159">
        <v>2000</v>
      </c>
      <c r="I95" s="159">
        <v>2000</v>
      </c>
      <c r="J95" s="159">
        <v>2000</v>
      </c>
      <c r="K95" s="159">
        <v>2000</v>
      </c>
      <c r="L95" s="159">
        <v>2000</v>
      </c>
      <c r="M95" s="159">
        <v>2000</v>
      </c>
      <c r="N95" s="159">
        <v>2000</v>
      </c>
      <c r="O95" s="159">
        <v>0</v>
      </c>
      <c r="P95" s="728">
        <f t="shared" si="30"/>
        <v>0</v>
      </c>
      <c r="Q95" s="1"/>
    </row>
    <row r="96" spans="1:17" ht="15.75" thickBot="1" x14ac:dyDescent="0.3">
      <c r="A96" s="160" t="s">
        <v>93</v>
      </c>
      <c r="B96" s="161" t="s">
        <v>94</v>
      </c>
      <c r="C96" s="170">
        <v>12000</v>
      </c>
      <c r="D96" s="170">
        <v>12000</v>
      </c>
      <c r="E96" s="758">
        <f t="shared" ref="E96:N96" si="56">12000+26185</f>
        <v>38185</v>
      </c>
      <c r="F96" s="170">
        <f t="shared" si="56"/>
        <v>38185</v>
      </c>
      <c r="G96" s="170">
        <f t="shared" si="56"/>
        <v>38185</v>
      </c>
      <c r="H96" s="170">
        <f t="shared" si="56"/>
        <v>38185</v>
      </c>
      <c r="I96" s="170">
        <f t="shared" si="56"/>
        <v>38185</v>
      </c>
      <c r="J96" s="170">
        <f t="shared" si="56"/>
        <v>38185</v>
      </c>
      <c r="K96" s="170">
        <f t="shared" si="56"/>
        <v>38185</v>
      </c>
      <c r="L96" s="170">
        <f t="shared" si="56"/>
        <v>38185</v>
      </c>
      <c r="M96" s="170">
        <f t="shared" si="56"/>
        <v>38185</v>
      </c>
      <c r="N96" s="170">
        <f t="shared" si="56"/>
        <v>38185</v>
      </c>
      <c r="O96" s="164">
        <v>11067</v>
      </c>
      <c r="P96" s="728">
        <f t="shared" si="30"/>
        <v>0.28982584784601284</v>
      </c>
      <c r="Q96" s="1"/>
    </row>
    <row r="97" spans="1:19" ht="15.75" thickBot="1" x14ac:dyDescent="0.3">
      <c r="A97" s="104" t="s">
        <v>95</v>
      </c>
      <c r="B97" s="140"/>
      <c r="C97" s="106">
        <f t="shared" ref="C97:O97" si="57">SUM(C98:C101)</f>
        <v>222450</v>
      </c>
      <c r="D97" s="106">
        <f t="shared" si="57"/>
        <v>222450</v>
      </c>
      <c r="E97" s="106">
        <f t="shared" si="57"/>
        <v>208450</v>
      </c>
      <c r="F97" s="106">
        <f t="shared" si="57"/>
        <v>208450</v>
      </c>
      <c r="G97" s="106">
        <f t="shared" si="57"/>
        <v>208450</v>
      </c>
      <c r="H97" s="106">
        <f t="shared" si="57"/>
        <v>208450</v>
      </c>
      <c r="I97" s="106">
        <f t="shared" si="57"/>
        <v>208450</v>
      </c>
      <c r="J97" s="106">
        <f t="shared" si="57"/>
        <v>208450</v>
      </c>
      <c r="K97" s="106">
        <f t="shared" si="57"/>
        <v>208450</v>
      </c>
      <c r="L97" s="106">
        <f t="shared" si="57"/>
        <v>206795</v>
      </c>
      <c r="M97" s="106">
        <f t="shared" ref="M97:N97" si="58">SUM(M98:M101)</f>
        <v>207795</v>
      </c>
      <c r="N97" s="106">
        <f t="shared" si="58"/>
        <v>207795</v>
      </c>
      <c r="O97" s="106">
        <f t="shared" si="57"/>
        <v>73420</v>
      </c>
      <c r="P97" s="728">
        <f t="shared" si="30"/>
        <v>0.35332900214153373</v>
      </c>
      <c r="Q97" s="1"/>
    </row>
    <row r="98" spans="1:19" x14ac:dyDescent="0.25">
      <c r="A98" s="141" t="s">
        <v>96</v>
      </c>
      <c r="B98" s="84" t="s">
        <v>97</v>
      </c>
      <c r="C98" s="112">
        <v>168170</v>
      </c>
      <c r="D98" s="112">
        <v>168170</v>
      </c>
      <c r="E98" s="112">
        <v>168170</v>
      </c>
      <c r="F98" s="112">
        <v>168170</v>
      </c>
      <c r="G98" s="112">
        <v>168170</v>
      </c>
      <c r="H98" s="112">
        <v>168170</v>
      </c>
      <c r="I98" s="112">
        <v>168170</v>
      </c>
      <c r="J98" s="112">
        <v>168170</v>
      </c>
      <c r="K98" s="112">
        <v>168170</v>
      </c>
      <c r="L98" s="792">
        <f>168170-1655</f>
        <v>166515</v>
      </c>
      <c r="M98" s="112">
        <f>168170-1655</f>
        <v>166515</v>
      </c>
      <c r="N98" s="112">
        <f>168170-1655</f>
        <v>166515</v>
      </c>
      <c r="O98" s="112">
        <v>57608</v>
      </c>
      <c r="P98" s="728">
        <f t="shared" si="30"/>
        <v>0.34596282617181634</v>
      </c>
      <c r="Q98" s="1"/>
    </row>
    <row r="99" spans="1:19" x14ac:dyDescent="0.25">
      <c r="A99" s="141" t="s">
        <v>301</v>
      </c>
      <c r="B99" s="84" t="s">
        <v>321</v>
      </c>
      <c r="C99" s="112">
        <v>1580</v>
      </c>
      <c r="D99" s="112">
        <v>1580</v>
      </c>
      <c r="E99" s="112">
        <v>1580</v>
      </c>
      <c r="F99" s="112">
        <v>1580</v>
      </c>
      <c r="G99" s="112">
        <v>1580</v>
      </c>
      <c r="H99" s="112">
        <v>1580</v>
      </c>
      <c r="I99" s="112">
        <v>1580</v>
      </c>
      <c r="J99" s="112">
        <v>1580</v>
      </c>
      <c r="K99" s="112">
        <v>1580</v>
      </c>
      <c r="L99" s="112">
        <v>1580</v>
      </c>
      <c r="M99" s="112">
        <v>1580</v>
      </c>
      <c r="N99" s="112">
        <v>1580</v>
      </c>
      <c r="O99" s="112">
        <v>0</v>
      </c>
      <c r="P99" s="728">
        <f t="shared" si="30"/>
        <v>0</v>
      </c>
      <c r="Q99" s="1"/>
    </row>
    <row r="100" spans="1:19" x14ac:dyDescent="0.25">
      <c r="A100" s="166" t="s">
        <v>98</v>
      </c>
      <c r="B100" s="114" t="s">
        <v>99</v>
      </c>
      <c r="C100" s="148">
        <v>35700</v>
      </c>
      <c r="D100" s="148">
        <v>35700</v>
      </c>
      <c r="E100" s="757">
        <f t="shared" ref="E100:L100" si="59">35700-14000</f>
        <v>21700</v>
      </c>
      <c r="F100" s="148">
        <f t="shared" si="59"/>
        <v>21700</v>
      </c>
      <c r="G100" s="148">
        <f t="shared" si="59"/>
        <v>21700</v>
      </c>
      <c r="H100" s="148">
        <f t="shared" si="59"/>
        <v>21700</v>
      </c>
      <c r="I100" s="148">
        <f t="shared" si="59"/>
        <v>21700</v>
      </c>
      <c r="J100" s="148">
        <f t="shared" si="59"/>
        <v>21700</v>
      </c>
      <c r="K100" s="148">
        <f t="shared" si="59"/>
        <v>21700</v>
      </c>
      <c r="L100" s="148">
        <f t="shared" si="59"/>
        <v>21700</v>
      </c>
      <c r="M100" s="757">
        <f>35700-14000+1000</f>
        <v>22700</v>
      </c>
      <c r="N100" s="148">
        <f>35700-14000+1000</f>
        <v>22700</v>
      </c>
      <c r="O100" s="148">
        <v>9159</v>
      </c>
      <c r="P100" s="728">
        <f t="shared" si="30"/>
        <v>0.40348017621145377</v>
      </c>
      <c r="Q100" s="1"/>
    </row>
    <row r="101" spans="1:19" ht="15.75" thickBot="1" x14ac:dyDescent="0.3">
      <c r="A101" s="167" t="s">
        <v>100</v>
      </c>
      <c r="B101" s="161" t="s">
        <v>101</v>
      </c>
      <c r="C101" s="170">
        <v>17000</v>
      </c>
      <c r="D101" s="170">
        <v>17000</v>
      </c>
      <c r="E101" s="170">
        <v>17000</v>
      </c>
      <c r="F101" s="170">
        <v>17000</v>
      </c>
      <c r="G101" s="170">
        <v>17000</v>
      </c>
      <c r="H101" s="170">
        <v>17000</v>
      </c>
      <c r="I101" s="170">
        <v>17000</v>
      </c>
      <c r="J101" s="170">
        <v>17000</v>
      </c>
      <c r="K101" s="170">
        <v>17000</v>
      </c>
      <c r="L101" s="170">
        <v>17000</v>
      </c>
      <c r="M101" s="170">
        <v>17000</v>
      </c>
      <c r="N101" s="170">
        <v>17000</v>
      </c>
      <c r="O101" s="170">
        <v>6653</v>
      </c>
      <c r="P101" s="728">
        <f t="shared" si="30"/>
        <v>0.39135294117647057</v>
      </c>
      <c r="Q101" s="1"/>
    </row>
    <row r="102" spans="1:19" ht="15.75" thickBot="1" x14ac:dyDescent="0.3">
      <c r="A102" s="171" t="s">
        <v>102</v>
      </c>
      <c r="B102" s="172"/>
      <c r="C102" s="173">
        <f t="shared" ref="C102:O102" si="60">SUM(C103:C105)</f>
        <v>850</v>
      </c>
      <c r="D102" s="173">
        <f t="shared" si="60"/>
        <v>850</v>
      </c>
      <c r="E102" s="173">
        <f t="shared" si="60"/>
        <v>850</v>
      </c>
      <c r="F102" s="173">
        <f t="shared" si="60"/>
        <v>850</v>
      </c>
      <c r="G102" s="173">
        <f t="shared" si="60"/>
        <v>850</v>
      </c>
      <c r="H102" s="173">
        <f t="shared" si="60"/>
        <v>850</v>
      </c>
      <c r="I102" s="173">
        <f t="shared" si="60"/>
        <v>850</v>
      </c>
      <c r="J102" s="173">
        <f t="shared" si="60"/>
        <v>850</v>
      </c>
      <c r="K102" s="173">
        <f t="shared" si="60"/>
        <v>850</v>
      </c>
      <c r="L102" s="173">
        <f t="shared" si="60"/>
        <v>850</v>
      </c>
      <c r="M102" s="173">
        <f t="shared" ref="M102:N102" si="61">SUM(M103:M105)</f>
        <v>850</v>
      </c>
      <c r="N102" s="173">
        <f t="shared" si="61"/>
        <v>850</v>
      </c>
      <c r="O102" s="173">
        <f t="shared" si="60"/>
        <v>198</v>
      </c>
      <c r="P102" s="728">
        <f t="shared" si="30"/>
        <v>0.23294117647058823</v>
      </c>
      <c r="Q102" s="1"/>
    </row>
    <row r="103" spans="1:19" x14ac:dyDescent="0.25">
      <c r="A103" s="131" t="s">
        <v>103</v>
      </c>
      <c r="B103" s="150" t="s">
        <v>104</v>
      </c>
      <c r="C103" s="177">
        <v>100</v>
      </c>
      <c r="D103" s="177">
        <v>100</v>
      </c>
      <c r="E103" s="177">
        <v>100</v>
      </c>
      <c r="F103" s="177">
        <v>100</v>
      </c>
      <c r="G103" s="177">
        <v>100</v>
      </c>
      <c r="H103" s="177">
        <v>100</v>
      </c>
      <c r="I103" s="177">
        <v>100</v>
      </c>
      <c r="J103" s="177">
        <v>100</v>
      </c>
      <c r="K103" s="177">
        <v>100</v>
      </c>
      <c r="L103" s="177">
        <v>100</v>
      </c>
      <c r="M103" s="177">
        <v>100</v>
      </c>
      <c r="N103" s="177">
        <v>100</v>
      </c>
      <c r="O103" s="177">
        <v>43</v>
      </c>
      <c r="P103" s="728">
        <f t="shared" si="30"/>
        <v>0.43</v>
      </c>
      <c r="Q103" s="1"/>
    </row>
    <row r="104" spans="1:19" x14ac:dyDescent="0.25">
      <c r="A104" s="166" t="s">
        <v>105</v>
      </c>
      <c r="B104" s="114" t="s">
        <v>106</v>
      </c>
      <c r="C104" s="180">
        <v>100</v>
      </c>
      <c r="D104" s="180">
        <v>100</v>
      </c>
      <c r="E104" s="180">
        <v>100</v>
      </c>
      <c r="F104" s="180">
        <v>100</v>
      </c>
      <c r="G104" s="180">
        <v>100</v>
      </c>
      <c r="H104" s="180">
        <v>100</v>
      </c>
      <c r="I104" s="180">
        <v>100</v>
      </c>
      <c r="J104" s="180">
        <v>100</v>
      </c>
      <c r="K104" s="180">
        <v>100</v>
      </c>
      <c r="L104" s="180">
        <v>100</v>
      </c>
      <c r="M104" s="180">
        <v>100</v>
      </c>
      <c r="N104" s="180">
        <v>100</v>
      </c>
      <c r="O104" s="180">
        <v>15</v>
      </c>
      <c r="P104" s="728">
        <f t="shared" si="30"/>
        <v>0.15</v>
      </c>
      <c r="Q104" s="1"/>
    </row>
    <row r="105" spans="1:19" ht="15.75" thickBot="1" x14ac:dyDescent="0.3">
      <c r="A105" s="720" t="s">
        <v>107</v>
      </c>
      <c r="B105" s="721" t="s">
        <v>108</v>
      </c>
      <c r="C105" s="208">
        <v>650</v>
      </c>
      <c r="D105" s="208">
        <v>650</v>
      </c>
      <c r="E105" s="208">
        <v>650</v>
      </c>
      <c r="F105" s="208">
        <v>650</v>
      </c>
      <c r="G105" s="208">
        <v>650</v>
      </c>
      <c r="H105" s="208">
        <v>650</v>
      </c>
      <c r="I105" s="208">
        <v>650</v>
      </c>
      <c r="J105" s="208">
        <v>650</v>
      </c>
      <c r="K105" s="208">
        <v>650</v>
      </c>
      <c r="L105" s="208">
        <v>650</v>
      </c>
      <c r="M105" s="208">
        <v>650</v>
      </c>
      <c r="N105" s="208">
        <v>650</v>
      </c>
      <c r="O105" s="208">
        <v>140</v>
      </c>
      <c r="P105" s="728">
        <f t="shared" si="30"/>
        <v>0.2153846153846154</v>
      </c>
      <c r="Q105" s="1"/>
    </row>
    <row r="106" spans="1:19" ht="15.75" thickBot="1" x14ac:dyDescent="0.3">
      <c r="A106" s="722" t="s">
        <v>110</v>
      </c>
      <c r="B106" s="105"/>
      <c r="C106" s="106">
        <f t="shared" ref="C106:O106" si="62">SUM(C107:C111)</f>
        <v>131700</v>
      </c>
      <c r="D106" s="106">
        <f t="shared" si="62"/>
        <v>131700</v>
      </c>
      <c r="E106" s="106">
        <f t="shared" si="62"/>
        <v>132000</v>
      </c>
      <c r="F106" s="106">
        <f t="shared" si="62"/>
        <v>132000</v>
      </c>
      <c r="G106" s="106">
        <f t="shared" si="62"/>
        <v>132000</v>
      </c>
      <c r="H106" s="106">
        <f t="shared" si="62"/>
        <v>132000</v>
      </c>
      <c r="I106" s="106">
        <f t="shared" si="62"/>
        <v>138000</v>
      </c>
      <c r="J106" s="106">
        <f t="shared" si="62"/>
        <v>138924</v>
      </c>
      <c r="K106" s="106">
        <f t="shared" si="62"/>
        <v>141924</v>
      </c>
      <c r="L106" s="106">
        <f t="shared" si="62"/>
        <v>149124</v>
      </c>
      <c r="M106" s="106">
        <f t="shared" ref="M106:N106" si="63">SUM(M107:M111)</f>
        <v>148124</v>
      </c>
      <c r="N106" s="106">
        <f t="shared" si="63"/>
        <v>151124</v>
      </c>
      <c r="O106" s="106">
        <f t="shared" si="62"/>
        <v>60558</v>
      </c>
      <c r="P106" s="728">
        <f t="shared" si="30"/>
        <v>0.40071729176040866</v>
      </c>
      <c r="Q106" s="1"/>
    </row>
    <row r="107" spans="1:19" x14ac:dyDescent="0.25">
      <c r="A107" s="149" t="s">
        <v>111</v>
      </c>
      <c r="B107" s="150" t="s">
        <v>112</v>
      </c>
      <c r="C107" s="135">
        <v>40000</v>
      </c>
      <c r="D107" s="135">
        <v>40000</v>
      </c>
      <c r="E107" s="759">
        <f t="shared" ref="E107:N107" si="64">40000-2000</f>
        <v>38000</v>
      </c>
      <c r="F107" s="135">
        <f t="shared" si="64"/>
        <v>38000</v>
      </c>
      <c r="G107" s="135">
        <f t="shared" si="64"/>
        <v>38000</v>
      </c>
      <c r="H107" s="135">
        <f t="shared" si="64"/>
        <v>38000</v>
      </c>
      <c r="I107" s="135">
        <f t="shared" si="64"/>
        <v>38000</v>
      </c>
      <c r="J107" s="135">
        <f t="shared" si="64"/>
        <v>38000</v>
      </c>
      <c r="K107" s="135">
        <f t="shared" si="64"/>
        <v>38000</v>
      </c>
      <c r="L107" s="135">
        <f t="shared" si="64"/>
        <v>38000</v>
      </c>
      <c r="M107" s="135">
        <f t="shared" si="64"/>
        <v>38000</v>
      </c>
      <c r="N107" s="135">
        <f t="shared" si="64"/>
        <v>38000</v>
      </c>
      <c r="O107" s="135">
        <v>17133</v>
      </c>
      <c r="P107" s="728">
        <f t="shared" si="30"/>
        <v>0.45086842105263158</v>
      </c>
      <c r="Q107" s="1"/>
    </row>
    <row r="108" spans="1:19" x14ac:dyDescent="0.25">
      <c r="A108" s="192" t="s">
        <v>113</v>
      </c>
      <c r="B108" s="193" t="s">
        <v>114</v>
      </c>
      <c r="C108" s="55">
        <v>61600</v>
      </c>
      <c r="D108" s="55">
        <v>61600</v>
      </c>
      <c r="E108" s="716">
        <f>61600+1700</f>
        <v>63300</v>
      </c>
      <c r="F108" s="55">
        <f>61600+1700</f>
        <v>63300</v>
      </c>
      <c r="G108" s="55">
        <f>61600+1700</f>
        <v>63300</v>
      </c>
      <c r="H108" s="55">
        <f>61600+1700</f>
        <v>63300</v>
      </c>
      <c r="I108" s="716">
        <f>61600+1700+2000+4000</f>
        <v>69300</v>
      </c>
      <c r="J108" s="55">
        <f>61600+1700+2000+4000</f>
        <v>69300</v>
      </c>
      <c r="K108" s="55">
        <f>61600+1700+2000+4000+3000</f>
        <v>72300</v>
      </c>
      <c r="L108" s="716">
        <f>61600+1700+2000+4000+3000+7200</f>
        <v>79500</v>
      </c>
      <c r="M108" s="55">
        <f>61600+1700+2000+4000+3000+7200</f>
        <v>79500</v>
      </c>
      <c r="N108" s="716">
        <f>61600+1700+2000+4000+3000+7200+3000</f>
        <v>82500</v>
      </c>
      <c r="O108" s="55">
        <v>33275</v>
      </c>
      <c r="P108" s="728">
        <f t="shared" si="30"/>
        <v>0.40333333333333332</v>
      </c>
      <c r="Q108" s="1"/>
    </row>
    <row r="109" spans="1:19" x14ac:dyDescent="0.25">
      <c r="A109" s="192" t="s">
        <v>115</v>
      </c>
      <c r="B109" s="84" t="s">
        <v>116</v>
      </c>
      <c r="C109" s="55">
        <v>5900</v>
      </c>
      <c r="D109" s="55">
        <v>5900</v>
      </c>
      <c r="E109" s="55">
        <v>5900</v>
      </c>
      <c r="F109" s="55">
        <v>5900</v>
      </c>
      <c r="G109" s="55">
        <v>5900</v>
      </c>
      <c r="H109" s="55">
        <v>5900</v>
      </c>
      <c r="I109" s="55">
        <v>5900</v>
      </c>
      <c r="J109" s="55">
        <v>5900</v>
      </c>
      <c r="K109" s="55">
        <v>5900</v>
      </c>
      <c r="L109" s="55">
        <v>5900</v>
      </c>
      <c r="M109" s="55">
        <v>5900</v>
      </c>
      <c r="N109" s="55">
        <v>5900</v>
      </c>
      <c r="O109" s="55">
        <v>3145</v>
      </c>
      <c r="P109" s="728">
        <f t="shared" si="30"/>
        <v>0.5330508474576271</v>
      </c>
      <c r="Q109" s="1"/>
    </row>
    <row r="110" spans="1:19" x14ac:dyDescent="0.25">
      <c r="A110" s="192" t="s">
        <v>117</v>
      </c>
      <c r="B110" s="84" t="s">
        <v>118</v>
      </c>
      <c r="C110" s="55">
        <v>22400</v>
      </c>
      <c r="D110" s="55">
        <v>22400</v>
      </c>
      <c r="E110" s="55">
        <v>22400</v>
      </c>
      <c r="F110" s="55">
        <v>22400</v>
      </c>
      <c r="G110" s="55">
        <v>22400</v>
      </c>
      <c r="H110" s="55">
        <v>22400</v>
      </c>
      <c r="I110" s="55">
        <v>22400</v>
      </c>
      <c r="J110" s="55">
        <v>22400</v>
      </c>
      <c r="K110" s="55">
        <v>22400</v>
      </c>
      <c r="L110" s="55">
        <v>22400</v>
      </c>
      <c r="M110" s="716">
        <f>22400-1000</f>
        <v>21400</v>
      </c>
      <c r="N110" s="55">
        <f>22400-1000</f>
        <v>21400</v>
      </c>
      <c r="O110" s="55">
        <v>4105</v>
      </c>
      <c r="P110" s="728">
        <f t="shared" si="30"/>
        <v>0.19182242990654205</v>
      </c>
      <c r="Q110" s="1"/>
    </row>
    <row r="111" spans="1:19" ht="15.75" thickBot="1" x14ac:dyDescent="0.3">
      <c r="A111" s="160" t="s">
        <v>119</v>
      </c>
      <c r="B111" s="161" t="s">
        <v>120</v>
      </c>
      <c r="C111" s="182">
        <v>1800</v>
      </c>
      <c r="D111" s="182">
        <v>1800</v>
      </c>
      <c r="E111" s="764">
        <f>1800+100+500</f>
        <v>2400</v>
      </c>
      <c r="F111" s="182">
        <f>1800+100+500</f>
        <v>2400</v>
      </c>
      <c r="G111" s="182">
        <f>1800+100+500</f>
        <v>2400</v>
      </c>
      <c r="H111" s="182">
        <f>1800+100+500</f>
        <v>2400</v>
      </c>
      <c r="I111" s="182">
        <f>1800+100+500</f>
        <v>2400</v>
      </c>
      <c r="J111" s="764">
        <f>1800+100+500+924</f>
        <v>3324</v>
      </c>
      <c r="K111" s="182">
        <f>1800+100+500+924</f>
        <v>3324</v>
      </c>
      <c r="L111" s="182">
        <f>1800+100+500+924</f>
        <v>3324</v>
      </c>
      <c r="M111" s="182">
        <f>1800+100+500+924</f>
        <v>3324</v>
      </c>
      <c r="N111" s="182">
        <f>1800+100+500+924</f>
        <v>3324</v>
      </c>
      <c r="O111" s="182">
        <v>2900</v>
      </c>
      <c r="P111" s="728">
        <f t="shared" si="30"/>
        <v>0.87244283995186522</v>
      </c>
      <c r="Q111" s="1"/>
    </row>
    <row r="112" spans="1:19" ht="15.75" thickBot="1" x14ac:dyDescent="0.3">
      <c r="A112" s="125" t="s">
        <v>121</v>
      </c>
      <c r="B112" s="126"/>
      <c r="C112" s="106">
        <f t="shared" ref="C112:J112" si="65">SUM(C113:C120)</f>
        <v>394150</v>
      </c>
      <c r="D112" s="106">
        <f t="shared" si="65"/>
        <v>393973</v>
      </c>
      <c r="E112" s="106">
        <f t="shared" si="65"/>
        <v>402673</v>
      </c>
      <c r="F112" s="106">
        <f t="shared" si="65"/>
        <v>406536</v>
      </c>
      <c r="G112" s="106">
        <f t="shared" si="65"/>
        <v>411836</v>
      </c>
      <c r="H112" s="106">
        <f t="shared" si="65"/>
        <v>411836</v>
      </c>
      <c r="I112" s="106">
        <f t="shared" si="65"/>
        <v>413558</v>
      </c>
      <c r="J112" s="106">
        <f t="shared" si="65"/>
        <v>413558</v>
      </c>
      <c r="K112" s="106">
        <f t="shared" ref="K112:L112" si="66">SUM(K113:K120)</f>
        <v>421185</v>
      </c>
      <c r="L112" s="106">
        <f t="shared" si="66"/>
        <v>421185</v>
      </c>
      <c r="M112" s="106">
        <f t="shared" ref="M112:N112" si="67">SUM(M113:M120)</f>
        <v>421185</v>
      </c>
      <c r="N112" s="106">
        <f t="shared" si="67"/>
        <v>421185</v>
      </c>
      <c r="O112" s="106">
        <f>SUM(O113:O120)</f>
        <v>165028</v>
      </c>
      <c r="P112" s="728">
        <f t="shared" si="30"/>
        <v>0.39181832211498513</v>
      </c>
      <c r="Q112" s="1"/>
      <c r="R112" s="27"/>
      <c r="S112" s="27"/>
    </row>
    <row r="113" spans="1:27" x14ac:dyDescent="0.25">
      <c r="A113" s="196" t="s">
        <v>122</v>
      </c>
      <c r="B113" s="197" t="s">
        <v>123</v>
      </c>
      <c r="C113" s="201">
        <v>200400</v>
      </c>
      <c r="D113" s="715">
        <f>200400+3</f>
        <v>200403</v>
      </c>
      <c r="E113" s="715">
        <f>200400+3+5000</f>
        <v>205403</v>
      </c>
      <c r="F113" s="715">
        <f>200400+3+5000+3863</f>
        <v>209266</v>
      </c>
      <c r="G113" s="201">
        <f>200400+3+5000+3863</f>
        <v>209266</v>
      </c>
      <c r="H113" s="201">
        <f>200400+3+5000+3863</f>
        <v>209266</v>
      </c>
      <c r="I113" s="715">
        <f>200400+3+5000+3863+1722</f>
        <v>210988</v>
      </c>
      <c r="J113" s="201">
        <f>200400+3+5000+3863+1722</f>
        <v>210988</v>
      </c>
      <c r="K113" s="715">
        <f>200400+3+5000+3863+1722+7627</f>
        <v>218615</v>
      </c>
      <c r="L113" s="201">
        <f>200400+3+5000+3863+1722+7627</f>
        <v>218615</v>
      </c>
      <c r="M113" s="201">
        <f>200400+3+5000+3863+1722+7627</f>
        <v>218615</v>
      </c>
      <c r="N113" s="201">
        <f>200400+3+5000+3863+1722+7627</f>
        <v>218615</v>
      </c>
      <c r="O113" s="201">
        <v>92724</v>
      </c>
      <c r="P113" s="728">
        <f t="shared" si="30"/>
        <v>0.42414289961805002</v>
      </c>
      <c r="Q113" s="1"/>
    </row>
    <row r="114" spans="1:27" x14ac:dyDescent="0.25">
      <c r="A114" s="578" t="s">
        <v>124</v>
      </c>
      <c r="B114" s="142" t="s">
        <v>340</v>
      </c>
      <c r="C114" s="56">
        <v>0</v>
      </c>
      <c r="D114" s="56">
        <v>0</v>
      </c>
      <c r="E114" s="56">
        <v>0</v>
      </c>
      <c r="F114" s="56">
        <v>0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0</v>
      </c>
      <c r="N114" s="56">
        <v>0</v>
      </c>
      <c r="O114" s="56">
        <v>0</v>
      </c>
      <c r="P114" s="728">
        <v>0</v>
      </c>
      <c r="Q114" s="1"/>
    </row>
    <row r="115" spans="1:27" x14ac:dyDescent="0.25">
      <c r="A115" s="202" t="s">
        <v>125</v>
      </c>
      <c r="B115" s="203" t="s">
        <v>512</v>
      </c>
      <c r="C115" s="61">
        <v>6500</v>
      </c>
      <c r="D115" s="61">
        <v>6500</v>
      </c>
      <c r="E115" s="695">
        <f>6500+3700</f>
        <v>10200</v>
      </c>
      <c r="F115" s="61">
        <f>6500+3700</f>
        <v>10200</v>
      </c>
      <c r="G115" s="695">
        <f t="shared" ref="G115:N115" si="68">6500+3700+5300</f>
        <v>15500</v>
      </c>
      <c r="H115" s="61">
        <f t="shared" si="68"/>
        <v>15500</v>
      </c>
      <c r="I115" s="61">
        <f t="shared" si="68"/>
        <v>15500</v>
      </c>
      <c r="J115" s="61">
        <f t="shared" si="68"/>
        <v>15500</v>
      </c>
      <c r="K115" s="61">
        <f t="shared" si="68"/>
        <v>15500</v>
      </c>
      <c r="L115" s="61">
        <f t="shared" si="68"/>
        <v>15500</v>
      </c>
      <c r="M115" s="61">
        <f t="shared" si="68"/>
        <v>15500</v>
      </c>
      <c r="N115" s="61">
        <f t="shared" si="68"/>
        <v>15500</v>
      </c>
      <c r="O115" s="61">
        <v>5481</v>
      </c>
      <c r="P115" s="728">
        <f t="shared" si="30"/>
        <v>0.35361290322580646</v>
      </c>
      <c r="Q115" s="1"/>
    </row>
    <row r="116" spans="1:27" x14ac:dyDescent="0.25">
      <c r="A116" s="202" t="s">
        <v>127</v>
      </c>
      <c r="B116" s="203" t="s">
        <v>128</v>
      </c>
      <c r="C116" s="61">
        <v>36200</v>
      </c>
      <c r="D116" s="61">
        <v>36200</v>
      </c>
      <c r="E116" s="61">
        <v>36200</v>
      </c>
      <c r="F116" s="61">
        <v>36200</v>
      </c>
      <c r="G116" s="61">
        <v>36200</v>
      </c>
      <c r="H116" s="61">
        <v>36200</v>
      </c>
      <c r="I116" s="61">
        <v>36200</v>
      </c>
      <c r="J116" s="61">
        <v>36200</v>
      </c>
      <c r="K116" s="61">
        <v>36200</v>
      </c>
      <c r="L116" s="61">
        <v>36200</v>
      </c>
      <c r="M116" s="61">
        <v>36200</v>
      </c>
      <c r="N116" s="61">
        <v>36200</v>
      </c>
      <c r="O116" s="61">
        <v>13858</v>
      </c>
      <c r="P116" s="728">
        <f t="shared" si="30"/>
        <v>0.38281767955801105</v>
      </c>
      <c r="Q116" s="1"/>
    </row>
    <row r="117" spans="1:27" x14ac:dyDescent="0.25">
      <c r="A117" s="202" t="s">
        <v>129</v>
      </c>
      <c r="B117" s="203" t="s">
        <v>130</v>
      </c>
      <c r="C117" s="60">
        <v>53850</v>
      </c>
      <c r="D117" s="60">
        <v>53850</v>
      </c>
      <c r="E117" s="60">
        <v>53850</v>
      </c>
      <c r="F117" s="60">
        <v>53850</v>
      </c>
      <c r="G117" s="60">
        <v>53850</v>
      </c>
      <c r="H117" s="60">
        <v>53850</v>
      </c>
      <c r="I117" s="60">
        <v>53850</v>
      </c>
      <c r="J117" s="60">
        <v>53850</v>
      </c>
      <c r="K117" s="60">
        <v>53850</v>
      </c>
      <c r="L117" s="60">
        <v>53850</v>
      </c>
      <c r="M117" s="60">
        <v>53850</v>
      </c>
      <c r="N117" s="60">
        <v>53850</v>
      </c>
      <c r="O117" s="60">
        <v>16002</v>
      </c>
      <c r="P117" s="728">
        <f t="shared" si="30"/>
        <v>0.29715877437325905</v>
      </c>
      <c r="Q117" s="1"/>
      <c r="R117" s="381"/>
      <c r="S117" s="381"/>
      <c r="V117" s="475"/>
    </row>
    <row r="118" spans="1:27" x14ac:dyDescent="0.25">
      <c r="A118" s="202" t="s">
        <v>131</v>
      </c>
      <c r="B118" s="203" t="s">
        <v>195</v>
      </c>
      <c r="C118" s="60">
        <v>94600</v>
      </c>
      <c r="D118" s="694">
        <f t="shared" ref="D118:N118" si="69">94600-160</f>
        <v>94440</v>
      </c>
      <c r="E118" s="60">
        <f t="shared" si="69"/>
        <v>94440</v>
      </c>
      <c r="F118" s="60">
        <f t="shared" si="69"/>
        <v>94440</v>
      </c>
      <c r="G118" s="60">
        <f t="shared" si="69"/>
        <v>94440</v>
      </c>
      <c r="H118" s="60">
        <f t="shared" si="69"/>
        <v>94440</v>
      </c>
      <c r="I118" s="60">
        <f t="shared" si="69"/>
        <v>94440</v>
      </c>
      <c r="J118" s="60">
        <f t="shared" si="69"/>
        <v>94440</v>
      </c>
      <c r="K118" s="60">
        <f t="shared" si="69"/>
        <v>94440</v>
      </c>
      <c r="L118" s="60">
        <f t="shared" si="69"/>
        <v>94440</v>
      </c>
      <c r="M118" s="60">
        <f t="shared" si="69"/>
        <v>94440</v>
      </c>
      <c r="N118" s="60">
        <f t="shared" si="69"/>
        <v>94440</v>
      </c>
      <c r="O118" s="60">
        <v>36006</v>
      </c>
      <c r="P118" s="728">
        <f t="shared" si="30"/>
        <v>0.3812579415501906</v>
      </c>
      <c r="Q118" s="27">
        <f>SUM(N116:N118)</f>
        <v>184490</v>
      </c>
      <c r="R118" s="27">
        <f>SUM(O116:O118)</f>
        <v>65866</v>
      </c>
      <c r="S118" s="27"/>
    </row>
    <row r="119" spans="1:27" x14ac:dyDescent="0.25">
      <c r="A119" s="204" t="s">
        <v>132</v>
      </c>
      <c r="B119" s="203" t="s">
        <v>309</v>
      </c>
      <c r="C119" s="208">
        <v>1300</v>
      </c>
      <c r="D119" s="208">
        <v>1300</v>
      </c>
      <c r="E119" s="208">
        <v>1300</v>
      </c>
      <c r="F119" s="208">
        <v>1300</v>
      </c>
      <c r="G119" s="208">
        <v>1300</v>
      </c>
      <c r="H119" s="208">
        <v>1300</v>
      </c>
      <c r="I119" s="208">
        <v>1300</v>
      </c>
      <c r="J119" s="208">
        <v>1300</v>
      </c>
      <c r="K119" s="208">
        <v>1300</v>
      </c>
      <c r="L119" s="208">
        <v>1300</v>
      </c>
      <c r="M119" s="208">
        <v>1300</v>
      </c>
      <c r="N119" s="208">
        <v>1300</v>
      </c>
      <c r="O119" s="208">
        <v>482</v>
      </c>
      <c r="P119" s="728">
        <f t="shared" si="30"/>
        <v>0.3707692307692308</v>
      </c>
      <c r="Q119" s="1"/>
    </row>
    <row r="120" spans="1:27" ht="15.75" thickBot="1" x14ac:dyDescent="0.3">
      <c r="A120" s="202" t="s">
        <v>133</v>
      </c>
      <c r="B120" s="203" t="s">
        <v>207</v>
      </c>
      <c r="C120" s="208">
        <v>1300</v>
      </c>
      <c r="D120" s="723">
        <f t="shared" ref="D120:N120" si="70">1300-20</f>
        <v>1280</v>
      </c>
      <c r="E120" s="208">
        <f t="shared" si="70"/>
        <v>1280</v>
      </c>
      <c r="F120" s="208">
        <f t="shared" si="70"/>
        <v>1280</v>
      </c>
      <c r="G120" s="208">
        <f t="shared" si="70"/>
        <v>1280</v>
      </c>
      <c r="H120" s="208">
        <f t="shared" si="70"/>
        <v>1280</v>
      </c>
      <c r="I120" s="208">
        <f t="shared" si="70"/>
        <v>1280</v>
      </c>
      <c r="J120" s="208">
        <f t="shared" si="70"/>
        <v>1280</v>
      </c>
      <c r="K120" s="208">
        <f t="shared" si="70"/>
        <v>1280</v>
      </c>
      <c r="L120" s="208">
        <f t="shared" si="70"/>
        <v>1280</v>
      </c>
      <c r="M120" s="208">
        <f t="shared" si="70"/>
        <v>1280</v>
      </c>
      <c r="N120" s="208">
        <f t="shared" si="70"/>
        <v>1280</v>
      </c>
      <c r="O120" s="208">
        <v>475</v>
      </c>
      <c r="P120" s="728">
        <f t="shared" si="30"/>
        <v>0.37109375</v>
      </c>
      <c r="Q120" s="1"/>
    </row>
    <row r="121" spans="1:27" ht="15.75" thickBot="1" x14ac:dyDescent="0.3">
      <c r="A121" s="104" t="s">
        <v>134</v>
      </c>
      <c r="B121" s="105"/>
      <c r="C121" s="108">
        <f t="shared" ref="C121:O121" si="71">SUM(C122:C126)</f>
        <v>482770</v>
      </c>
      <c r="D121" s="108">
        <f t="shared" si="71"/>
        <v>485270</v>
      </c>
      <c r="E121" s="108">
        <f t="shared" si="71"/>
        <v>485270</v>
      </c>
      <c r="F121" s="108">
        <f t="shared" si="71"/>
        <v>485270</v>
      </c>
      <c r="G121" s="108">
        <f t="shared" si="71"/>
        <v>485270</v>
      </c>
      <c r="H121" s="108">
        <f t="shared" si="71"/>
        <v>485270</v>
      </c>
      <c r="I121" s="108">
        <f t="shared" si="71"/>
        <v>485850</v>
      </c>
      <c r="J121" s="108">
        <f t="shared" si="71"/>
        <v>485850</v>
      </c>
      <c r="K121" s="108">
        <f t="shared" si="71"/>
        <v>485850</v>
      </c>
      <c r="L121" s="108">
        <f t="shared" si="71"/>
        <v>481850</v>
      </c>
      <c r="M121" s="108">
        <f t="shared" ref="M121:N121" si="72">SUM(M122:M126)</f>
        <v>481850</v>
      </c>
      <c r="N121" s="108">
        <f t="shared" si="72"/>
        <v>490190</v>
      </c>
      <c r="O121" s="108">
        <f t="shared" si="71"/>
        <v>196017</v>
      </c>
      <c r="P121" s="728">
        <f t="shared" si="30"/>
        <v>0.39987963850751751</v>
      </c>
      <c r="Q121" s="1"/>
    </row>
    <row r="122" spans="1:27" x14ac:dyDescent="0.25">
      <c r="A122" s="192" t="s">
        <v>135</v>
      </c>
      <c r="B122" s="84" t="s">
        <v>220</v>
      </c>
      <c r="C122" s="55">
        <v>392070</v>
      </c>
      <c r="D122" s="716">
        <f t="shared" ref="D122:K122" si="73">392070-1998</f>
        <v>390072</v>
      </c>
      <c r="E122" s="55">
        <f t="shared" si="73"/>
        <v>390072</v>
      </c>
      <c r="F122" s="55">
        <f t="shared" si="73"/>
        <v>390072</v>
      </c>
      <c r="G122" s="55">
        <f t="shared" si="73"/>
        <v>390072</v>
      </c>
      <c r="H122" s="55">
        <f t="shared" si="73"/>
        <v>390072</v>
      </c>
      <c r="I122" s="55">
        <f t="shared" si="73"/>
        <v>390072</v>
      </c>
      <c r="J122" s="55">
        <f t="shared" si="73"/>
        <v>390072</v>
      </c>
      <c r="K122" s="55">
        <f t="shared" si="73"/>
        <v>390072</v>
      </c>
      <c r="L122" s="716">
        <f>392070-1998-4000</f>
        <v>386072</v>
      </c>
      <c r="M122" s="55">
        <f>392070-1998-4000</f>
        <v>386072</v>
      </c>
      <c r="N122" s="716">
        <f>392070-1998-4000+7770</f>
        <v>393842</v>
      </c>
      <c r="O122" s="55">
        <v>149055</v>
      </c>
      <c r="P122" s="728">
        <f t="shared" si="30"/>
        <v>0.37846395254949955</v>
      </c>
      <c r="Q122" s="1"/>
    </row>
    <row r="123" spans="1:27" x14ac:dyDescent="0.25">
      <c r="A123" s="192" t="s">
        <v>136</v>
      </c>
      <c r="B123" s="84" t="s">
        <v>137</v>
      </c>
      <c r="C123" s="55">
        <v>73400</v>
      </c>
      <c r="D123" s="716">
        <f t="shared" ref="D123:H123" si="74">73400+3781</f>
        <v>77181</v>
      </c>
      <c r="E123" s="55">
        <f t="shared" si="74"/>
        <v>77181</v>
      </c>
      <c r="F123" s="55">
        <f t="shared" si="74"/>
        <v>77181</v>
      </c>
      <c r="G123" s="55">
        <f t="shared" si="74"/>
        <v>77181</v>
      </c>
      <c r="H123" s="55">
        <f t="shared" si="74"/>
        <v>77181</v>
      </c>
      <c r="I123" s="716">
        <f t="shared" ref="I123:N123" si="75">73400+3781+580</f>
        <v>77761</v>
      </c>
      <c r="J123" s="55">
        <f t="shared" si="75"/>
        <v>77761</v>
      </c>
      <c r="K123" s="55">
        <f t="shared" si="75"/>
        <v>77761</v>
      </c>
      <c r="L123" s="55">
        <f t="shared" si="75"/>
        <v>77761</v>
      </c>
      <c r="M123" s="55">
        <f t="shared" si="75"/>
        <v>77761</v>
      </c>
      <c r="N123" s="55">
        <f t="shared" si="75"/>
        <v>77761</v>
      </c>
      <c r="O123" s="55">
        <v>39393</v>
      </c>
      <c r="P123" s="728">
        <f t="shared" si="30"/>
        <v>0.50659070742403001</v>
      </c>
      <c r="Q123" s="1"/>
    </row>
    <row r="124" spans="1:27" x14ac:dyDescent="0.25">
      <c r="A124" s="117" t="s">
        <v>138</v>
      </c>
      <c r="B124" s="114" t="s">
        <v>139</v>
      </c>
      <c r="C124" s="60">
        <v>16300</v>
      </c>
      <c r="D124" s="694">
        <f t="shared" ref="D124:M124" si="76">16300+717</f>
        <v>17017</v>
      </c>
      <c r="E124" s="60">
        <f t="shared" si="76"/>
        <v>17017</v>
      </c>
      <c r="F124" s="60">
        <f t="shared" si="76"/>
        <v>17017</v>
      </c>
      <c r="G124" s="60">
        <f t="shared" si="76"/>
        <v>17017</v>
      </c>
      <c r="H124" s="60">
        <f t="shared" si="76"/>
        <v>17017</v>
      </c>
      <c r="I124" s="60">
        <f t="shared" si="76"/>
        <v>17017</v>
      </c>
      <c r="J124" s="60">
        <f t="shared" si="76"/>
        <v>17017</v>
      </c>
      <c r="K124" s="60">
        <f t="shared" si="76"/>
        <v>17017</v>
      </c>
      <c r="L124" s="60">
        <f t="shared" si="76"/>
        <v>17017</v>
      </c>
      <c r="M124" s="60">
        <f t="shared" si="76"/>
        <v>17017</v>
      </c>
      <c r="N124" s="694">
        <f>16300+717+570</f>
        <v>17587</v>
      </c>
      <c r="O124" s="60">
        <v>7569</v>
      </c>
      <c r="P124" s="728">
        <f t="shared" si="30"/>
        <v>0.43037470859157334</v>
      </c>
      <c r="Q124" s="1"/>
    </row>
    <row r="125" spans="1:27" x14ac:dyDescent="0.25">
      <c r="A125" s="117" t="s">
        <v>140</v>
      </c>
      <c r="B125" s="114" t="s">
        <v>141</v>
      </c>
      <c r="C125" s="60">
        <v>500</v>
      </c>
      <c r="D125" s="60">
        <v>500</v>
      </c>
      <c r="E125" s="60">
        <v>500</v>
      </c>
      <c r="F125" s="60">
        <v>500</v>
      </c>
      <c r="G125" s="60">
        <v>500</v>
      </c>
      <c r="H125" s="60">
        <v>500</v>
      </c>
      <c r="I125" s="60">
        <v>500</v>
      </c>
      <c r="J125" s="60">
        <v>500</v>
      </c>
      <c r="K125" s="60">
        <v>500</v>
      </c>
      <c r="L125" s="60">
        <v>500</v>
      </c>
      <c r="M125" s="60">
        <v>500</v>
      </c>
      <c r="N125" s="60">
        <v>500</v>
      </c>
      <c r="O125" s="60">
        <v>0</v>
      </c>
      <c r="P125" s="728">
        <f t="shared" si="30"/>
        <v>0</v>
      </c>
      <c r="Q125" s="1"/>
    </row>
    <row r="126" spans="1:27" ht="15.75" thickBot="1" x14ac:dyDescent="0.3">
      <c r="A126" s="160" t="s">
        <v>142</v>
      </c>
      <c r="B126" s="161" t="s">
        <v>143</v>
      </c>
      <c r="C126" s="182">
        <v>500</v>
      </c>
      <c r="D126" s="182">
        <v>500</v>
      </c>
      <c r="E126" s="182">
        <v>500</v>
      </c>
      <c r="F126" s="182">
        <v>500</v>
      </c>
      <c r="G126" s="182">
        <v>500</v>
      </c>
      <c r="H126" s="182">
        <v>500</v>
      </c>
      <c r="I126" s="182">
        <v>500</v>
      </c>
      <c r="J126" s="182">
        <v>500</v>
      </c>
      <c r="K126" s="182">
        <v>500</v>
      </c>
      <c r="L126" s="182">
        <v>500</v>
      </c>
      <c r="M126" s="182">
        <v>500</v>
      </c>
      <c r="N126" s="182">
        <v>500</v>
      </c>
      <c r="O126" s="182">
        <v>0</v>
      </c>
      <c r="P126" s="728">
        <f t="shared" si="30"/>
        <v>0</v>
      </c>
      <c r="Q126" s="1"/>
      <c r="R126" s="27"/>
      <c r="S126" s="27"/>
    </row>
    <row r="127" spans="1:27" ht="24.75" customHeight="1" thickBot="1" x14ac:dyDescent="0.3">
      <c r="A127" s="209" t="s">
        <v>144</v>
      </c>
      <c r="B127" s="172"/>
      <c r="C127" s="212">
        <f t="shared" ref="C127:O127" si="77">SUM(C77+C83+C85+C88+C92+C97+C102+C106+C112+C121)</f>
        <v>1919385</v>
      </c>
      <c r="D127" s="212">
        <f t="shared" si="77"/>
        <v>1922156</v>
      </c>
      <c r="E127" s="212">
        <f t="shared" si="77"/>
        <v>1939266</v>
      </c>
      <c r="F127" s="212">
        <f t="shared" si="77"/>
        <v>1943129</v>
      </c>
      <c r="G127" s="212">
        <f t="shared" si="77"/>
        <v>1943129</v>
      </c>
      <c r="H127" s="212">
        <f t="shared" si="77"/>
        <v>1943129</v>
      </c>
      <c r="I127" s="212">
        <f t="shared" si="77"/>
        <v>1951446</v>
      </c>
      <c r="J127" s="212">
        <f t="shared" si="77"/>
        <v>1952370</v>
      </c>
      <c r="K127" s="212">
        <f t="shared" si="77"/>
        <v>2014202</v>
      </c>
      <c r="L127" s="212">
        <f t="shared" si="77"/>
        <v>2015747</v>
      </c>
      <c r="M127" s="212">
        <f t="shared" ref="M127:N127" si="78">SUM(M77+M83+M85+M88+M92+M97+M102+M106+M112+M121)</f>
        <v>2015747</v>
      </c>
      <c r="N127" s="212">
        <f t="shared" si="78"/>
        <v>2020201</v>
      </c>
      <c r="O127" s="212">
        <f t="shared" si="77"/>
        <v>818234</v>
      </c>
      <c r="P127" s="728">
        <f t="shared" si="30"/>
        <v>0.40502603453814745</v>
      </c>
      <c r="Q127" s="27">
        <f>D127-C127</f>
        <v>2771</v>
      </c>
      <c r="R127" s="27">
        <f>E127-D127</f>
        <v>17110</v>
      </c>
      <c r="S127" s="27">
        <f>F127-E127</f>
        <v>3863</v>
      </c>
      <c r="T127" s="27">
        <f t="shared" ref="T127:X127" si="79">G127-F127</f>
        <v>0</v>
      </c>
      <c r="U127" s="27">
        <f t="shared" si="79"/>
        <v>0</v>
      </c>
      <c r="V127" s="27">
        <f t="shared" si="79"/>
        <v>8317</v>
      </c>
      <c r="W127" s="27">
        <f t="shared" si="79"/>
        <v>924</v>
      </c>
      <c r="X127" s="27">
        <f t="shared" si="79"/>
        <v>61832</v>
      </c>
      <c r="Y127" s="27">
        <f t="shared" ref="Y127" si="80">L127-K127</f>
        <v>1545</v>
      </c>
      <c r="Z127" s="27">
        <f t="shared" ref="Z127" si="81">M127-L127</f>
        <v>0</v>
      </c>
      <c r="AA127" s="27">
        <f t="shared" ref="AA127" si="82">N127-M127</f>
        <v>4454</v>
      </c>
    </row>
    <row r="128" spans="1:27" x14ac:dyDescent="0.25">
      <c r="A128" s="502" t="s">
        <v>124</v>
      </c>
      <c r="B128" s="213" t="s">
        <v>341</v>
      </c>
      <c r="C128" s="216">
        <f>C64</f>
        <v>720000</v>
      </c>
      <c r="D128" s="715">
        <f t="shared" ref="D128:O128" si="83">D64+D187</f>
        <v>722098</v>
      </c>
      <c r="E128" s="216">
        <f t="shared" si="83"/>
        <v>722098</v>
      </c>
      <c r="F128" s="715">
        <f t="shared" si="83"/>
        <v>711459</v>
      </c>
      <c r="G128" s="216">
        <f t="shared" si="83"/>
        <v>711459</v>
      </c>
      <c r="H128" s="216">
        <f t="shared" si="83"/>
        <v>711459</v>
      </c>
      <c r="I128" s="216">
        <f t="shared" si="83"/>
        <v>715098</v>
      </c>
      <c r="J128" s="216">
        <f t="shared" si="83"/>
        <v>715098</v>
      </c>
      <c r="K128" s="715">
        <f t="shared" si="83"/>
        <v>737900</v>
      </c>
      <c r="L128" s="216">
        <f t="shared" si="83"/>
        <v>737900</v>
      </c>
      <c r="M128" s="216">
        <f t="shared" si="83"/>
        <v>737900</v>
      </c>
      <c r="N128" s="216">
        <f t="shared" si="83"/>
        <v>737900</v>
      </c>
      <c r="O128" s="216">
        <f t="shared" si="83"/>
        <v>403476</v>
      </c>
      <c r="P128" s="728">
        <f t="shared" si="30"/>
        <v>0.54678953787776119</v>
      </c>
      <c r="Q128" s="1"/>
      <c r="R128" s="27"/>
      <c r="S128" s="27"/>
      <c r="T128" s="27"/>
      <c r="U128" s="27"/>
      <c r="V128" s="27"/>
      <c r="W128" s="27"/>
      <c r="X128" s="27"/>
      <c r="Y128" s="27"/>
      <c r="Z128" s="27"/>
      <c r="AA128" s="27"/>
    </row>
    <row r="129" spans="1:27" ht="15.75" thickBot="1" x14ac:dyDescent="0.3">
      <c r="A129" s="717" t="s">
        <v>124</v>
      </c>
      <c r="B129" s="718" t="s">
        <v>145</v>
      </c>
      <c r="C129" s="719">
        <f t="shared" ref="C129:O129" si="84">C66</f>
        <v>1500</v>
      </c>
      <c r="D129" s="719">
        <f t="shared" si="84"/>
        <v>1500</v>
      </c>
      <c r="E129" s="719">
        <f t="shared" si="84"/>
        <v>1500</v>
      </c>
      <c r="F129" s="719">
        <f t="shared" si="84"/>
        <v>1500</v>
      </c>
      <c r="G129" s="719">
        <f t="shared" si="84"/>
        <v>1500</v>
      </c>
      <c r="H129" s="719">
        <f t="shared" si="84"/>
        <v>1500</v>
      </c>
      <c r="I129" s="719">
        <f t="shared" si="84"/>
        <v>1500</v>
      </c>
      <c r="J129" s="719">
        <f t="shared" si="84"/>
        <v>1500</v>
      </c>
      <c r="K129" s="719">
        <f t="shared" si="84"/>
        <v>1500</v>
      </c>
      <c r="L129" s="719">
        <f t="shared" si="84"/>
        <v>1500</v>
      </c>
      <c r="M129" s="719">
        <f t="shared" ref="M129:N129" si="85">M66</f>
        <v>1500</v>
      </c>
      <c r="N129" s="719">
        <f t="shared" si="85"/>
        <v>1500</v>
      </c>
      <c r="O129" s="719">
        <f t="shared" si="84"/>
        <v>25</v>
      </c>
      <c r="P129" s="728">
        <f t="shared" si="30"/>
        <v>1.6666666666666666E-2</v>
      </c>
      <c r="Q129" s="27">
        <f>SUM(N128:N129)</f>
        <v>739400</v>
      </c>
      <c r="R129" s="27">
        <f>SUM(O128:O129)</f>
        <v>403501</v>
      </c>
      <c r="S129" s="27"/>
      <c r="T129" s="27"/>
      <c r="U129" s="27"/>
      <c r="V129" s="27"/>
      <c r="W129" s="27"/>
      <c r="X129" s="27"/>
      <c r="Y129" s="27"/>
      <c r="Z129" s="27"/>
      <c r="AA129" s="27"/>
    </row>
    <row r="130" spans="1:27" x14ac:dyDescent="0.25">
      <c r="A130" s="226" t="s">
        <v>125</v>
      </c>
      <c r="B130" s="227" t="s">
        <v>148</v>
      </c>
      <c r="C130" s="230">
        <v>34400</v>
      </c>
      <c r="D130" s="230">
        <v>34400</v>
      </c>
      <c r="E130" s="230">
        <v>34400</v>
      </c>
      <c r="F130" s="230">
        <v>34400</v>
      </c>
      <c r="G130" s="230">
        <v>34400</v>
      </c>
      <c r="H130" s="230">
        <v>34400</v>
      </c>
      <c r="I130" s="230">
        <v>34400</v>
      </c>
      <c r="J130" s="230">
        <v>34400</v>
      </c>
      <c r="K130" s="230">
        <v>34400</v>
      </c>
      <c r="L130" s="230">
        <v>34400</v>
      </c>
      <c r="M130" s="230">
        <v>34400</v>
      </c>
      <c r="N130" s="230">
        <v>34400</v>
      </c>
      <c r="O130" s="230">
        <v>17202</v>
      </c>
      <c r="P130" s="728">
        <f t="shared" si="30"/>
        <v>0.50005813953488376</v>
      </c>
      <c r="Q130" s="27"/>
    </row>
    <row r="131" spans="1:27" x14ac:dyDescent="0.25">
      <c r="A131" s="226" t="s">
        <v>125</v>
      </c>
      <c r="B131" s="227" t="s">
        <v>723</v>
      </c>
      <c r="C131" s="230"/>
      <c r="D131" s="230"/>
      <c r="E131" s="230"/>
      <c r="F131" s="230"/>
      <c r="G131" s="230"/>
      <c r="H131" s="230"/>
      <c r="I131" s="230"/>
      <c r="J131" s="230">
        <v>0</v>
      </c>
      <c r="K131" s="705">
        <v>1525</v>
      </c>
      <c r="L131" s="230">
        <v>1525</v>
      </c>
      <c r="M131" s="230">
        <v>1525</v>
      </c>
      <c r="N131" s="230">
        <v>1525</v>
      </c>
      <c r="O131" s="230">
        <v>1523</v>
      </c>
      <c r="P131" s="728">
        <f t="shared" si="30"/>
        <v>0.99868852459016388</v>
      </c>
      <c r="Q131" s="27"/>
    </row>
    <row r="132" spans="1:27" ht="15.75" thickBot="1" x14ac:dyDescent="0.3">
      <c r="A132" s="217" t="s">
        <v>125</v>
      </c>
      <c r="B132" s="218" t="s">
        <v>149</v>
      </c>
      <c r="C132" s="221">
        <f t="shared" ref="C132:L132" si="86">C67</f>
        <v>3600</v>
      </c>
      <c r="D132" s="221">
        <f t="shared" si="86"/>
        <v>3600</v>
      </c>
      <c r="E132" s="221">
        <f t="shared" si="86"/>
        <v>3600</v>
      </c>
      <c r="F132" s="221">
        <f t="shared" si="86"/>
        <v>3600</v>
      </c>
      <c r="G132" s="221">
        <f t="shared" si="86"/>
        <v>3600</v>
      </c>
      <c r="H132" s="221">
        <f t="shared" si="86"/>
        <v>3600</v>
      </c>
      <c r="I132" s="221">
        <f t="shared" si="86"/>
        <v>3600</v>
      </c>
      <c r="J132" s="221">
        <f t="shared" si="86"/>
        <v>3600</v>
      </c>
      <c r="K132" s="221">
        <f t="shared" si="86"/>
        <v>3600</v>
      </c>
      <c r="L132" s="221">
        <f t="shared" si="86"/>
        <v>3600</v>
      </c>
      <c r="M132" s="221">
        <f t="shared" ref="M132:N132" si="87">M67</f>
        <v>3600</v>
      </c>
      <c r="N132" s="221">
        <f t="shared" si="87"/>
        <v>3600</v>
      </c>
      <c r="O132" s="221">
        <v>2184</v>
      </c>
      <c r="P132" s="728">
        <f t="shared" ref="P132:P195" si="88">O132/N132</f>
        <v>0.60666666666666669</v>
      </c>
      <c r="Q132" s="27">
        <f>SUM(N130:N132)</f>
        <v>39525</v>
      </c>
      <c r="R132" s="27">
        <f>SUM(O130:O132)</f>
        <v>20909</v>
      </c>
      <c r="S132" s="27"/>
      <c r="T132" s="27"/>
      <c r="U132" s="27"/>
      <c r="V132" s="27"/>
      <c r="W132" s="27"/>
      <c r="X132" s="27"/>
      <c r="Y132" s="27"/>
      <c r="Z132" s="27"/>
      <c r="AA132" s="27"/>
    </row>
    <row r="133" spans="1:27" ht="21.75" customHeight="1" thickBot="1" x14ac:dyDescent="0.3">
      <c r="A133" s="903" t="s">
        <v>150</v>
      </c>
      <c r="B133" s="904"/>
      <c r="C133" s="233">
        <f t="shared" ref="C133:O133" si="89">SUM(C128:C132)</f>
        <v>759500</v>
      </c>
      <c r="D133" s="233">
        <f t="shared" si="89"/>
        <v>761598</v>
      </c>
      <c r="E133" s="233">
        <f t="shared" si="89"/>
        <v>761598</v>
      </c>
      <c r="F133" s="233">
        <f t="shared" si="89"/>
        <v>750959</v>
      </c>
      <c r="G133" s="233">
        <f t="shared" si="89"/>
        <v>750959</v>
      </c>
      <c r="H133" s="233">
        <f t="shared" si="89"/>
        <v>750959</v>
      </c>
      <c r="I133" s="233">
        <f t="shared" si="89"/>
        <v>754598</v>
      </c>
      <c r="J133" s="233">
        <f t="shared" si="89"/>
        <v>754598</v>
      </c>
      <c r="K133" s="233">
        <f t="shared" si="89"/>
        <v>778925</v>
      </c>
      <c r="L133" s="233">
        <f t="shared" si="89"/>
        <v>778925</v>
      </c>
      <c r="M133" s="233">
        <f t="shared" ref="M133:N133" si="90">SUM(M128:M132)</f>
        <v>778925</v>
      </c>
      <c r="N133" s="233">
        <f t="shared" si="90"/>
        <v>778925</v>
      </c>
      <c r="O133" s="233">
        <f t="shared" si="89"/>
        <v>424410</v>
      </c>
      <c r="P133" s="728">
        <f t="shared" si="88"/>
        <v>0.54486632217479214</v>
      </c>
      <c r="Q133" s="27">
        <f>D133-C133</f>
        <v>2098</v>
      </c>
      <c r="R133" s="27">
        <f>E133-D133</f>
        <v>0</v>
      </c>
      <c r="S133" s="27">
        <f>F133-E133</f>
        <v>-10639</v>
      </c>
      <c r="T133" s="27">
        <f t="shared" ref="T133:X133" si="91">G133-F133</f>
        <v>0</v>
      </c>
      <c r="U133" s="27">
        <f t="shared" si="91"/>
        <v>0</v>
      </c>
      <c r="V133" s="27">
        <f t="shared" si="91"/>
        <v>3639</v>
      </c>
      <c r="W133" s="27">
        <f t="shared" si="91"/>
        <v>0</v>
      </c>
      <c r="X133" s="27">
        <f t="shared" si="91"/>
        <v>24327</v>
      </c>
      <c r="Y133" s="27">
        <f t="shared" ref="Y133" si="92">L133-K133</f>
        <v>0</v>
      </c>
      <c r="Z133" s="27">
        <f t="shared" ref="Z133" si="93">M133-L133</f>
        <v>0</v>
      </c>
      <c r="AA133" s="27">
        <f t="shared" ref="AA133" si="94">N133-M133</f>
        <v>0</v>
      </c>
    </row>
    <row r="134" spans="1:27" x14ac:dyDescent="0.25">
      <c r="A134" s="234" t="s">
        <v>125</v>
      </c>
      <c r="B134" s="797" t="s">
        <v>151</v>
      </c>
      <c r="C134" s="238">
        <v>298000</v>
      </c>
      <c r="D134" s="238">
        <v>298000</v>
      </c>
      <c r="E134" s="238">
        <v>298000</v>
      </c>
      <c r="F134" s="238">
        <v>298000</v>
      </c>
      <c r="G134" s="238">
        <v>298000</v>
      </c>
      <c r="H134" s="238">
        <v>298000</v>
      </c>
      <c r="I134" s="238">
        <v>298000</v>
      </c>
      <c r="J134" s="238">
        <v>298000</v>
      </c>
      <c r="K134" s="238">
        <v>298000</v>
      </c>
      <c r="L134" s="238">
        <v>298000</v>
      </c>
      <c r="M134" s="238">
        <v>298000</v>
      </c>
      <c r="N134" s="238">
        <v>298000</v>
      </c>
      <c r="O134" s="238">
        <v>148998</v>
      </c>
      <c r="P134" s="728">
        <f t="shared" si="88"/>
        <v>0.49999328859060405</v>
      </c>
      <c r="Q134" s="1"/>
    </row>
    <row r="135" spans="1:27" x14ac:dyDescent="0.25">
      <c r="A135" s="239" t="s">
        <v>125</v>
      </c>
      <c r="B135" s="240" t="s">
        <v>724</v>
      </c>
      <c r="C135" s="89"/>
      <c r="D135" s="89"/>
      <c r="E135" s="89"/>
      <c r="F135" s="89"/>
      <c r="G135" s="89"/>
      <c r="H135" s="89"/>
      <c r="I135" s="89"/>
      <c r="J135" s="89">
        <v>0</v>
      </c>
      <c r="K135" s="705">
        <v>11670</v>
      </c>
      <c r="L135" s="89">
        <v>11670</v>
      </c>
      <c r="M135" s="89">
        <v>11670</v>
      </c>
      <c r="N135" s="89">
        <f>11670-55</f>
        <v>11615</v>
      </c>
      <c r="O135" s="89">
        <v>11614</v>
      </c>
      <c r="P135" s="728">
        <f t="shared" si="88"/>
        <v>0.9999139044339217</v>
      </c>
      <c r="Q135" s="1"/>
    </row>
    <row r="136" spans="1:27" ht="15.75" thickBot="1" x14ac:dyDescent="0.3">
      <c r="A136" s="239" t="s">
        <v>125</v>
      </c>
      <c r="B136" s="240" t="s">
        <v>152</v>
      </c>
      <c r="C136" s="89">
        <f t="shared" ref="C136:L136" si="95">C69</f>
        <v>13600</v>
      </c>
      <c r="D136" s="89">
        <f t="shared" si="95"/>
        <v>13600</v>
      </c>
      <c r="E136" s="89">
        <f t="shared" si="95"/>
        <v>13600</v>
      </c>
      <c r="F136" s="89">
        <f t="shared" si="95"/>
        <v>13600</v>
      </c>
      <c r="G136" s="89">
        <f t="shared" si="95"/>
        <v>13600</v>
      </c>
      <c r="H136" s="89">
        <f t="shared" si="95"/>
        <v>13600</v>
      </c>
      <c r="I136" s="89">
        <f t="shared" si="95"/>
        <v>13600</v>
      </c>
      <c r="J136" s="89">
        <f t="shared" si="95"/>
        <v>13600</v>
      </c>
      <c r="K136" s="89">
        <f t="shared" si="95"/>
        <v>13600</v>
      </c>
      <c r="L136" s="89">
        <f t="shared" si="95"/>
        <v>13600</v>
      </c>
      <c r="M136" s="89">
        <f t="shared" ref="M136:N136" si="96">M69</f>
        <v>13600</v>
      </c>
      <c r="N136" s="89">
        <f t="shared" si="96"/>
        <v>13600</v>
      </c>
      <c r="O136" s="89">
        <v>6775</v>
      </c>
      <c r="P136" s="728">
        <f t="shared" si="88"/>
        <v>0.49816176470588236</v>
      </c>
      <c r="Q136" s="1"/>
    </row>
    <row r="137" spans="1:27" ht="15.75" thickBot="1" x14ac:dyDescent="0.3">
      <c r="A137" s="886" t="s">
        <v>153</v>
      </c>
      <c r="B137" s="887"/>
      <c r="C137" s="245">
        <f t="shared" ref="C137:O137" si="97">SUM(C134:C136)</f>
        <v>311600</v>
      </c>
      <c r="D137" s="245">
        <f t="shared" si="97"/>
        <v>311600</v>
      </c>
      <c r="E137" s="245">
        <f t="shared" si="97"/>
        <v>311600</v>
      </c>
      <c r="F137" s="245">
        <f t="shared" si="97"/>
        <v>311600</v>
      </c>
      <c r="G137" s="245">
        <f t="shared" si="97"/>
        <v>311600</v>
      </c>
      <c r="H137" s="245">
        <f t="shared" si="97"/>
        <v>311600</v>
      </c>
      <c r="I137" s="245">
        <f t="shared" si="97"/>
        <v>311600</v>
      </c>
      <c r="J137" s="245">
        <f t="shared" si="97"/>
        <v>311600</v>
      </c>
      <c r="K137" s="245">
        <f t="shared" si="97"/>
        <v>323270</v>
      </c>
      <c r="L137" s="245">
        <f t="shared" si="97"/>
        <v>323270</v>
      </c>
      <c r="M137" s="245">
        <f t="shared" ref="M137:N137" si="98">SUM(M134:M136)</f>
        <v>323270</v>
      </c>
      <c r="N137" s="245">
        <f t="shared" si="98"/>
        <v>323215</v>
      </c>
      <c r="O137" s="245">
        <f t="shared" si="97"/>
        <v>167387</v>
      </c>
      <c r="P137" s="728">
        <f t="shared" si="88"/>
        <v>0.51788128645019571</v>
      </c>
      <c r="Q137" s="27">
        <f t="shared" ref="Q137:S139" si="99">D137-C137</f>
        <v>0</v>
      </c>
      <c r="R137" s="27">
        <f t="shared" si="99"/>
        <v>0</v>
      </c>
      <c r="S137" s="27">
        <f t="shared" si="99"/>
        <v>0</v>
      </c>
      <c r="T137" s="27">
        <f t="shared" ref="T137:X139" si="100">G137-F137</f>
        <v>0</v>
      </c>
      <c r="U137" s="27">
        <f t="shared" si="100"/>
        <v>0</v>
      </c>
      <c r="V137" s="27">
        <f t="shared" si="100"/>
        <v>0</v>
      </c>
      <c r="W137" s="27">
        <f t="shared" si="100"/>
        <v>0</v>
      </c>
      <c r="X137" s="27">
        <f t="shared" si="100"/>
        <v>11670</v>
      </c>
      <c r="Y137" s="27">
        <f t="shared" ref="Y137:Y139" si="101">L137-K137</f>
        <v>0</v>
      </c>
      <c r="Z137" s="27">
        <f t="shared" ref="Z137:Z139" si="102">M137-L137</f>
        <v>0</v>
      </c>
      <c r="AA137" s="27">
        <f t="shared" ref="AA137:AA139" si="103">N137-M137</f>
        <v>-55</v>
      </c>
    </row>
    <row r="138" spans="1:27" ht="22.5" customHeight="1" thickBot="1" x14ac:dyDescent="0.3">
      <c r="A138" s="872" t="s">
        <v>154</v>
      </c>
      <c r="B138" s="873"/>
      <c r="C138" s="248">
        <f t="shared" ref="C138:O138" si="104">C133+C137</f>
        <v>1071100</v>
      </c>
      <c r="D138" s="248">
        <f t="shared" si="104"/>
        <v>1073198</v>
      </c>
      <c r="E138" s="248">
        <f t="shared" si="104"/>
        <v>1073198</v>
      </c>
      <c r="F138" s="248">
        <f t="shared" si="104"/>
        <v>1062559</v>
      </c>
      <c r="G138" s="248">
        <f t="shared" si="104"/>
        <v>1062559</v>
      </c>
      <c r="H138" s="248">
        <f t="shared" si="104"/>
        <v>1062559</v>
      </c>
      <c r="I138" s="248">
        <f t="shared" si="104"/>
        <v>1066198</v>
      </c>
      <c r="J138" s="248">
        <f t="shared" si="104"/>
        <v>1066198</v>
      </c>
      <c r="K138" s="248">
        <f t="shared" si="104"/>
        <v>1102195</v>
      </c>
      <c r="L138" s="248">
        <f t="shared" si="104"/>
        <v>1102195</v>
      </c>
      <c r="M138" s="248">
        <f t="shared" ref="M138:N138" si="105">M133+M137</f>
        <v>1102195</v>
      </c>
      <c r="N138" s="248">
        <f t="shared" si="105"/>
        <v>1102140</v>
      </c>
      <c r="O138" s="248">
        <f t="shared" si="104"/>
        <v>591797</v>
      </c>
      <c r="P138" s="728">
        <f t="shared" si="88"/>
        <v>0.53695265574246465</v>
      </c>
      <c r="Q138" s="27">
        <f t="shared" si="99"/>
        <v>2098</v>
      </c>
      <c r="R138" s="27">
        <f t="shared" si="99"/>
        <v>0</v>
      </c>
      <c r="S138" s="27">
        <f t="shared" si="99"/>
        <v>-10639</v>
      </c>
      <c r="T138" s="27">
        <f t="shared" si="100"/>
        <v>0</v>
      </c>
      <c r="U138" s="27">
        <f t="shared" si="100"/>
        <v>0</v>
      </c>
      <c r="V138" s="27">
        <f t="shared" si="100"/>
        <v>3639</v>
      </c>
      <c r="W138" s="27">
        <f t="shared" si="100"/>
        <v>0</v>
      </c>
      <c r="X138" s="27">
        <f t="shared" si="100"/>
        <v>35997</v>
      </c>
      <c r="Y138" s="27">
        <f t="shared" si="101"/>
        <v>0</v>
      </c>
      <c r="Z138" s="27">
        <f t="shared" si="102"/>
        <v>0</v>
      </c>
      <c r="AA138" s="27">
        <f t="shared" si="103"/>
        <v>-55</v>
      </c>
    </row>
    <row r="139" spans="1:27" ht="27.75" customHeight="1" thickBot="1" x14ac:dyDescent="0.3">
      <c r="A139" s="249" t="s">
        <v>155</v>
      </c>
      <c r="B139" s="140"/>
      <c r="C139" s="252">
        <f t="shared" ref="C139:O139" si="106">C127+C138</f>
        <v>2990485</v>
      </c>
      <c r="D139" s="252">
        <f t="shared" si="106"/>
        <v>2995354</v>
      </c>
      <c r="E139" s="252">
        <f t="shared" si="106"/>
        <v>3012464</v>
      </c>
      <c r="F139" s="252">
        <f t="shared" si="106"/>
        <v>3005688</v>
      </c>
      <c r="G139" s="252">
        <f t="shared" si="106"/>
        <v>3005688</v>
      </c>
      <c r="H139" s="252">
        <f t="shared" si="106"/>
        <v>3005688</v>
      </c>
      <c r="I139" s="252">
        <f t="shared" si="106"/>
        <v>3017644</v>
      </c>
      <c r="J139" s="252">
        <f t="shared" si="106"/>
        <v>3018568</v>
      </c>
      <c r="K139" s="252">
        <f t="shared" si="106"/>
        <v>3116397</v>
      </c>
      <c r="L139" s="252">
        <f t="shared" si="106"/>
        <v>3117942</v>
      </c>
      <c r="M139" s="252">
        <f t="shared" ref="M139:N139" si="107">M127+M138</f>
        <v>3117942</v>
      </c>
      <c r="N139" s="252">
        <f t="shared" si="107"/>
        <v>3122341</v>
      </c>
      <c r="O139" s="252">
        <f t="shared" si="106"/>
        <v>1410031</v>
      </c>
      <c r="P139" s="728">
        <f t="shared" si="88"/>
        <v>0.45159417244945377</v>
      </c>
      <c r="Q139" s="27">
        <f t="shared" si="99"/>
        <v>4869</v>
      </c>
      <c r="R139" s="27">
        <f t="shared" si="99"/>
        <v>17110</v>
      </c>
      <c r="S139" s="27">
        <f t="shared" si="99"/>
        <v>-6776</v>
      </c>
      <c r="T139" s="27">
        <f t="shared" si="100"/>
        <v>0</v>
      </c>
      <c r="U139" s="27">
        <f t="shared" si="100"/>
        <v>0</v>
      </c>
      <c r="V139" s="27">
        <f t="shared" si="100"/>
        <v>11956</v>
      </c>
      <c r="W139" s="27">
        <f t="shared" si="100"/>
        <v>924</v>
      </c>
      <c r="X139" s="27">
        <f t="shared" si="100"/>
        <v>97829</v>
      </c>
      <c r="Y139" s="27">
        <f t="shared" si="101"/>
        <v>1545</v>
      </c>
      <c r="Z139" s="27">
        <f t="shared" si="102"/>
        <v>0</v>
      </c>
      <c r="AA139" s="27">
        <f t="shared" si="103"/>
        <v>4399</v>
      </c>
    </row>
    <row r="140" spans="1:2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7">
        <f>K139-J139</f>
        <v>97829</v>
      </c>
      <c r="L140" s="1"/>
      <c r="M140" s="1"/>
      <c r="N140" s="1"/>
      <c r="O140" s="1"/>
      <c r="P140" s="728"/>
      <c r="Q140" s="1"/>
    </row>
    <row r="141" spans="1:2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728"/>
      <c r="Q141" s="1"/>
    </row>
    <row r="142" spans="1:27" ht="26.25" customHeight="1" thickBot="1" x14ac:dyDescent="0.3">
      <c r="A142" s="874" t="s">
        <v>156</v>
      </c>
      <c r="B142" s="875"/>
      <c r="C142" s="875"/>
      <c r="D142" s="875"/>
      <c r="E142" s="875"/>
      <c r="F142" s="875"/>
      <c r="G142" s="875"/>
      <c r="H142" s="875"/>
      <c r="I142" s="875"/>
      <c r="J142" s="875"/>
      <c r="K142" s="875"/>
      <c r="L142" s="875"/>
      <c r="M142" s="875"/>
      <c r="N142" s="875"/>
      <c r="O142" s="875"/>
      <c r="P142" s="728"/>
      <c r="Q142" s="1"/>
    </row>
    <row r="143" spans="1:27" ht="38.25" customHeight="1" thickBot="1" x14ac:dyDescent="0.3">
      <c r="A143" s="876" t="s">
        <v>1</v>
      </c>
      <c r="B143" s="877"/>
      <c r="C143" s="387" t="s">
        <v>467</v>
      </c>
      <c r="D143" s="387" t="s">
        <v>465</v>
      </c>
      <c r="E143" s="387" t="s">
        <v>483</v>
      </c>
      <c r="F143" s="387" t="s">
        <v>500</v>
      </c>
      <c r="G143" s="387" t="s">
        <v>533</v>
      </c>
      <c r="H143" s="387" t="s">
        <v>578</v>
      </c>
      <c r="I143" s="387" t="s">
        <v>610</v>
      </c>
      <c r="J143" s="387" t="s">
        <v>579</v>
      </c>
      <c r="K143" s="387" t="s">
        <v>646</v>
      </c>
      <c r="L143" s="387" t="s">
        <v>637</v>
      </c>
      <c r="M143" s="387" t="s">
        <v>670</v>
      </c>
      <c r="N143" s="387" t="s">
        <v>680</v>
      </c>
      <c r="O143" s="387" t="s">
        <v>722</v>
      </c>
      <c r="P143" s="728"/>
      <c r="Q143" s="1"/>
    </row>
    <row r="144" spans="1:27" ht="25.5" customHeight="1" thickBot="1" x14ac:dyDescent="0.3">
      <c r="A144" s="878" t="s">
        <v>157</v>
      </c>
      <c r="B144" s="879"/>
      <c r="C144" s="253">
        <f>SUM(C145:C157)</f>
        <v>2593450</v>
      </c>
      <c r="D144" s="253">
        <f t="shared" ref="D144:O144" si="108">SUM(D145:D157)</f>
        <v>2523450</v>
      </c>
      <c r="E144" s="253">
        <f t="shared" si="108"/>
        <v>2511270</v>
      </c>
      <c r="F144" s="253">
        <f t="shared" si="108"/>
        <v>2511270</v>
      </c>
      <c r="G144" s="253">
        <f t="shared" si="108"/>
        <v>2541070</v>
      </c>
      <c r="H144" s="253">
        <f t="shared" si="108"/>
        <v>2541070</v>
      </c>
      <c r="I144" s="253">
        <f t="shared" si="108"/>
        <v>2541070</v>
      </c>
      <c r="J144" s="253">
        <f t="shared" si="108"/>
        <v>2541070</v>
      </c>
      <c r="K144" s="253">
        <f t="shared" si="108"/>
        <v>2541070</v>
      </c>
      <c r="L144" s="253">
        <f t="shared" si="108"/>
        <v>2614470</v>
      </c>
      <c r="M144" s="253">
        <f t="shared" si="108"/>
        <v>2714670</v>
      </c>
      <c r="N144" s="253">
        <f t="shared" si="108"/>
        <v>2714670</v>
      </c>
      <c r="O144" s="253">
        <f t="shared" si="108"/>
        <v>0</v>
      </c>
      <c r="P144" s="728">
        <f t="shared" si="88"/>
        <v>0</v>
      </c>
      <c r="Q144" s="27">
        <f t="shared" ref="Q144:X144" si="109">D144-C144</f>
        <v>-70000</v>
      </c>
      <c r="R144" s="27">
        <f t="shared" si="109"/>
        <v>-12180</v>
      </c>
      <c r="S144" s="27">
        <f t="shared" si="109"/>
        <v>0</v>
      </c>
      <c r="T144" s="27">
        <f t="shared" si="109"/>
        <v>29800</v>
      </c>
      <c r="U144" s="27">
        <f t="shared" si="109"/>
        <v>0</v>
      </c>
      <c r="V144" s="27">
        <f t="shared" si="109"/>
        <v>0</v>
      </c>
      <c r="W144" s="27">
        <f t="shared" si="109"/>
        <v>0</v>
      </c>
      <c r="X144" s="27">
        <f t="shared" si="109"/>
        <v>0</v>
      </c>
      <c r="Y144" s="27">
        <f t="shared" ref="Y144:AA144" si="110">L144-K144</f>
        <v>73400</v>
      </c>
      <c r="Z144" s="27">
        <f t="shared" si="110"/>
        <v>100200</v>
      </c>
      <c r="AA144" s="27">
        <f t="shared" si="110"/>
        <v>0</v>
      </c>
    </row>
    <row r="145" spans="1:27" ht="15.75" thickBot="1" x14ac:dyDescent="0.3">
      <c r="A145" s="77">
        <v>233</v>
      </c>
      <c r="B145" s="311" t="s">
        <v>158</v>
      </c>
      <c r="C145" s="255">
        <v>3000</v>
      </c>
      <c r="D145" s="255">
        <v>3000</v>
      </c>
      <c r="E145" s="255">
        <v>3000</v>
      </c>
      <c r="F145" s="255">
        <v>3000</v>
      </c>
      <c r="G145" s="255">
        <v>3000</v>
      </c>
      <c r="H145" s="255">
        <v>3000</v>
      </c>
      <c r="I145" s="255">
        <v>3000</v>
      </c>
      <c r="J145" s="255">
        <v>3000</v>
      </c>
      <c r="K145" s="255">
        <v>3000</v>
      </c>
      <c r="L145" s="255">
        <v>3000</v>
      </c>
      <c r="M145" s="255">
        <v>3000</v>
      </c>
      <c r="N145" s="255">
        <v>3000</v>
      </c>
      <c r="O145" s="255">
        <v>0</v>
      </c>
      <c r="P145" s="728">
        <f t="shared" si="88"/>
        <v>0</v>
      </c>
      <c r="Q145" s="1"/>
    </row>
    <row r="146" spans="1:27" x14ac:dyDescent="0.25">
      <c r="A146" s="261">
        <v>322</v>
      </c>
      <c r="B146" s="264" t="s">
        <v>356</v>
      </c>
      <c r="C146" s="260">
        <v>145000</v>
      </c>
      <c r="D146" s="260">
        <v>145000</v>
      </c>
      <c r="E146" s="260">
        <v>145000</v>
      </c>
      <c r="F146" s="260">
        <v>145000</v>
      </c>
      <c r="G146" s="260">
        <v>145000</v>
      </c>
      <c r="H146" s="260">
        <v>145000</v>
      </c>
      <c r="I146" s="260">
        <v>145000</v>
      </c>
      <c r="J146" s="260">
        <v>145000</v>
      </c>
      <c r="K146" s="260">
        <v>145000</v>
      </c>
      <c r="L146" s="260">
        <v>145000</v>
      </c>
      <c r="M146" s="260">
        <v>145000</v>
      </c>
      <c r="N146" s="260">
        <v>145000</v>
      </c>
      <c r="O146" s="699">
        <v>0</v>
      </c>
      <c r="P146" s="728">
        <f t="shared" si="88"/>
        <v>0</v>
      </c>
      <c r="Q146" s="1"/>
    </row>
    <row r="147" spans="1:27" x14ac:dyDescent="0.25">
      <c r="A147" s="261">
        <v>322</v>
      </c>
      <c r="B147" s="76" t="s">
        <v>355</v>
      </c>
      <c r="C147" s="263">
        <v>430000</v>
      </c>
      <c r="D147" s="263">
        <v>430000</v>
      </c>
      <c r="E147" s="263">
        <v>430000</v>
      </c>
      <c r="F147" s="263">
        <v>430000</v>
      </c>
      <c r="G147" s="263">
        <v>430000</v>
      </c>
      <c r="H147" s="263">
        <v>430000</v>
      </c>
      <c r="I147" s="263">
        <v>430000</v>
      </c>
      <c r="J147" s="263">
        <v>430000</v>
      </c>
      <c r="K147" s="263">
        <v>430000</v>
      </c>
      <c r="L147" s="263">
        <v>430000</v>
      </c>
      <c r="M147" s="263">
        <v>430000</v>
      </c>
      <c r="N147" s="263">
        <v>430000</v>
      </c>
      <c r="O147" s="263">
        <v>0</v>
      </c>
      <c r="P147" s="728">
        <f t="shared" si="88"/>
        <v>0</v>
      </c>
      <c r="Q147" s="1"/>
    </row>
    <row r="148" spans="1:27" x14ac:dyDescent="0.25">
      <c r="A148" s="261">
        <v>322</v>
      </c>
      <c r="B148" s="84" t="s">
        <v>348</v>
      </c>
      <c r="C148" s="263">
        <v>138200</v>
      </c>
      <c r="D148" s="263">
        <v>138200</v>
      </c>
      <c r="E148" s="263">
        <v>138200</v>
      </c>
      <c r="F148" s="263">
        <v>138200</v>
      </c>
      <c r="G148" s="263">
        <v>138200</v>
      </c>
      <c r="H148" s="263">
        <v>138200</v>
      </c>
      <c r="I148" s="263">
        <v>138200</v>
      </c>
      <c r="J148" s="263">
        <v>138200</v>
      </c>
      <c r="K148" s="263">
        <v>138200</v>
      </c>
      <c r="L148" s="263">
        <v>138200</v>
      </c>
      <c r="M148" s="263">
        <v>138200</v>
      </c>
      <c r="N148" s="263">
        <v>138200</v>
      </c>
      <c r="O148" s="260">
        <v>0</v>
      </c>
      <c r="P148" s="728">
        <f t="shared" si="88"/>
        <v>0</v>
      </c>
      <c r="Q148" s="1"/>
    </row>
    <row r="149" spans="1:27" x14ac:dyDescent="0.25">
      <c r="A149" s="261">
        <v>322</v>
      </c>
      <c r="B149" s="76" t="s">
        <v>353</v>
      </c>
      <c r="C149" s="263">
        <v>1146000</v>
      </c>
      <c r="D149" s="263">
        <v>1146000</v>
      </c>
      <c r="E149" s="263">
        <v>1146000</v>
      </c>
      <c r="F149" s="263">
        <v>1146000</v>
      </c>
      <c r="G149" s="263">
        <v>1146000</v>
      </c>
      <c r="H149" s="263">
        <v>1146000</v>
      </c>
      <c r="I149" s="263">
        <v>1146000</v>
      </c>
      <c r="J149" s="263">
        <v>1146000</v>
      </c>
      <c r="K149" s="263">
        <v>1146000</v>
      </c>
      <c r="L149" s="263">
        <v>1146000</v>
      </c>
      <c r="M149" s="812">
        <f>1146000+200</f>
        <v>1146200</v>
      </c>
      <c r="N149" s="263">
        <f>1146000+200</f>
        <v>1146200</v>
      </c>
      <c r="O149" s="260">
        <v>0</v>
      </c>
      <c r="P149" s="728">
        <f t="shared" si="88"/>
        <v>0</v>
      </c>
      <c r="Q149" s="1"/>
    </row>
    <row r="150" spans="1:27" x14ac:dyDescent="0.25">
      <c r="A150" s="258">
        <v>322</v>
      </c>
      <c r="B150" s="72" t="s">
        <v>352</v>
      </c>
      <c r="C150" s="260">
        <v>379400</v>
      </c>
      <c r="D150" s="260">
        <v>379400</v>
      </c>
      <c r="E150" s="763">
        <f t="shared" ref="E150:N150" si="111">379400+680</f>
        <v>380080</v>
      </c>
      <c r="F150" s="260">
        <f t="shared" si="111"/>
        <v>380080</v>
      </c>
      <c r="G150" s="260">
        <f t="shared" si="111"/>
        <v>380080</v>
      </c>
      <c r="H150" s="260">
        <f t="shared" si="111"/>
        <v>380080</v>
      </c>
      <c r="I150" s="260">
        <f t="shared" si="111"/>
        <v>380080</v>
      </c>
      <c r="J150" s="260">
        <f t="shared" si="111"/>
        <v>380080</v>
      </c>
      <c r="K150" s="260">
        <f t="shared" si="111"/>
        <v>380080</v>
      </c>
      <c r="L150" s="260">
        <f t="shared" si="111"/>
        <v>380080</v>
      </c>
      <c r="M150" s="260">
        <f t="shared" si="111"/>
        <v>380080</v>
      </c>
      <c r="N150" s="260">
        <f t="shared" si="111"/>
        <v>380080</v>
      </c>
      <c r="O150" s="260">
        <v>0</v>
      </c>
      <c r="P150" s="728">
        <f t="shared" si="88"/>
        <v>0</v>
      </c>
      <c r="Q150" s="1"/>
    </row>
    <row r="151" spans="1:27" x14ac:dyDescent="0.25">
      <c r="A151" s="258">
        <v>322</v>
      </c>
      <c r="B151" s="72" t="s">
        <v>351</v>
      </c>
      <c r="C151" s="257">
        <v>50000</v>
      </c>
      <c r="D151" s="257">
        <v>50000</v>
      </c>
      <c r="E151" s="257">
        <v>50000</v>
      </c>
      <c r="F151" s="257">
        <v>50000</v>
      </c>
      <c r="G151" s="257">
        <v>50000</v>
      </c>
      <c r="H151" s="257">
        <v>50000</v>
      </c>
      <c r="I151" s="257">
        <v>50000</v>
      </c>
      <c r="J151" s="257">
        <v>50000</v>
      </c>
      <c r="K151" s="257">
        <v>50000</v>
      </c>
      <c r="L151" s="257">
        <v>50000</v>
      </c>
      <c r="M151" s="257">
        <v>50000</v>
      </c>
      <c r="N151" s="257">
        <v>50000</v>
      </c>
      <c r="O151" s="260">
        <v>0</v>
      </c>
      <c r="P151" s="728">
        <f t="shared" si="88"/>
        <v>0</v>
      </c>
      <c r="Q151" s="1"/>
    </row>
    <row r="152" spans="1:27" x14ac:dyDescent="0.25">
      <c r="A152" s="258">
        <v>322</v>
      </c>
      <c r="B152" s="114" t="s">
        <v>349</v>
      </c>
      <c r="C152" s="257">
        <v>196500</v>
      </c>
      <c r="D152" s="257">
        <v>196500</v>
      </c>
      <c r="E152" s="688">
        <f t="shared" ref="E152:N152" si="112">196500-12860</f>
        <v>183640</v>
      </c>
      <c r="F152" s="257">
        <f t="shared" si="112"/>
        <v>183640</v>
      </c>
      <c r="G152" s="257">
        <f t="shared" si="112"/>
        <v>183640</v>
      </c>
      <c r="H152" s="257">
        <f t="shared" si="112"/>
        <v>183640</v>
      </c>
      <c r="I152" s="257">
        <f t="shared" si="112"/>
        <v>183640</v>
      </c>
      <c r="J152" s="257">
        <f t="shared" si="112"/>
        <v>183640</v>
      </c>
      <c r="K152" s="257">
        <f t="shared" si="112"/>
        <v>183640</v>
      </c>
      <c r="L152" s="257">
        <f t="shared" si="112"/>
        <v>183640</v>
      </c>
      <c r="M152" s="257">
        <f t="shared" si="112"/>
        <v>183640</v>
      </c>
      <c r="N152" s="257">
        <f t="shared" si="112"/>
        <v>183640</v>
      </c>
      <c r="O152" s="260">
        <v>0</v>
      </c>
      <c r="P152" s="728">
        <f t="shared" si="88"/>
        <v>0</v>
      </c>
      <c r="Q152" s="1"/>
    </row>
    <row r="153" spans="1:27" x14ac:dyDescent="0.25">
      <c r="A153" s="258">
        <v>322</v>
      </c>
      <c r="B153" s="114" t="s">
        <v>635</v>
      </c>
      <c r="C153" s="257">
        <v>0</v>
      </c>
      <c r="D153" s="257">
        <v>0</v>
      </c>
      <c r="E153" s="257">
        <v>0</v>
      </c>
      <c r="F153" s="257">
        <v>0</v>
      </c>
      <c r="G153" s="688">
        <v>29800</v>
      </c>
      <c r="H153" s="257">
        <v>29800</v>
      </c>
      <c r="I153" s="257">
        <v>29800</v>
      </c>
      <c r="J153" s="257">
        <v>29800</v>
      </c>
      <c r="K153" s="257">
        <v>29800</v>
      </c>
      <c r="L153" s="257">
        <v>29800</v>
      </c>
      <c r="M153" s="257">
        <v>29800</v>
      </c>
      <c r="N153" s="257">
        <v>29800</v>
      </c>
      <c r="O153" s="260">
        <v>0</v>
      </c>
      <c r="P153" s="728">
        <f t="shared" si="88"/>
        <v>0</v>
      </c>
      <c r="Q153" s="1"/>
    </row>
    <row r="154" spans="1:27" x14ac:dyDescent="0.25">
      <c r="A154" s="83">
        <v>322</v>
      </c>
      <c r="B154" s="522" t="s">
        <v>638</v>
      </c>
      <c r="C154" s="257">
        <v>0</v>
      </c>
      <c r="D154" s="257">
        <v>0</v>
      </c>
      <c r="E154" s="257">
        <v>0</v>
      </c>
      <c r="F154" s="257">
        <v>0</v>
      </c>
      <c r="G154" s="257">
        <v>0</v>
      </c>
      <c r="H154" s="257">
        <v>0</v>
      </c>
      <c r="I154" s="257">
        <v>0</v>
      </c>
      <c r="J154" s="257">
        <v>0</v>
      </c>
      <c r="K154" s="257">
        <v>0</v>
      </c>
      <c r="L154" s="688">
        <v>73400</v>
      </c>
      <c r="M154" s="257">
        <v>73400</v>
      </c>
      <c r="N154" s="257">
        <v>73400</v>
      </c>
      <c r="O154" s="260">
        <v>0</v>
      </c>
      <c r="P154" s="728">
        <f>O154/N154</f>
        <v>0</v>
      </c>
      <c r="Q154" s="1"/>
    </row>
    <row r="155" spans="1:27" x14ac:dyDescent="0.25">
      <c r="A155" s="258">
        <v>322</v>
      </c>
      <c r="B155" s="522" t="s">
        <v>681</v>
      </c>
      <c r="C155" s="257"/>
      <c r="D155" s="688"/>
      <c r="E155" s="257"/>
      <c r="F155" s="257"/>
      <c r="G155" s="257"/>
      <c r="H155" s="257"/>
      <c r="I155" s="257"/>
      <c r="J155" s="257"/>
      <c r="K155" s="257">
        <v>0</v>
      </c>
      <c r="L155" s="257">
        <v>0</v>
      </c>
      <c r="M155" s="688">
        <v>100000</v>
      </c>
      <c r="N155" s="257">
        <v>100000</v>
      </c>
      <c r="O155" s="260">
        <v>0</v>
      </c>
      <c r="P155" s="728">
        <f t="shared" si="88"/>
        <v>0</v>
      </c>
      <c r="Q155" s="1"/>
    </row>
    <row r="156" spans="1:27" x14ac:dyDescent="0.25">
      <c r="A156" s="258">
        <v>322</v>
      </c>
      <c r="B156" s="264" t="s">
        <v>286</v>
      </c>
      <c r="C156" s="257">
        <v>70000</v>
      </c>
      <c r="D156" s="688">
        <f t="shared" ref="D156:N156" si="113">70000-70000</f>
        <v>0</v>
      </c>
      <c r="E156" s="257">
        <f t="shared" si="113"/>
        <v>0</v>
      </c>
      <c r="F156" s="257">
        <f t="shared" si="113"/>
        <v>0</v>
      </c>
      <c r="G156" s="257">
        <f t="shared" si="113"/>
        <v>0</v>
      </c>
      <c r="H156" s="257">
        <f t="shared" si="113"/>
        <v>0</v>
      </c>
      <c r="I156" s="257">
        <f t="shared" si="113"/>
        <v>0</v>
      </c>
      <c r="J156" s="257">
        <f t="shared" si="113"/>
        <v>0</v>
      </c>
      <c r="K156" s="257">
        <f t="shared" si="113"/>
        <v>0</v>
      </c>
      <c r="L156" s="257">
        <f t="shared" si="113"/>
        <v>0</v>
      </c>
      <c r="M156" s="257">
        <f t="shared" si="113"/>
        <v>0</v>
      </c>
      <c r="N156" s="257">
        <f t="shared" si="113"/>
        <v>0</v>
      </c>
      <c r="O156" s="260">
        <v>0</v>
      </c>
      <c r="P156" s="728">
        <v>0</v>
      </c>
      <c r="Q156" s="1"/>
    </row>
    <row r="157" spans="1:27" ht="15.75" thickBot="1" x14ac:dyDescent="0.3">
      <c r="A157" s="506">
        <v>322</v>
      </c>
      <c r="B157" s="522" t="s">
        <v>287</v>
      </c>
      <c r="C157" s="257">
        <f t="shared" ref="C157:N157" si="114">140750-105400</f>
        <v>35350</v>
      </c>
      <c r="D157" s="257">
        <f t="shared" si="114"/>
        <v>35350</v>
      </c>
      <c r="E157" s="257">
        <f t="shared" si="114"/>
        <v>35350</v>
      </c>
      <c r="F157" s="257">
        <f t="shared" si="114"/>
        <v>35350</v>
      </c>
      <c r="G157" s="257">
        <f t="shared" si="114"/>
        <v>35350</v>
      </c>
      <c r="H157" s="257">
        <f t="shared" si="114"/>
        <v>35350</v>
      </c>
      <c r="I157" s="257">
        <f t="shared" si="114"/>
        <v>35350</v>
      </c>
      <c r="J157" s="257">
        <f t="shared" si="114"/>
        <v>35350</v>
      </c>
      <c r="K157" s="257">
        <f t="shared" si="114"/>
        <v>35350</v>
      </c>
      <c r="L157" s="257">
        <f t="shared" si="114"/>
        <v>35350</v>
      </c>
      <c r="M157" s="257">
        <f t="shared" si="114"/>
        <v>35350</v>
      </c>
      <c r="N157" s="257">
        <f t="shared" si="114"/>
        <v>35350</v>
      </c>
      <c r="O157" s="260">
        <v>0</v>
      </c>
      <c r="P157" s="728">
        <f t="shared" si="88"/>
        <v>0</v>
      </c>
      <c r="Q157" s="27">
        <f>SUM(N146:N157)</f>
        <v>2711670</v>
      </c>
      <c r="R157" s="27">
        <f>SUM(O146:O157)</f>
        <v>0</v>
      </c>
      <c r="S157" s="27"/>
    </row>
    <row r="158" spans="1:27" ht="25.5" customHeight="1" thickBot="1" x14ac:dyDescent="0.3">
      <c r="A158" s="878" t="s">
        <v>161</v>
      </c>
      <c r="B158" s="879"/>
      <c r="C158" s="253">
        <f>SUM(C159:C178)</f>
        <v>3144736</v>
      </c>
      <c r="D158" s="253">
        <f t="shared" ref="D158:O158" si="115">SUM(D159:D178)</f>
        <v>3137146</v>
      </c>
      <c r="E158" s="253">
        <f t="shared" si="115"/>
        <v>3124966</v>
      </c>
      <c r="F158" s="253">
        <f t="shared" si="115"/>
        <v>3124966</v>
      </c>
      <c r="G158" s="253">
        <f t="shared" si="115"/>
        <v>3154766</v>
      </c>
      <c r="H158" s="253">
        <f t="shared" si="115"/>
        <v>3154766</v>
      </c>
      <c r="I158" s="253">
        <f t="shared" si="115"/>
        <v>3154766</v>
      </c>
      <c r="J158" s="253">
        <f t="shared" si="115"/>
        <v>3154766</v>
      </c>
      <c r="K158" s="253">
        <f t="shared" si="115"/>
        <v>3154766</v>
      </c>
      <c r="L158" s="253">
        <f t="shared" si="115"/>
        <v>3228166</v>
      </c>
      <c r="M158" s="253">
        <f t="shared" si="115"/>
        <v>3633366</v>
      </c>
      <c r="N158" s="253">
        <f t="shared" si="115"/>
        <v>3633366</v>
      </c>
      <c r="O158" s="253">
        <f t="shared" si="115"/>
        <v>197890</v>
      </c>
      <c r="P158" s="728">
        <f t="shared" si="88"/>
        <v>5.4464647932523175E-2</v>
      </c>
      <c r="Q158" s="27">
        <f t="shared" ref="Q158:AA158" si="116">D158-C158</f>
        <v>-7590</v>
      </c>
      <c r="R158" s="27">
        <f t="shared" si="116"/>
        <v>-12180</v>
      </c>
      <c r="S158" s="27">
        <f t="shared" si="116"/>
        <v>0</v>
      </c>
      <c r="T158" s="27">
        <f t="shared" si="116"/>
        <v>29800</v>
      </c>
      <c r="U158" s="27">
        <f t="shared" si="116"/>
        <v>0</v>
      </c>
      <c r="V158" s="27">
        <f t="shared" si="116"/>
        <v>0</v>
      </c>
      <c r="W158" s="27">
        <f t="shared" si="116"/>
        <v>0</v>
      </c>
      <c r="X158" s="27">
        <f t="shared" si="116"/>
        <v>0</v>
      </c>
      <c r="Y158" s="27">
        <f t="shared" si="116"/>
        <v>73400</v>
      </c>
      <c r="Z158" s="27">
        <f t="shared" si="116"/>
        <v>405200</v>
      </c>
      <c r="AA158" s="27">
        <f t="shared" si="116"/>
        <v>0</v>
      </c>
    </row>
    <row r="159" spans="1:27" x14ac:dyDescent="0.25">
      <c r="A159" s="710" t="s">
        <v>82</v>
      </c>
      <c r="B159" s="711" t="s">
        <v>200</v>
      </c>
      <c r="C159" s="268">
        <v>30000</v>
      </c>
      <c r="D159" s="268">
        <v>30000</v>
      </c>
      <c r="E159" s="268">
        <v>30000</v>
      </c>
      <c r="F159" s="268">
        <v>30000</v>
      </c>
      <c r="G159" s="268">
        <v>30000</v>
      </c>
      <c r="H159" s="268">
        <v>30000</v>
      </c>
      <c r="I159" s="268">
        <v>30000</v>
      </c>
      <c r="J159" s="268">
        <v>30000</v>
      </c>
      <c r="K159" s="268">
        <v>30000</v>
      </c>
      <c r="L159" s="268">
        <v>30000</v>
      </c>
      <c r="M159" s="268">
        <v>30000</v>
      </c>
      <c r="N159" s="268">
        <v>30000</v>
      </c>
      <c r="O159" s="268">
        <v>13901</v>
      </c>
      <c r="P159" s="728">
        <f t="shared" si="88"/>
        <v>0.46336666666666665</v>
      </c>
      <c r="Q159" s="27"/>
    </row>
    <row r="160" spans="1:27" x14ac:dyDescent="0.25">
      <c r="A160" s="275" t="s">
        <v>82</v>
      </c>
      <c r="B160" s="265" t="s">
        <v>163</v>
      </c>
      <c r="C160" s="276">
        <v>1500</v>
      </c>
      <c r="D160" s="276">
        <v>1500</v>
      </c>
      <c r="E160" s="276">
        <v>1500</v>
      </c>
      <c r="F160" s="276">
        <v>1500</v>
      </c>
      <c r="G160" s="276">
        <v>1500</v>
      </c>
      <c r="H160" s="276">
        <v>1500</v>
      </c>
      <c r="I160" s="276">
        <v>1500</v>
      </c>
      <c r="J160" s="276">
        <v>1500</v>
      </c>
      <c r="K160" s="276">
        <v>1500</v>
      </c>
      <c r="L160" s="276">
        <v>1500</v>
      </c>
      <c r="M160" s="276">
        <v>1500</v>
      </c>
      <c r="N160" s="276">
        <v>1500</v>
      </c>
      <c r="O160" s="276">
        <v>0</v>
      </c>
      <c r="P160" s="728">
        <f t="shared" si="88"/>
        <v>0</v>
      </c>
      <c r="Q160" s="1"/>
    </row>
    <row r="161" spans="1:17" x14ac:dyDescent="0.25">
      <c r="A161" s="280" t="s">
        <v>87</v>
      </c>
      <c r="B161" s="556" t="s">
        <v>332</v>
      </c>
      <c r="C161" s="282">
        <v>151200</v>
      </c>
      <c r="D161" s="282">
        <v>151200</v>
      </c>
      <c r="E161" s="282">
        <v>151200</v>
      </c>
      <c r="F161" s="282">
        <v>151200</v>
      </c>
      <c r="G161" s="282">
        <v>151200</v>
      </c>
      <c r="H161" s="282">
        <v>151200</v>
      </c>
      <c r="I161" s="282">
        <v>151200</v>
      </c>
      <c r="J161" s="282">
        <v>151200</v>
      </c>
      <c r="K161" s="282">
        <v>151200</v>
      </c>
      <c r="L161" s="282">
        <v>151200</v>
      </c>
      <c r="M161" s="709">
        <f>151200+3530</f>
        <v>154730</v>
      </c>
      <c r="N161" s="282">
        <f>151200+3530</f>
        <v>154730</v>
      </c>
      <c r="O161" s="276">
        <v>0</v>
      </c>
      <c r="P161" s="728">
        <f t="shared" si="88"/>
        <v>0</v>
      </c>
      <c r="Q161" s="1"/>
    </row>
    <row r="162" spans="1:17" x14ac:dyDescent="0.25">
      <c r="A162" s="280" t="s">
        <v>89</v>
      </c>
      <c r="B162" s="281" t="s">
        <v>333</v>
      </c>
      <c r="C162" s="270">
        <v>100000</v>
      </c>
      <c r="D162" s="270">
        <v>100000</v>
      </c>
      <c r="E162" s="270">
        <v>100000</v>
      </c>
      <c r="F162" s="270">
        <v>100000</v>
      </c>
      <c r="G162" s="270">
        <v>100000</v>
      </c>
      <c r="H162" s="270">
        <v>100000</v>
      </c>
      <c r="I162" s="270">
        <v>100000</v>
      </c>
      <c r="J162" s="270">
        <v>100000</v>
      </c>
      <c r="K162" s="270">
        <v>100000</v>
      </c>
      <c r="L162" s="270">
        <v>100000</v>
      </c>
      <c r="M162" s="270">
        <v>100000</v>
      </c>
      <c r="N162" s="270">
        <v>100000</v>
      </c>
      <c r="O162" s="276">
        <v>0</v>
      </c>
      <c r="P162" s="728">
        <f t="shared" si="88"/>
        <v>0</v>
      </c>
      <c r="Q162" s="1"/>
    </row>
    <row r="163" spans="1:17" x14ac:dyDescent="0.25">
      <c r="A163" s="706" t="s">
        <v>93</v>
      </c>
      <c r="B163" s="707" t="s">
        <v>350</v>
      </c>
      <c r="C163" s="270">
        <v>196500</v>
      </c>
      <c r="D163" s="270">
        <v>196500</v>
      </c>
      <c r="E163" s="753">
        <f t="shared" ref="E163:N163" si="117">196500-12860</f>
        <v>183640</v>
      </c>
      <c r="F163" s="270">
        <f t="shared" si="117"/>
        <v>183640</v>
      </c>
      <c r="G163" s="270">
        <f t="shared" si="117"/>
        <v>183640</v>
      </c>
      <c r="H163" s="270">
        <f t="shared" si="117"/>
        <v>183640</v>
      </c>
      <c r="I163" s="270">
        <f t="shared" si="117"/>
        <v>183640</v>
      </c>
      <c r="J163" s="270">
        <f t="shared" si="117"/>
        <v>183640</v>
      </c>
      <c r="K163" s="270">
        <f t="shared" si="117"/>
        <v>183640</v>
      </c>
      <c r="L163" s="270">
        <f t="shared" si="117"/>
        <v>183640</v>
      </c>
      <c r="M163" s="270">
        <f t="shared" si="117"/>
        <v>183640</v>
      </c>
      <c r="N163" s="270">
        <f t="shared" si="117"/>
        <v>183640</v>
      </c>
      <c r="O163" s="276">
        <v>0</v>
      </c>
      <c r="P163" s="728">
        <f t="shared" si="88"/>
        <v>0</v>
      </c>
      <c r="Q163" s="1"/>
    </row>
    <row r="164" spans="1:17" x14ac:dyDescent="0.25">
      <c r="A164" s="706" t="s">
        <v>164</v>
      </c>
      <c r="B164" s="708" t="s">
        <v>165</v>
      </c>
      <c r="C164" s="270">
        <v>23000</v>
      </c>
      <c r="D164" s="270">
        <v>23000</v>
      </c>
      <c r="E164" s="270">
        <v>23000</v>
      </c>
      <c r="F164" s="270">
        <v>23000</v>
      </c>
      <c r="G164" s="270">
        <v>23000</v>
      </c>
      <c r="H164" s="270">
        <v>23000</v>
      </c>
      <c r="I164" s="270">
        <v>23000</v>
      </c>
      <c r="J164" s="270">
        <v>23000</v>
      </c>
      <c r="K164" s="270">
        <v>23000</v>
      </c>
      <c r="L164" s="270">
        <v>23000</v>
      </c>
      <c r="M164" s="270">
        <v>23000</v>
      </c>
      <c r="N164" s="270">
        <v>23000</v>
      </c>
      <c r="O164" s="276">
        <v>0</v>
      </c>
      <c r="P164" s="728">
        <f t="shared" si="88"/>
        <v>0</v>
      </c>
      <c r="Q164" s="1"/>
    </row>
    <row r="165" spans="1:17" x14ac:dyDescent="0.25">
      <c r="A165" s="287" t="s">
        <v>96</v>
      </c>
      <c r="B165" s="285" t="s">
        <v>475</v>
      </c>
      <c r="C165" s="270">
        <v>10000</v>
      </c>
      <c r="D165" s="270">
        <v>10000</v>
      </c>
      <c r="E165" s="753">
        <f t="shared" ref="E165:N165" si="118">10000-5700</f>
        <v>4300</v>
      </c>
      <c r="F165" s="270">
        <f t="shared" si="118"/>
        <v>4300</v>
      </c>
      <c r="G165" s="270">
        <f t="shared" si="118"/>
        <v>4300</v>
      </c>
      <c r="H165" s="270">
        <f t="shared" si="118"/>
        <v>4300</v>
      </c>
      <c r="I165" s="270">
        <f t="shared" si="118"/>
        <v>4300</v>
      </c>
      <c r="J165" s="270">
        <f t="shared" si="118"/>
        <v>4300</v>
      </c>
      <c r="K165" s="270">
        <f t="shared" si="118"/>
        <v>4300</v>
      </c>
      <c r="L165" s="270">
        <f t="shared" si="118"/>
        <v>4300</v>
      </c>
      <c r="M165" s="270">
        <f t="shared" si="118"/>
        <v>4300</v>
      </c>
      <c r="N165" s="270">
        <f t="shared" si="118"/>
        <v>4300</v>
      </c>
      <c r="O165" s="276">
        <v>0</v>
      </c>
      <c r="P165" s="728">
        <f t="shared" si="88"/>
        <v>0</v>
      </c>
      <c r="Q165" s="27"/>
    </row>
    <row r="166" spans="1:17" x14ac:dyDescent="0.25">
      <c r="A166" s="284" t="s">
        <v>96</v>
      </c>
      <c r="B166" s="493" t="s">
        <v>357</v>
      </c>
      <c r="C166" s="270">
        <v>221836</v>
      </c>
      <c r="D166" s="270">
        <v>221836</v>
      </c>
      <c r="E166" s="753">
        <f>221836-34376</f>
        <v>187460</v>
      </c>
      <c r="F166" s="270">
        <f>221836-34376</f>
        <v>187460</v>
      </c>
      <c r="G166" s="753">
        <f>221836-34376-55000-300</f>
        <v>132160</v>
      </c>
      <c r="H166" s="270">
        <f>221836-34376-55000-300</f>
        <v>132160</v>
      </c>
      <c r="I166" s="270">
        <f>221836-34376-55000-300</f>
        <v>132160</v>
      </c>
      <c r="J166" s="270">
        <f>221836-34376-55000-300</f>
        <v>132160</v>
      </c>
      <c r="K166" s="270">
        <f>221836-34376-55000-300</f>
        <v>132160</v>
      </c>
      <c r="L166" s="753">
        <f>221836-34376-55000-300-8200</f>
        <v>123960</v>
      </c>
      <c r="M166" s="753">
        <f>221836-34376-55000-300-8200+142470</f>
        <v>266430</v>
      </c>
      <c r="N166" s="270">
        <f>221836-34376-55000-300-8200+142470</f>
        <v>266430</v>
      </c>
      <c r="O166" s="276">
        <v>0</v>
      </c>
      <c r="P166" s="728">
        <f t="shared" si="88"/>
        <v>0</v>
      </c>
      <c r="Q166" s="1"/>
    </row>
    <row r="167" spans="1:17" x14ac:dyDescent="0.25">
      <c r="A167" s="287" t="s">
        <v>301</v>
      </c>
      <c r="B167" s="530" t="s">
        <v>476</v>
      </c>
      <c r="C167" s="276">
        <v>216000</v>
      </c>
      <c r="D167" s="276">
        <v>216000</v>
      </c>
      <c r="E167" s="276">
        <v>216000</v>
      </c>
      <c r="F167" s="276">
        <v>216000</v>
      </c>
      <c r="G167" s="276">
        <v>216000</v>
      </c>
      <c r="H167" s="276">
        <v>216000</v>
      </c>
      <c r="I167" s="276">
        <v>216000</v>
      </c>
      <c r="J167" s="276">
        <v>216000</v>
      </c>
      <c r="K167" s="276">
        <v>216000</v>
      </c>
      <c r="L167" s="276">
        <v>216000</v>
      </c>
      <c r="M167" s="742">
        <f>216000+71000</f>
        <v>287000</v>
      </c>
      <c r="N167" s="276">
        <f>216000+71000</f>
        <v>287000</v>
      </c>
      <c r="O167" s="276">
        <v>0</v>
      </c>
      <c r="P167" s="728">
        <f t="shared" si="88"/>
        <v>0</v>
      </c>
      <c r="Q167" s="1"/>
    </row>
    <row r="168" spans="1:17" x14ac:dyDescent="0.25">
      <c r="A168" s="287" t="s">
        <v>98</v>
      </c>
      <c r="B168" s="492" t="s">
        <v>274</v>
      </c>
      <c r="C168" s="276">
        <v>112000</v>
      </c>
      <c r="D168" s="276">
        <v>112000</v>
      </c>
      <c r="E168" s="276">
        <v>112000</v>
      </c>
      <c r="F168" s="276">
        <v>112000</v>
      </c>
      <c r="G168" s="742">
        <f t="shared" ref="G168:N168" si="119">112000+300</f>
        <v>112300</v>
      </c>
      <c r="H168" s="276">
        <f t="shared" si="119"/>
        <v>112300</v>
      </c>
      <c r="I168" s="276">
        <f t="shared" si="119"/>
        <v>112300</v>
      </c>
      <c r="J168" s="276">
        <f t="shared" si="119"/>
        <v>112300</v>
      </c>
      <c r="K168" s="276">
        <f t="shared" si="119"/>
        <v>112300</v>
      </c>
      <c r="L168" s="276">
        <f t="shared" si="119"/>
        <v>112300</v>
      </c>
      <c r="M168" s="276">
        <f t="shared" si="119"/>
        <v>112300</v>
      </c>
      <c r="N168" s="276">
        <f t="shared" si="119"/>
        <v>112300</v>
      </c>
      <c r="O168" s="276">
        <v>40291</v>
      </c>
      <c r="P168" s="728">
        <f t="shared" si="88"/>
        <v>0.35878005342831698</v>
      </c>
      <c r="Q168" s="27"/>
    </row>
    <row r="169" spans="1:17" x14ac:dyDescent="0.25">
      <c r="A169" s="289" t="s">
        <v>111</v>
      </c>
      <c r="B169" s="290" t="s">
        <v>337</v>
      </c>
      <c r="C169" s="282">
        <v>55000</v>
      </c>
      <c r="D169" s="282">
        <v>55000</v>
      </c>
      <c r="E169" s="282">
        <v>55000</v>
      </c>
      <c r="F169" s="282">
        <v>55000</v>
      </c>
      <c r="G169" s="709">
        <f>55000-1800</f>
        <v>53200</v>
      </c>
      <c r="H169" s="282">
        <f>55000-1800</f>
        <v>53200</v>
      </c>
      <c r="I169" s="282">
        <f>55000-1800</f>
        <v>53200</v>
      </c>
      <c r="J169" s="709">
        <f>55000-1800-520</f>
        <v>52680</v>
      </c>
      <c r="K169" s="282">
        <f>55000-1800-520</f>
        <v>52680</v>
      </c>
      <c r="L169" s="282">
        <f>55000-1800-520</f>
        <v>52680</v>
      </c>
      <c r="M169" s="282">
        <f>55000-1800-520</f>
        <v>52680</v>
      </c>
      <c r="N169" s="282">
        <f>55000-1800-520</f>
        <v>52680</v>
      </c>
      <c r="O169" s="276">
        <v>0</v>
      </c>
      <c r="P169" s="728">
        <f t="shared" si="88"/>
        <v>0</v>
      </c>
      <c r="Q169" s="27"/>
    </row>
    <row r="170" spans="1:17" x14ac:dyDescent="0.25">
      <c r="A170" s="289" t="s">
        <v>111</v>
      </c>
      <c r="B170" s="290" t="s">
        <v>477</v>
      </c>
      <c r="C170" s="282">
        <v>196100</v>
      </c>
      <c r="D170" s="709">
        <f>196100-7590</f>
        <v>188510</v>
      </c>
      <c r="E170" s="282">
        <f>196100-7590</f>
        <v>188510</v>
      </c>
      <c r="F170" s="282">
        <f>196100-7590</f>
        <v>188510</v>
      </c>
      <c r="G170" s="709">
        <f t="shared" ref="G170:N170" si="120">196100-7590+1800+55000</f>
        <v>245310</v>
      </c>
      <c r="H170" s="282">
        <f t="shared" si="120"/>
        <v>245310</v>
      </c>
      <c r="I170" s="282">
        <f t="shared" si="120"/>
        <v>245310</v>
      </c>
      <c r="J170" s="282">
        <f t="shared" si="120"/>
        <v>245310</v>
      </c>
      <c r="K170" s="282">
        <f t="shared" si="120"/>
        <v>245310</v>
      </c>
      <c r="L170" s="282">
        <f t="shared" si="120"/>
        <v>245310</v>
      </c>
      <c r="M170" s="282">
        <f t="shared" si="120"/>
        <v>245310</v>
      </c>
      <c r="N170" s="282">
        <f t="shared" si="120"/>
        <v>245310</v>
      </c>
      <c r="O170" s="276">
        <v>113188</v>
      </c>
      <c r="P170" s="728">
        <f t="shared" si="88"/>
        <v>0.46140801434919082</v>
      </c>
      <c r="Q170" s="1"/>
    </row>
    <row r="171" spans="1:17" x14ac:dyDescent="0.25">
      <c r="A171" s="284" t="s">
        <v>111</v>
      </c>
      <c r="B171" s="283" t="s">
        <v>585</v>
      </c>
      <c r="C171" s="270">
        <v>30000</v>
      </c>
      <c r="D171" s="270">
        <v>30000</v>
      </c>
      <c r="E171" s="270">
        <v>30000</v>
      </c>
      <c r="F171" s="270">
        <v>30000</v>
      </c>
      <c r="G171" s="753">
        <f>30000+29800</f>
        <v>59800</v>
      </c>
      <c r="H171" s="270">
        <f>30000+29800</f>
        <v>59800</v>
      </c>
      <c r="I171" s="270">
        <f>30000+29800</f>
        <v>59800</v>
      </c>
      <c r="J171" s="753">
        <f>30000+29800+520</f>
        <v>60320</v>
      </c>
      <c r="K171" s="270">
        <f>30000+29800+520</f>
        <v>60320</v>
      </c>
      <c r="L171" s="270">
        <f>30000+29800+520</f>
        <v>60320</v>
      </c>
      <c r="M171" s="270">
        <f>30000+29800+520</f>
        <v>60320</v>
      </c>
      <c r="N171" s="270">
        <f>30000+29800+520</f>
        <v>60320</v>
      </c>
      <c r="O171" s="276">
        <v>30510</v>
      </c>
      <c r="P171" s="728">
        <f t="shared" si="88"/>
        <v>0.5058023872679045</v>
      </c>
      <c r="Q171" s="1"/>
    </row>
    <row r="172" spans="1:17" x14ac:dyDescent="0.25">
      <c r="A172" s="289" t="s">
        <v>113</v>
      </c>
      <c r="B172" s="290" t="s">
        <v>329</v>
      </c>
      <c r="C172" s="282">
        <v>15000</v>
      </c>
      <c r="D172" s="282">
        <v>15000</v>
      </c>
      <c r="E172" s="282">
        <v>15000</v>
      </c>
      <c r="F172" s="282">
        <v>15000</v>
      </c>
      <c r="G172" s="282">
        <v>15000</v>
      </c>
      <c r="H172" s="282">
        <v>15000</v>
      </c>
      <c r="I172" s="282">
        <v>15000</v>
      </c>
      <c r="J172" s="282">
        <v>15000</v>
      </c>
      <c r="K172" s="282">
        <v>15000</v>
      </c>
      <c r="L172" s="282">
        <v>15000</v>
      </c>
      <c r="M172" s="282">
        <v>15000</v>
      </c>
      <c r="N172" s="282">
        <v>15000</v>
      </c>
      <c r="O172" s="276">
        <v>0</v>
      </c>
      <c r="P172" s="728">
        <f t="shared" si="88"/>
        <v>0</v>
      </c>
      <c r="Q172" s="1"/>
    </row>
    <row r="173" spans="1:17" x14ac:dyDescent="0.25">
      <c r="A173" s="289" t="s">
        <v>113</v>
      </c>
      <c r="B173" s="283" t="s">
        <v>302</v>
      </c>
      <c r="C173" s="282">
        <v>0</v>
      </c>
      <c r="D173" s="282">
        <v>0</v>
      </c>
      <c r="E173" s="282">
        <v>0</v>
      </c>
      <c r="F173" s="282">
        <v>0</v>
      </c>
      <c r="G173" s="282">
        <v>0</v>
      </c>
      <c r="H173" s="282">
        <v>0</v>
      </c>
      <c r="I173" s="282">
        <v>0</v>
      </c>
      <c r="J173" s="282">
        <v>0</v>
      </c>
      <c r="K173" s="282">
        <v>0</v>
      </c>
      <c r="L173" s="282">
        <v>0</v>
      </c>
      <c r="M173" s="282">
        <v>0</v>
      </c>
      <c r="N173" s="282">
        <v>0</v>
      </c>
      <c r="O173" s="276">
        <v>0</v>
      </c>
      <c r="P173" s="728">
        <v>0</v>
      </c>
      <c r="Q173" s="1"/>
    </row>
    <row r="174" spans="1:17" x14ac:dyDescent="0.25">
      <c r="A174" s="284" t="s">
        <v>113</v>
      </c>
      <c r="B174" s="283" t="s">
        <v>325</v>
      </c>
      <c r="C174" s="270">
        <v>412400</v>
      </c>
      <c r="D174" s="270">
        <v>412400</v>
      </c>
      <c r="E174" s="753">
        <f t="shared" ref="E174:L174" si="121">412400+40756</f>
        <v>453156</v>
      </c>
      <c r="F174" s="270">
        <f t="shared" si="121"/>
        <v>453156</v>
      </c>
      <c r="G174" s="270">
        <f t="shared" si="121"/>
        <v>453156</v>
      </c>
      <c r="H174" s="270">
        <f t="shared" si="121"/>
        <v>453156</v>
      </c>
      <c r="I174" s="270">
        <f t="shared" si="121"/>
        <v>453156</v>
      </c>
      <c r="J174" s="270">
        <f t="shared" si="121"/>
        <v>453156</v>
      </c>
      <c r="K174" s="270">
        <f t="shared" si="121"/>
        <v>453156</v>
      </c>
      <c r="L174" s="270">
        <f t="shared" si="121"/>
        <v>453156</v>
      </c>
      <c r="M174" s="753">
        <f>412400+40756+32000</f>
        <v>485156</v>
      </c>
      <c r="N174" s="270">
        <f>412400+40756+32000</f>
        <v>485156</v>
      </c>
      <c r="O174" s="276">
        <v>0</v>
      </c>
      <c r="P174" s="728">
        <f t="shared" si="88"/>
        <v>0</v>
      </c>
      <c r="Q174" s="27"/>
    </row>
    <row r="175" spans="1:17" x14ac:dyDescent="0.25">
      <c r="A175" s="287" t="s">
        <v>113</v>
      </c>
      <c r="B175" s="285" t="s">
        <v>682</v>
      </c>
      <c r="C175" s="276"/>
      <c r="D175" s="276"/>
      <c r="E175" s="742"/>
      <c r="F175" s="276"/>
      <c r="G175" s="276"/>
      <c r="H175" s="276"/>
      <c r="I175" s="276"/>
      <c r="J175" s="276"/>
      <c r="K175" s="276">
        <v>0</v>
      </c>
      <c r="L175" s="276">
        <v>0</v>
      </c>
      <c r="M175" s="742">
        <v>110000</v>
      </c>
      <c r="N175" s="276">
        <v>110000</v>
      </c>
      <c r="O175" s="276">
        <v>0</v>
      </c>
      <c r="P175" s="728">
        <f t="shared" si="88"/>
        <v>0</v>
      </c>
      <c r="Q175" s="27"/>
    </row>
    <row r="176" spans="1:17" ht="15.75" customHeight="1" x14ac:dyDescent="0.25">
      <c r="A176" s="292" t="s">
        <v>122</v>
      </c>
      <c r="B176" s="265" t="s">
        <v>478</v>
      </c>
      <c r="C176" s="276">
        <v>245000</v>
      </c>
      <c r="D176" s="276">
        <v>245000</v>
      </c>
      <c r="E176" s="276">
        <v>245000</v>
      </c>
      <c r="F176" s="276">
        <v>245000</v>
      </c>
      <c r="G176" s="276">
        <v>245000</v>
      </c>
      <c r="H176" s="276">
        <v>245000</v>
      </c>
      <c r="I176" s="276">
        <v>245000</v>
      </c>
      <c r="J176" s="276">
        <v>245000</v>
      </c>
      <c r="K176" s="276">
        <v>245000</v>
      </c>
      <c r="L176" s="276">
        <v>245000</v>
      </c>
      <c r="M176" s="742">
        <f>245000+46000</f>
        <v>291000</v>
      </c>
      <c r="N176" s="276">
        <f>245000+46000</f>
        <v>291000</v>
      </c>
      <c r="O176" s="276">
        <v>0</v>
      </c>
      <c r="P176" s="728">
        <f t="shared" si="88"/>
        <v>0</v>
      </c>
      <c r="Q176" s="1"/>
    </row>
    <row r="177" spans="1:27" x14ac:dyDescent="0.25">
      <c r="A177" s="284" t="s">
        <v>124</v>
      </c>
      <c r="B177" s="402" t="s">
        <v>292</v>
      </c>
      <c r="C177" s="270">
        <v>1129200</v>
      </c>
      <c r="D177" s="270">
        <v>1129200</v>
      </c>
      <c r="E177" s="270">
        <v>1129200</v>
      </c>
      <c r="F177" s="270">
        <v>1129200</v>
      </c>
      <c r="G177" s="270">
        <v>1129200</v>
      </c>
      <c r="H177" s="270">
        <v>1129200</v>
      </c>
      <c r="I177" s="270">
        <v>1129200</v>
      </c>
      <c r="J177" s="270">
        <v>1129200</v>
      </c>
      <c r="K177" s="270">
        <v>1129200</v>
      </c>
      <c r="L177" s="270">
        <v>1129200</v>
      </c>
      <c r="M177" s="753">
        <f>1129200+200</f>
        <v>1129400</v>
      </c>
      <c r="N177" s="270">
        <f>1129200+200</f>
        <v>1129400</v>
      </c>
      <c r="O177" s="270">
        <v>0</v>
      </c>
      <c r="P177" s="728">
        <f>O177/N177</f>
        <v>0</v>
      </c>
      <c r="Q177" s="1"/>
    </row>
    <row r="178" spans="1:27" ht="15" customHeight="1" thickBot="1" x14ac:dyDescent="0.3">
      <c r="A178" s="494" t="s">
        <v>124</v>
      </c>
      <c r="B178" s="532" t="s">
        <v>623</v>
      </c>
      <c r="C178" s="274">
        <v>0</v>
      </c>
      <c r="D178" s="274">
        <v>0</v>
      </c>
      <c r="E178" s="274">
        <v>0</v>
      </c>
      <c r="F178" s="274">
        <v>0</v>
      </c>
      <c r="G178" s="274">
        <v>0</v>
      </c>
      <c r="H178" s="274">
        <v>0</v>
      </c>
      <c r="I178" s="274">
        <v>0</v>
      </c>
      <c r="J178" s="274">
        <v>0</v>
      </c>
      <c r="K178" s="274">
        <v>0</v>
      </c>
      <c r="L178" s="816">
        <v>81600</v>
      </c>
      <c r="M178" s="274">
        <v>81600</v>
      </c>
      <c r="N178" s="274">
        <v>81600</v>
      </c>
      <c r="O178" s="274">
        <v>0</v>
      </c>
      <c r="P178" s="728">
        <f>O178/N178</f>
        <v>0</v>
      </c>
      <c r="Q178" s="1"/>
    </row>
    <row r="179" spans="1:27" x14ac:dyDescent="0.25">
      <c r="A179" s="294"/>
      <c r="B179" s="295"/>
      <c r="C179" s="296"/>
      <c r="D179" s="296"/>
      <c r="E179" s="296"/>
      <c r="F179" s="296"/>
      <c r="G179" s="296"/>
      <c r="H179" s="296"/>
      <c r="I179" s="296"/>
      <c r="J179" s="296"/>
      <c r="K179" s="296"/>
      <c r="L179" s="296"/>
      <c r="M179" s="296"/>
      <c r="N179" s="296"/>
      <c r="O179" s="296"/>
      <c r="P179" s="728"/>
      <c r="Q179" s="1"/>
    </row>
    <row r="180" spans="1:27" x14ac:dyDescent="0.25">
      <c r="A180" s="297"/>
      <c r="B180" s="298"/>
      <c r="C180" s="299"/>
      <c r="D180" s="299"/>
      <c r="E180" s="299"/>
      <c r="F180" s="299"/>
      <c r="G180" s="299"/>
      <c r="H180" s="299"/>
      <c r="I180" s="299"/>
      <c r="J180" s="299"/>
      <c r="K180" s="299"/>
      <c r="L180" s="299"/>
      <c r="M180" s="299"/>
      <c r="N180" s="299"/>
      <c r="O180" s="299"/>
      <c r="P180" s="728"/>
      <c r="Q180" s="1"/>
    </row>
    <row r="181" spans="1:27" ht="18.75" thickBot="1" x14ac:dyDescent="0.3">
      <c r="A181" s="880" t="s">
        <v>168</v>
      </c>
      <c r="B181" s="881"/>
      <c r="C181" s="881"/>
      <c r="D181" s="881"/>
      <c r="E181" s="881"/>
      <c r="F181" s="881"/>
      <c r="G181" s="881"/>
      <c r="H181" s="881"/>
      <c r="I181" s="881"/>
      <c r="J181" s="881"/>
      <c r="K181" s="881"/>
      <c r="L181" s="881"/>
      <c r="M181" s="881"/>
      <c r="N181" s="881"/>
      <c r="O181" s="881"/>
      <c r="P181" s="728"/>
      <c r="Q181" s="1"/>
    </row>
    <row r="182" spans="1:27" ht="27.75" customHeight="1" thickBot="1" x14ac:dyDescent="0.3">
      <c r="A182" s="876" t="s">
        <v>1</v>
      </c>
      <c r="B182" s="877"/>
      <c r="C182" s="387" t="s">
        <v>467</v>
      </c>
      <c r="D182" s="387" t="s">
        <v>465</v>
      </c>
      <c r="E182" s="387" t="s">
        <v>483</v>
      </c>
      <c r="F182" s="387" t="s">
        <v>500</v>
      </c>
      <c r="G182" s="387" t="s">
        <v>533</v>
      </c>
      <c r="H182" s="387" t="s">
        <v>578</v>
      </c>
      <c r="I182" s="387" t="s">
        <v>610</v>
      </c>
      <c r="J182" s="387" t="s">
        <v>579</v>
      </c>
      <c r="K182" s="387" t="s">
        <v>646</v>
      </c>
      <c r="L182" s="387" t="s">
        <v>637</v>
      </c>
      <c r="M182" s="387" t="s">
        <v>670</v>
      </c>
      <c r="N182" s="387" t="s">
        <v>680</v>
      </c>
      <c r="O182" s="387" t="s">
        <v>722</v>
      </c>
      <c r="P182" s="728"/>
      <c r="Q182" s="1"/>
    </row>
    <row r="183" spans="1:27" ht="18" customHeight="1" thickBot="1" x14ac:dyDescent="0.3">
      <c r="A183" s="410" t="s">
        <v>169</v>
      </c>
      <c r="B183" s="411"/>
      <c r="C183" s="412">
        <f>SUM(C184:C196)</f>
        <v>571286</v>
      </c>
      <c r="D183" s="412">
        <f t="shared" ref="D183:O183" si="122">SUM(D184:D196)</f>
        <v>638913</v>
      </c>
      <c r="E183" s="412">
        <f t="shared" si="122"/>
        <v>638913</v>
      </c>
      <c r="F183" s="412">
        <f t="shared" si="122"/>
        <v>638913</v>
      </c>
      <c r="G183" s="412">
        <f t="shared" si="122"/>
        <v>692938</v>
      </c>
      <c r="H183" s="412">
        <f t="shared" si="122"/>
        <v>692938</v>
      </c>
      <c r="I183" s="412">
        <f t="shared" si="122"/>
        <v>692938</v>
      </c>
      <c r="J183" s="412">
        <f t="shared" si="122"/>
        <v>692938</v>
      </c>
      <c r="K183" s="412">
        <f t="shared" si="122"/>
        <v>692938</v>
      </c>
      <c r="L183" s="412">
        <f t="shared" si="122"/>
        <v>692938</v>
      </c>
      <c r="M183" s="412">
        <f t="shared" si="122"/>
        <v>997938</v>
      </c>
      <c r="N183" s="412">
        <f t="shared" si="122"/>
        <v>997938</v>
      </c>
      <c r="O183" s="412">
        <f t="shared" si="122"/>
        <v>219440</v>
      </c>
      <c r="P183" s="728">
        <f t="shared" si="88"/>
        <v>0.21989342023251945</v>
      </c>
      <c r="Q183" s="27">
        <f t="shared" ref="Q183:X183" si="123">D183-C183</f>
        <v>67627</v>
      </c>
      <c r="R183" s="27">
        <f t="shared" si="123"/>
        <v>0</v>
      </c>
      <c r="S183" s="27">
        <f t="shared" si="123"/>
        <v>0</v>
      </c>
      <c r="T183" s="27">
        <f t="shared" si="123"/>
        <v>54025</v>
      </c>
      <c r="U183" s="27">
        <f t="shared" si="123"/>
        <v>0</v>
      </c>
      <c r="V183" s="27">
        <f t="shared" si="123"/>
        <v>0</v>
      </c>
      <c r="W183" s="27">
        <f t="shared" si="123"/>
        <v>0</v>
      </c>
      <c r="X183" s="27">
        <f t="shared" si="123"/>
        <v>0</v>
      </c>
      <c r="Y183" s="27">
        <f t="shared" ref="Y183:AA183" si="124">L183-K183</f>
        <v>0</v>
      </c>
      <c r="Z183" s="27">
        <f t="shared" si="124"/>
        <v>305000</v>
      </c>
      <c r="AA183" s="27">
        <f t="shared" si="124"/>
        <v>0</v>
      </c>
    </row>
    <row r="184" spans="1:27" x14ac:dyDescent="0.25">
      <c r="A184" s="378">
        <v>453</v>
      </c>
      <c r="B184" s="379" t="s">
        <v>255</v>
      </c>
      <c r="C184" s="380">
        <f>10000+4000</f>
        <v>14000</v>
      </c>
      <c r="D184" s="704">
        <f t="shared" ref="D184:N184" si="125">10000+4000+3781-160</f>
        <v>17621</v>
      </c>
      <c r="E184" s="380">
        <f t="shared" si="125"/>
        <v>17621</v>
      </c>
      <c r="F184" s="380">
        <f t="shared" si="125"/>
        <v>17621</v>
      </c>
      <c r="G184" s="380">
        <f t="shared" si="125"/>
        <v>17621</v>
      </c>
      <c r="H184" s="380">
        <f t="shared" si="125"/>
        <v>17621</v>
      </c>
      <c r="I184" s="380">
        <f t="shared" si="125"/>
        <v>17621</v>
      </c>
      <c r="J184" s="380">
        <f t="shared" si="125"/>
        <v>17621</v>
      </c>
      <c r="K184" s="380">
        <f t="shared" si="125"/>
        <v>17621</v>
      </c>
      <c r="L184" s="380">
        <f t="shared" si="125"/>
        <v>17621</v>
      </c>
      <c r="M184" s="380">
        <f t="shared" si="125"/>
        <v>17621</v>
      </c>
      <c r="N184" s="380">
        <f t="shared" si="125"/>
        <v>17621</v>
      </c>
      <c r="O184" s="380">
        <v>15790</v>
      </c>
      <c r="P184" s="728">
        <f t="shared" si="88"/>
        <v>0.8960898927416151</v>
      </c>
    </row>
    <row r="185" spans="1:27" x14ac:dyDescent="0.25">
      <c r="A185" s="403">
        <v>453</v>
      </c>
      <c r="B185" s="404" t="s">
        <v>254</v>
      </c>
      <c r="C185" s="64">
        <v>2000</v>
      </c>
      <c r="D185" s="64">
        <v>2000</v>
      </c>
      <c r="E185" s="64">
        <v>2000</v>
      </c>
      <c r="F185" s="64">
        <v>2000</v>
      </c>
      <c r="G185" s="64">
        <v>2000</v>
      </c>
      <c r="H185" s="64">
        <v>2000</v>
      </c>
      <c r="I185" s="64">
        <v>2000</v>
      </c>
      <c r="J185" s="64">
        <v>2000</v>
      </c>
      <c r="K185" s="64">
        <v>2000</v>
      </c>
      <c r="L185" s="64">
        <v>2000</v>
      </c>
      <c r="M185" s="64">
        <v>2000</v>
      </c>
      <c r="N185" s="64">
        <v>2000</v>
      </c>
      <c r="O185" s="64">
        <v>165</v>
      </c>
      <c r="P185" s="728">
        <f t="shared" si="88"/>
        <v>8.2500000000000004E-2</v>
      </c>
      <c r="Q185" s="27"/>
    </row>
    <row r="186" spans="1:27" x14ac:dyDescent="0.25">
      <c r="A186" s="700">
        <v>453</v>
      </c>
      <c r="B186" s="377" t="s">
        <v>256</v>
      </c>
      <c r="C186" s="701">
        <v>2500</v>
      </c>
      <c r="D186" s="702">
        <f t="shared" ref="D186:N186" si="126">2500-2500</f>
        <v>0</v>
      </c>
      <c r="E186" s="701">
        <f t="shared" si="126"/>
        <v>0</v>
      </c>
      <c r="F186" s="701">
        <f t="shared" si="126"/>
        <v>0</v>
      </c>
      <c r="G186" s="701">
        <f t="shared" si="126"/>
        <v>0</v>
      </c>
      <c r="H186" s="701">
        <f t="shared" si="126"/>
        <v>0</v>
      </c>
      <c r="I186" s="701">
        <f t="shared" si="126"/>
        <v>0</v>
      </c>
      <c r="J186" s="701">
        <f t="shared" si="126"/>
        <v>0</v>
      </c>
      <c r="K186" s="701">
        <f t="shared" si="126"/>
        <v>0</v>
      </c>
      <c r="L186" s="701">
        <f t="shared" si="126"/>
        <v>0</v>
      </c>
      <c r="M186" s="701">
        <f t="shared" si="126"/>
        <v>0</v>
      </c>
      <c r="N186" s="701">
        <f t="shared" si="126"/>
        <v>0</v>
      </c>
      <c r="O186" s="484">
        <v>0</v>
      </c>
      <c r="P186" s="728">
        <v>0</v>
      </c>
      <c r="Q186" s="27"/>
    </row>
    <row r="187" spans="1:27" x14ac:dyDescent="0.25">
      <c r="A187" s="798">
        <v>453</v>
      </c>
      <c r="B187" s="799" t="s">
        <v>472</v>
      </c>
      <c r="C187" s="800">
        <v>0</v>
      </c>
      <c r="D187" s="689">
        <v>3211</v>
      </c>
      <c r="E187" s="800">
        <v>3211</v>
      </c>
      <c r="F187" s="800">
        <v>3211</v>
      </c>
      <c r="G187" s="800">
        <v>3211</v>
      </c>
      <c r="H187" s="800">
        <v>3211</v>
      </c>
      <c r="I187" s="800">
        <v>3211</v>
      </c>
      <c r="J187" s="800">
        <v>3211</v>
      </c>
      <c r="K187" s="800">
        <v>3211</v>
      </c>
      <c r="L187" s="800">
        <v>3211</v>
      </c>
      <c r="M187" s="800">
        <v>3211</v>
      </c>
      <c r="N187" s="800">
        <v>3211</v>
      </c>
      <c r="O187" s="800">
        <v>3211</v>
      </c>
      <c r="P187" s="728">
        <f t="shared" si="88"/>
        <v>1</v>
      </c>
      <c r="Q187" s="27"/>
    </row>
    <row r="188" spans="1:27" x14ac:dyDescent="0.25">
      <c r="A188" s="403">
        <v>453</v>
      </c>
      <c r="B188" s="404" t="s">
        <v>289</v>
      </c>
      <c r="C188" s="64">
        <v>1500</v>
      </c>
      <c r="D188" s="689">
        <f t="shared" ref="D188:N188" si="127">1500+502</f>
        <v>2002</v>
      </c>
      <c r="E188" s="64">
        <f t="shared" si="127"/>
        <v>2002</v>
      </c>
      <c r="F188" s="64">
        <f t="shared" si="127"/>
        <v>2002</v>
      </c>
      <c r="G188" s="64">
        <f t="shared" si="127"/>
        <v>2002</v>
      </c>
      <c r="H188" s="64">
        <f t="shared" si="127"/>
        <v>2002</v>
      </c>
      <c r="I188" s="64">
        <f t="shared" si="127"/>
        <v>2002</v>
      </c>
      <c r="J188" s="64">
        <f t="shared" si="127"/>
        <v>2002</v>
      </c>
      <c r="K188" s="64">
        <f t="shared" si="127"/>
        <v>2002</v>
      </c>
      <c r="L188" s="64">
        <f t="shared" si="127"/>
        <v>2002</v>
      </c>
      <c r="M188" s="64">
        <f t="shared" si="127"/>
        <v>2002</v>
      </c>
      <c r="N188" s="64">
        <f t="shared" si="127"/>
        <v>2002</v>
      </c>
      <c r="O188" s="64">
        <v>2002</v>
      </c>
      <c r="P188" s="728">
        <f t="shared" si="88"/>
        <v>1</v>
      </c>
      <c r="Q188" s="27"/>
    </row>
    <row r="189" spans="1:27" ht="15.75" thickBot="1" x14ac:dyDescent="0.3">
      <c r="A189" s="303">
        <v>453</v>
      </c>
      <c r="B189" s="304" t="s">
        <v>473</v>
      </c>
      <c r="C189" s="305">
        <v>0</v>
      </c>
      <c r="D189" s="690">
        <f>383</f>
        <v>383</v>
      </c>
      <c r="E189" s="305">
        <f>383</f>
        <v>383</v>
      </c>
      <c r="F189" s="305">
        <f>383</f>
        <v>383</v>
      </c>
      <c r="G189" s="305">
        <f>383</f>
        <v>383</v>
      </c>
      <c r="H189" s="305">
        <f>383</f>
        <v>383</v>
      </c>
      <c r="I189" s="305">
        <f>383</f>
        <v>383</v>
      </c>
      <c r="J189" s="305">
        <f>383</f>
        <v>383</v>
      </c>
      <c r="K189" s="305">
        <f>383</f>
        <v>383</v>
      </c>
      <c r="L189" s="305">
        <f>383</f>
        <v>383</v>
      </c>
      <c r="M189" s="305">
        <f>383</f>
        <v>383</v>
      </c>
      <c r="N189" s="305">
        <f>383</f>
        <v>383</v>
      </c>
      <c r="O189" s="305">
        <v>382</v>
      </c>
      <c r="P189" s="728">
        <f t="shared" si="88"/>
        <v>0.99738903394255873</v>
      </c>
      <c r="Q189" s="426">
        <f>SUM(N184:N189)</f>
        <v>25217</v>
      </c>
      <c r="R189" s="426">
        <f>SUM(O184:O189)</f>
        <v>21550</v>
      </c>
      <c r="S189" s="703"/>
    </row>
    <row r="190" spans="1:27" x14ac:dyDescent="0.25">
      <c r="A190" s="378">
        <v>453</v>
      </c>
      <c r="B190" s="379" t="s">
        <v>241</v>
      </c>
      <c r="C190" s="380">
        <v>886</v>
      </c>
      <c r="D190" s="380">
        <v>886</v>
      </c>
      <c r="E190" s="380">
        <v>886</v>
      </c>
      <c r="F190" s="380">
        <v>886</v>
      </c>
      <c r="G190" s="380">
        <v>886</v>
      </c>
      <c r="H190" s="380">
        <v>886</v>
      </c>
      <c r="I190" s="380">
        <v>886</v>
      </c>
      <c r="J190" s="380">
        <v>886</v>
      </c>
      <c r="K190" s="380">
        <v>886</v>
      </c>
      <c r="L190" s="380">
        <v>886</v>
      </c>
      <c r="M190" s="380">
        <v>886</v>
      </c>
      <c r="N190" s="380">
        <v>886</v>
      </c>
      <c r="O190" s="380">
        <v>0</v>
      </c>
      <c r="P190" s="728">
        <f t="shared" si="88"/>
        <v>0</v>
      </c>
      <c r="Q190" s="703"/>
      <c r="R190" s="703"/>
      <c r="S190" s="703"/>
    </row>
    <row r="191" spans="1:27" x14ac:dyDescent="0.25">
      <c r="A191" s="471">
        <v>453</v>
      </c>
      <c r="B191" s="482" t="s">
        <v>291</v>
      </c>
      <c r="C191" s="472">
        <f>105400</f>
        <v>105400</v>
      </c>
      <c r="D191" s="691">
        <f t="shared" ref="D191:N191" si="128">105400-7590</f>
        <v>97810</v>
      </c>
      <c r="E191" s="472">
        <f t="shared" si="128"/>
        <v>97810</v>
      </c>
      <c r="F191" s="472">
        <f t="shared" si="128"/>
        <v>97810</v>
      </c>
      <c r="G191" s="472">
        <f t="shared" si="128"/>
        <v>97810</v>
      </c>
      <c r="H191" s="472">
        <f t="shared" si="128"/>
        <v>97810</v>
      </c>
      <c r="I191" s="472">
        <f t="shared" si="128"/>
        <v>97810</v>
      </c>
      <c r="J191" s="472">
        <f t="shared" si="128"/>
        <v>97810</v>
      </c>
      <c r="K191" s="472">
        <f t="shared" si="128"/>
        <v>97810</v>
      </c>
      <c r="L191" s="472">
        <f t="shared" si="128"/>
        <v>97810</v>
      </c>
      <c r="M191" s="472">
        <f t="shared" si="128"/>
        <v>97810</v>
      </c>
      <c r="N191" s="472">
        <f t="shared" si="128"/>
        <v>97810</v>
      </c>
      <c r="O191" s="472">
        <v>78392</v>
      </c>
      <c r="P191" s="728">
        <f t="shared" si="88"/>
        <v>0.8014722421020346</v>
      </c>
      <c r="Q191" s="703"/>
      <c r="R191" s="27"/>
      <c r="S191" s="27"/>
    </row>
    <row r="192" spans="1:27" x14ac:dyDescent="0.25">
      <c r="A192" s="403">
        <v>453</v>
      </c>
      <c r="B192" s="404" t="s">
        <v>293</v>
      </c>
      <c r="C192" s="64">
        <v>0</v>
      </c>
      <c r="D192" s="689">
        <f t="shared" ref="D192:N192" si="129">70000</f>
        <v>70000</v>
      </c>
      <c r="E192" s="64">
        <f t="shared" si="129"/>
        <v>70000</v>
      </c>
      <c r="F192" s="64">
        <f t="shared" si="129"/>
        <v>70000</v>
      </c>
      <c r="G192" s="64">
        <f t="shared" si="129"/>
        <v>70000</v>
      </c>
      <c r="H192" s="64">
        <f t="shared" si="129"/>
        <v>70000</v>
      </c>
      <c r="I192" s="64">
        <f t="shared" si="129"/>
        <v>70000</v>
      </c>
      <c r="J192" s="64">
        <f t="shared" si="129"/>
        <v>70000</v>
      </c>
      <c r="K192" s="64">
        <f t="shared" si="129"/>
        <v>70000</v>
      </c>
      <c r="L192" s="64">
        <f t="shared" si="129"/>
        <v>70000</v>
      </c>
      <c r="M192" s="64">
        <f t="shared" si="129"/>
        <v>70000</v>
      </c>
      <c r="N192" s="64">
        <f t="shared" si="129"/>
        <v>70000</v>
      </c>
      <c r="O192" s="524">
        <v>0</v>
      </c>
      <c r="P192" s="728">
        <f t="shared" si="88"/>
        <v>0</v>
      </c>
      <c r="Q192" s="27"/>
    </row>
    <row r="193" spans="1:27" ht="15.75" thickBot="1" x14ac:dyDescent="0.3">
      <c r="A193" s="483">
        <v>453</v>
      </c>
      <c r="B193" s="377" t="s">
        <v>304</v>
      </c>
      <c r="C193" s="484">
        <v>100000</v>
      </c>
      <c r="D193" s="484">
        <v>100000</v>
      </c>
      <c r="E193" s="484">
        <v>100000</v>
      </c>
      <c r="F193" s="484">
        <v>100000</v>
      </c>
      <c r="G193" s="484">
        <v>100000</v>
      </c>
      <c r="H193" s="484">
        <v>100000</v>
      </c>
      <c r="I193" s="484">
        <v>100000</v>
      </c>
      <c r="J193" s="484">
        <v>100000</v>
      </c>
      <c r="K193" s="484">
        <v>100000</v>
      </c>
      <c r="L193" s="484">
        <v>100000</v>
      </c>
      <c r="M193" s="484">
        <v>100000</v>
      </c>
      <c r="N193" s="484">
        <v>100000</v>
      </c>
      <c r="O193" s="484">
        <v>0</v>
      </c>
      <c r="P193" s="728">
        <f t="shared" si="88"/>
        <v>0</v>
      </c>
      <c r="Q193" s="27">
        <f>SUM(N190:N193)</f>
        <v>268696</v>
      </c>
      <c r="R193" s="27">
        <f>SUM(O190:O193)</f>
        <v>78392</v>
      </c>
      <c r="S193" s="426"/>
    </row>
    <row r="194" spans="1:27" x14ac:dyDescent="0.25">
      <c r="A194" s="378">
        <v>454</v>
      </c>
      <c r="B194" s="379" t="s">
        <v>474</v>
      </c>
      <c r="C194" s="380">
        <v>0</v>
      </c>
      <c r="D194" s="380">
        <v>0</v>
      </c>
      <c r="E194" s="380">
        <v>0</v>
      </c>
      <c r="F194" s="380">
        <v>0</v>
      </c>
      <c r="G194" s="380">
        <v>0</v>
      </c>
      <c r="H194" s="380">
        <v>0</v>
      </c>
      <c r="I194" s="380">
        <v>0</v>
      </c>
      <c r="J194" s="380">
        <v>0</v>
      </c>
      <c r="K194" s="380">
        <v>0</v>
      </c>
      <c r="L194" s="380">
        <v>0</v>
      </c>
      <c r="M194" s="380">
        <v>0</v>
      </c>
      <c r="N194" s="380">
        <v>0</v>
      </c>
      <c r="O194" s="380">
        <v>0</v>
      </c>
      <c r="P194" s="728">
        <v>0</v>
      </c>
      <c r="Q194" s="426"/>
      <c r="R194" s="27"/>
      <c r="S194" s="27"/>
    </row>
    <row r="195" spans="1:27" ht="15.75" thickBot="1" x14ac:dyDescent="0.3">
      <c r="A195" s="303">
        <v>454</v>
      </c>
      <c r="B195" s="304" t="s">
        <v>266</v>
      </c>
      <c r="C195" s="305">
        <f t="shared" ref="C195:L195" si="130">152000+193000</f>
        <v>345000</v>
      </c>
      <c r="D195" s="305">
        <f t="shared" si="130"/>
        <v>345000</v>
      </c>
      <c r="E195" s="305">
        <f t="shared" si="130"/>
        <v>345000</v>
      </c>
      <c r="F195" s="305">
        <f t="shared" si="130"/>
        <v>345000</v>
      </c>
      <c r="G195" s="305">
        <f t="shared" si="130"/>
        <v>345000</v>
      </c>
      <c r="H195" s="305">
        <f t="shared" si="130"/>
        <v>345000</v>
      </c>
      <c r="I195" s="305">
        <f t="shared" si="130"/>
        <v>345000</v>
      </c>
      <c r="J195" s="305">
        <f t="shared" si="130"/>
        <v>345000</v>
      </c>
      <c r="K195" s="305">
        <f t="shared" si="130"/>
        <v>345000</v>
      </c>
      <c r="L195" s="305">
        <f t="shared" si="130"/>
        <v>345000</v>
      </c>
      <c r="M195" s="690">
        <f>152000+193000+305000</f>
        <v>650000</v>
      </c>
      <c r="N195" s="305">
        <f>152000+193000+305000</f>
        <v>650000</v>
      </c>
      <c r="O195" s="305">
        <v>119498</v>
      </c>
      <c r="P195" s="728">
        <f t="shared" si="88"/>
        <v>0.18384307692307691</v>
      </c>
      <c r="Q195" s="27">
        <f>SUM(N194:N195)</f>
        <v>650000</v>
      </c>
      <c r="R195" s="27">
        <f>SUM(O194:O195)</f>
        <v>119498</v>
      </c>
      <c r="S195" s="27"/>
    </row>
    <row r="196" spans="1:27" ht="15.75" thickBot="1" x14ac:dyDescent="0.3">
      <c r="A196" s="770">
        <v>456</v>
      </c>
      <c r="B196" s="772" t="s">
        <v>535</v>
      </c>
      <c r="C196" s="771">
        <v>0</v>
      </c>
      <c r="D196" s="771">
        <v>0</v>
      </c>
      <c r="E196" s="771">
        <v>0</v>
      </c>
      <c r="F196" s="771">
        <v>0</v>
      </c>
      <c r="G196" s="773">
        <v>54025</v>
      </c>
      <c r="H196" s="771">
        <v>54025</v>
      </c>
      <c r="I196" s="771">
        <v>54025</v>
      </c>
      <c r="J196" s="771">
        <v>54025</v>
      </c>
      <c r="K196" s="771">
        <v>54025</v>
      </c>
      <c r="L196" s="771">
        <v>54025</v>
      </c>
      <c r="M196" s="771">
        <v>54025</v>
      </c>
      <c r="N196" s="771">
        <v>54025</v>
      </c>
      <c r="O196" s="771">
        <v>0</v>
      </c>
      <c r="P196" s="728">
        <f t="shared" ref="P196:P200" si="131">O196/N196</f>
        <v>0</v>
      </c>
      <c r="Q196" s="27"/>
      <c r="R196" s="27"/>
      <c r="S196" s="27"/>
    </row>
    <row r="197" spans="1:27" ht="16.5" thickBot="1" x14ac:dyDescent="0.3">
      <c r="A197" s="410" t="s">
        <v>171</v>
      </c>
      <c r="B197" s="411"/>
      <c r="C197" s="412">
        <f t="shared" ref="C197:O197" si="132">SUM(C198:C200)</f>
        <v>1090</v>
      </c>
      <c r="D197" s="412">
        <f t="shared" si="132"/>
        <v>1110</v>
      </c>
      <c r="E197" s="412">
        <f t="shared" si="132"/>
        <v>1110</v>
      </c>
      <c r="F197" s="412">
        <f t="shared" si="132"/>
        <v>1110</v>
      </c>
      <c r="G197" s="412">
        <f t="shared" si="132"/>
        <v>55135</v>
      </c>
      <c r="H197" s="412">
        <f t="shared" si="132"/>
        <v>55135</v>
      </c>
      <c r="I197" s="412">
        <f t="shared" si="132"/>
        <v>55135</v>
      </c>
      <c r="J197" s="412">
        <f t="shared" si="132"/>
        <v>55135</v>
      </c>
      <c r="K197" s="412">
        <f t="shared" si="132"/>
        <v>55135</v>
      </c>
      <c r="L197" s="412">
        <f t="shared" si="132"/>
        <v>55135</v>
      </c>
      <c r="M197" s="412">
        <f t="shared" si="132"/>
        <v>55135</v>
      </c>
      <c r="N197" s="412">
        <f t="shared" si="132"/>
        <v>55135</v>
      </c>
      <c r="O197" s="412">
        <f t="shared" si="132"/>
        <v>541</v>
      </c>
      <c r="P197" s="728">
        <f t="shared" si="131"/>
        <v>9.8122789516640972E-3</v>
      </c>
      <c r="Q197" s="27">
        <f t="shared" ref="Q197:AA197" si="133">D197-C197</f>
        <v>20</v>
      </c>
      <c r="R197" s="27">
        <f t="shared" si="133"/>
        <v>0</v>
      </c>
      <c r="S197" s="27">
        <f t="shared" si="133"/>
        <v>0</v>
      </c>
      <c r="T197" s="27">
        <f t="shared" si="133"/>
        <v>54025</v>
      </c>
      <c r="U197" s="27">
        <f t="shared" si="133"/>
        <v>0</v>
      </c>
      <c r="V197" s="27">
        <f t="shared" si="133"/>
        <v>0</v>
      </c>
      <c r="W197" s="27">
        <f t="shared" si="133"/>
        <v>0</v>
      </c>
      <c r="X197" s="27">
        <f t="shared" si="133"/>
        <v>0</v>
      </c>
      <c r="Y197" s="27">
        <f t="shared" si="133"/>
        <v>0</v>
      </c>
      <c r="Z197" s="27">
        <f t="shared" si="133"/>
        <v>0</v>
      </c>
      <c r="AA197" s="27">
        <f t="shared" si="133"/>
        <v>0</v>
      </c>
    </row>
    <row r="198" spans="1:27" x14ac:dyDescent="0.25">
      <c r="A198" s="308">
        <v>819</v>
      </c>
      <c r="B198" s="307" t="s">
        <v>244</v>
      </c>
      <c r="C198" s="56">
        <v>0</v>
      </c>
      <c r="D198" s="705">
        <v>20</v>
      </c>
      <c r="E198" s="56">
        <v>20</v>
      </c>
      <c r="F198" s="56">
        <v>20</v>
      </c>
      <c r="G198" s="56">
        <v>20</v>
      </c>
      <c r="H198" s="56">
        <v>20</v>
      </c>
      <c r="I198" s="56">
        <v>20</v>
      </c>
      <c r="J198" s="56">
        <v>20</v>
      </c>
      <c r="K198" s="56">
        <v>20</v>
      </c>
      <c r="L198" s="56">
        <v>20</v>
      </c>
      <c r="M198" s="56">
        <v>20</v>
      </c>
      <c r="N198" s="56">
        <v>20</v>
      </c>
      <c r="O198" s="56">
        <v>5</v>
      </c>
      <c r="P198" s="728">
        <f t="shared" si="131"/>
        <v>0.25</v>
      </c>
      <c r="Q198" s="27"/>
      <c r="R198" s="27"/>
      <c r="S198" s="27"/>
      <c r="U198" s="426"/>
    </row>
    <row r="199" spans="1:27" x14ac:dyDescent="0.25">
      <c r="A199" s="308">
        <v>819</v>
      </c>
      <c r="B199" s="377" t="s">
        <v>535</v>
      </c>
      <c r="C199" s="56">
        <v>0</v>
      </c>
      <c r="D199" s="56">
        <v>0</v>
      </c>
      <c r="E199" s="56">
        <v>0</v>
      </c>
      <c r="F199" s="56">
        <v>0</v>
      </c>
      <c r="G199" s="705">
        <v>54025</v>
      </c>
      <c r="H199" s="56">
        <v>54025</v>
      </c>
      <c r="I199" s="56">
        <v>54025</v>
      </c>
      <c r="J199" s="56">
        <v>54025</v>
      </c>
      <c r="K199" s="56">
        <v>54025</v>
      </c>
      <c r="L199" s="56">
        <v>54025</v>
      </c>
      <c r="M199" s="56">
        <v>54025</v>
      </c>
      <c r="N199" s="56">
        <v>54025</v>
      </c>
      <c r="O199" s="56">
        <v>0</v>
      </c>
      <c r="P199" s="728">
        <f t="shared" si="131"/>
        <v>0</v>
      </c>
      <c r="Q199" s="27">
        <f>SUM(N198:N199)</f>
        <v>54045</v>
      </c>
      <c r="R199" s="27">
        <f>SUM(O198:O199)</f>
        <v>5</v>
      </c>
      <c r="S199" s="27"/>
      <c r="U199" s="426"/>
    </row>
    <row r="200" spans="1:27" ht="15.75" thickBot="1" x14ac:dyDescent="0.3">
      <c r="A200" s="310">
        <v>821</v>
      </c>
      <c r="B200" s="311" t="s">
        <v>173</v>
      </c>
      <c r="C200" s="124">
        <v>1090</v>
      </c>
      <c r="D200" s="124">
        <v>1090</v>
      </c>
      <c r="E200" s="124">
        <v>1090</v>
      </c>
      <c r="F200" s="124">
        <v>1090</v>
      </c>
      <c r="G200" s="124">
        <v>1090</v>
      </c>
      <c r="H200" s="124">
        <v>1090</v>
      </c>
      <c r="I200" s="124">
        <v>1090</v>
      </c>
      <c r="J200" s="124">
        <v>1090</v>
      </c>
      <c r="K200" s="124">
        <v>1090</v>
      </c>
      <c r="L200" s="124">
        <v>1090</v>
      </c>
      <c r="M200" s="124">
        <v>1090</v>
      </c>
      <c r="N200" s="124">
        <v>1090</v>
      </c>
      <c r="O200" s="124">
        <v>536</v>
      </c>
      <c r="P200" s="728">
        <f t="shared" si="131"/>
        <v>0.49174311926605507</v>
      </c>
      <c r="Q200" s="27"/>
    </row>
    <row r="201" spans="1:27" ht="14.25" customHeight="1" x14ac:dyDescent="0.25">
      <c r="A201" s="297"/>
      <c r="B201" s="312"/>
      <c r="C201" s="157"/>
      <c r="D201" s="157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"/>
    </row>
    <row r="202" spans="1:27" ht="15.75" x14ac:dyDescent="0.25">
      <c r="A202" s="101"/>
      <c r="B202" s="295"/>
      <c r="C202" s="295"/>
      <c r="D202" s="295"/>
      <c r="E202" s="295"/>
      <c r="F202" s="295"/>
      <c r="G202" s="295"/>
      <c r="H202" s="295"/>
      <c r="I202" s="295"/>
      <c r="J202" s="295"/>
      <c r="K202" s="295"/>
      <c r="L202" s="295"/>
      <c r="M202" s="295"/>
      <c r="N202" s="295"/>
      <c r="O202" s="295"/>
      <c r="P202" s="295"/>
      <c r="Q202" s="1"/>
    </row>
    <row r="203" spans="1:27" ht="18.75" thickBot="1" x14ac:dyDescent="0.3">
      <c r="A203" s="882" t="s">
        <v>174</v>
      </c>
      <c r="B203" s="883"/>
      <c r="C203" s="883"/>
      <c r="D203" s="883"/>
      <c r="E203" s="883"/>
      <c r="F203" s="883"/>
      <c r="G203" s="883"/>
      <c r="H203" s="883"/>
      <c r="I203" s="883"/>
      <c r="J203" s="883"/>
      <c r="K203" s="883"/>
      <c r="L203" s="883"/>
      <c r="M203" s="883"/>
      <c r="N203" s="883"/>
      <c r="O203" s="883"/>
      <c r="P203" s="729"/>
      <c r="Q203" s="295"/>
    </row>
    <row r="204" spans="1:27" ht="26.25" thickBot="1" x14ac:dyDescent="0.3">
      <c r="A204" s="876" t="s">
        <v>1</v>
      </c>
      <c r="B204" s="877"/>
      <c r="C204" s="387" t="s">
        <v>467</v>
      </c>
      <c r="D204" s="387" t="s">
        <v>465</v>
      </c>
      <c r="E204" s="387" t="s">
        <v>483</v>
      </c>
      <c r="F204" s="387" t="s">
        <v>500</v>
      </c>
      <c r="G204" s="387" t="s">
        <v>533</v>
      </c>
      <c r="H204" s="387" t="s">
        <v>578</v>
      </c>
      <c r="I204" s="387" t="s">
        <v>610</v>
      </c>
      <c r="J204" s="387" t="s">
        <v>579</v>
      </c>
      <c r="K204" s="387" t="s">
        <v>646</v>
      </c>
      <c r="L204" s="387" t="s">
        <v>637</v>
      </c>
      <c r="M204" s="387" t="s">
        <v>670</v>
      </c>
      <c r="N204" s="387" t="s">
        <v>680</v>
      </c>
      <c r="O204" s="387" t="s">
        <v>722</v>
      </c>
      <c r="P204" s="730"/>
      <c r="Q204" s="1"/>
    </row>
    <row r="205" spans="1:27" ht="15.75" x14ac:dyDescent="0.25">
      <c r="A205" s="313" t="s">
        <v>175</v>
      </c>
      <c r="B205" s="29"/>
      <c r="C205" s="314">
        <f t="shared" ref="C205:O205" si="134">C72</f>
        <v>2971575</v>
      </c>
      <c r="D205" s="314">
        <f t="shared" si="134"/>
        <v>2971247</v>
      </c>
      <c r="E205" s="314">
        <f t="shared" si="134"/>
        <v>2988357</v>
      </c>
      <c r="F205" s="314">
        <f t="shared" si="134"/>
        <v>2981581</v>
      </c>
      <c r="G205" s="314">
        <f t="shared" si="134"/>
        <v>2981581</v>
      </c>
      <c r="H205" s="314">
        <f t="shared" si="134"/>
        <v>2981581</v>
      </c>
      <c r="I205" s="314">
        <f t="shared" si="134"/>
        <v>2993537</v>
      </c>
      <c r="J205" s="314">
        <f t="shared" si="134"/>
        <v>2994461</v>
      </c>
      <c r="K205" s="314">
        <f t="shared" si="134"/>
        <v>3092290</v>
      </c>
      <c r="L205" s="314">
        <f t="shared" si="134"/>
        <v>3093835</v>
      </c>
      <c r="M205" s="314">
        <f t="shared" si="134"/>
        <v>3093835</v>
      </c>
      <c r="N205" s="314">
        <f t="shared" si="134"/>
        <v>3098234</v>
      </c>
      <c r="O205" s="314">
        <f t="shared" si="134"/>
        <v>1553292</v>
      </c>
      <c r="P205" s="726"/>
    </row>
    <row r="206" spans="1:27" ht="15.75" x14ac:dyDescent="0.25">
      <c r="A206" s="315" t="s">
        <v>176</v>
      </c>
      <c r="B206" s="316"/>
      <c r="C206" s="317">
        <f t="shared" ref="C206:O206" si="135">C139</f>
        <v>2990485</v>
      </c>
      <c r="D206" s="317">
        <f t="shared" si="135"/>
        <v>2995354</v>
      </c>
      <c r="E206" s="317">
        <f t="shared" si="135"/>
        <v>3012464</v>
      </c>
      <c r="F206" s="317">
        <f t="shared" si="135"/>
        <v>3005688</v>
      </c>
      <c r="G206" s="317">
        <f t="shared" si="135"/>
        <v>3005688</v>
      </c>
      <c r="H206" s="317">
        <f t="shared" si="135"/>
        <v>3005688</v>
      </c>
      <c r="I206" s="317">
        <f t="shared" si="135"/>
        <v>3017644</v>
      </c>
      <c r="J206" s="317">
        <f t="shared" si="135"/>
        <v>3018568</v>
      </c>
      <c r="K206" s="317">
        <f t="shared" si="135"/>
        <v>3116397</v>
      </c>
      <c r="L206" s="317">
        <f t="shared" si="135"/>
        <v>3117942</v>
      </c>
      <c r="M206" s="317">
        <f t="shared" si="135"/>
        <v>3117942</v>
      </c>
      <c r="N206" s="317">
        <f t="shared" si="135"/>
        <v>3122341</v>
      </c>
      <c r="O206" s="317">
        <f t="shared" si="135"/>
        <v>1410031</v>
      </c>
      <c r="P206" s="726"/>
    </row>
    <row r="207" spans="1:27" ht="15.75" x14ac:dyDescent="0.25">
      <c r="A207" s="884" t="s">
        <v>177</v>
      </c>
      <c r="B207" s="885"/>
      <c r="C207" s="318">
        <f t="shared" ref="C207:O207" si="136">C205-C206</f>
        <v>-18910</v>
      </c>
      <c r="D207" s="318">
        <f t="shared" si="136"/>
        <v>-24107</v>
      </c>
      <c r="E207" s="318">
        <f t="shared" si="136"/>
        <v>-24107</v>
      </c>
      <c r="F207" s="318">
        <f t="shared" si="136"/>
        <v>-24107</v>
      </c>
      <c r="G207" s="318">
        <f t="shared" si="136"/>
        <v>-24107</v>
      </c>
      <c r="H207" s="318">
        <f t="shared" si="136"/>
        <v>-24107</v>
      </c>
      <c r="I207" s="318">
        <f t="shared" si="136"/>
        <v>-24107</v>
      </c>
      <c r="J207" s="318">
        <f t="shared" si="136"/>
        <v>-24107</v>
      </c>
      <c r="K207" s="318">
        <f t="shared" si="136"/>
        <v>-24107</v>
      </c>
      <c r="L207" s="318">
        <f t="shared" si="136"/>
        <v>-24107</v>
      </c>
      <c r="M207" s="318">
        <f t="shared" ref="M207:N207" si="137">M205-M206</f>
        <v>-24107</v>
      </c>
      <c r="N207" s="318">
        <f t="shared" si="137"/>
        <v>-24107</v>
      </c>
      <c r="O207" s="318">
        <f t="shared" si="136"/>
        <v>143261</v>
      </c>
      <c r="P207" s="731"/>
      <c r="Q207" s="1"/>
      <c r="R207" s="27">
        <f>D207-D200</f>
        <v>-25197</v>
      </c>
      <c r="S207" s="27"/>
      <c r="T207" s="27"/>
    </row>
    <row r="208" spans="1:27" ht="13.9" customHeight="1" x14ac:dyDescent="0.25">
      <c r="A208" s="315" t="s">
        <v>178</v>
      </c>
      <c r="B208" s="18"/>
      <c r="C208" s="317">
        <f t="shared" ref="C208:O208" si="138">C144</f>
        <v>2593450</v>
      </c>
      <c r="D208" s="317">
        <f t="shared" si="138"/>
        <v>2523450</v>
      </c>
      <c r="E208" s="317">
        <f t="shared" si="138"/>
        <v>2511270</v>
      </c>
      <c r="F208" s="317">
        <f t="shared" si="138"/>
        <v>2511270</v>
      </c>
      <c r="G208" s="317">
        <f t="shared" si="138"/>
        <v>2541070</v>
      </c>
      <c r="H208" s="317">
        <f t="shared" si="138"/>
        <v>2541070</v>
      </c>
      <c r="I208" s="317">
        <f t="shared" si="138"/>
        <v>2541070</v>
      </c>
      <c r="J208" s="317">
        <f t="shared" si="138"/>
        <v>2541070</v>
      </c>
      <c r="K208" s="317">
        <f t="shared" si="138"/>
        <v>2541070</v>
      </c>
      <c r="L208" s="317">
        <f t="shared" si="138"/>
        <v>2614470</v>
      </c>
      <c r="M208" s="317">
        <f t="shared" si="138"/>
        <v>2714670</v>
      </c>
      <c r="N208" s="317">
        <f t="shared" si="138"/>
        <v>2714670</v>
      </c>
      <c r="O208" s="317">
        <f t="shared" si="138"/>
        <v>0</v>
      </c>
      <c r="P208" s="726"/>
      <c r="Q208" s="27">
        <f>C207-C200</f>
        <v>-20000</v>
      </c>
    </row>
    <row r="209" spans="1:27" ht="16.149999999999999" customHeight="1" x14ac:dyDescent="0.25">
      <c r="A209" s="315" t="s">
        <v>179</v>
      </c>
      <c r="B209" s="18"/>
      <c r="C209" s="20">
        <f t="shared" ref="C209:O209" si="139">C158</f>
        <v>3144736</v>
      </c>
      <c r="D209" s="20">
        <f t="shared" si="139"/>
        <v>3137146</v>
      </c>
      <c r="E209" s="20">
        <f t="shared" si="139"/>
        <v>3124966</v>
      </c>
      <c r="F209" s="20">
        <f t="shared" si="139"/>
        <v>3124966</v>
      </c>
      <c r="G209" s="20">
        <f t="shared" si="139"/>
        <v>3154766</v>
      </c>
      <c r="H209" s="20">
        <f t="shared" si="139"/>
        <v>3154766</v>
      </c>
      <c r="I209" s="20">
        <f t="shared" si="139"/>
        <v>3154766</v>
      </c>
      <c r="J209" s="20">
        <f t="shared" si="139"/>
        <v>3154766</v>
      </c>
      <c r="K209" s="20">
        <f t="shared" si="139"/>
        <v>3154766</v>
      </c>
      <c r="L209" s="20">
        <f t="shared" si="139"/>
        <v>3228166</v>
      </c>
      <c r="M209" s="20">
        <f t="shared" si="139"/>
        <v>3633366</v>
      </c>
      <c r="N209" s="20">
        <f t="shared" si="139"/>
        <v>3633366</v>
      </c>
      <c r="O209" s="20">
        <f t="shared" si="139"/>
        <v>197890</v>
      </c>
      <c r="P209" s="703"/>
      <c r="Q209" s="1"/>
    </row>
    <row r="210" spans="1:27" ht="15.75" x14ac:dyDescent="0.25">
      <c r="A210" s="884" t="s">
        <v>180</v>
      </c>
      <c r="B210" s="885"/>
      <c r="C210" s="318">
        <f t="shared" ref="C210:O210" si="140">C208-C209</f>
        <v>-551286</v>
      </c>
      <c r="D210" s="318">
        <f t="shared" si="140"/>
        <v>-613696</v>
      </c>
      <c r="E210" s="318">
        <f t="shared" si="140"/>
        <v>-613696</v>
      </c>
      <c r="F210" s="318">
        <f t="shared" si="140"/>
        <v>-613696</v>
      </c>
      <c r="G210" s="318">
        <f t="shared" si="140"/>
        <v>-613696</v>
      </c>
      <c r="H210" s="318">
        <f t="shared" si="140"/>
        <v>-613696</v>
      </c>
      <c r="I210" s="318">
        <f t="shared" si="140"/>
        <v>-613696</v>
      </c>
      <c r="J210" s="318">
        <f t="shared" si="140"/>
        <v>-613696</v>
      </c>
      <c r="K210" s="318">
        <f t="shared" si="140"/>
        <v>-613696</v>
      </c>
      <c r="L210" s="318">
        <f t="shared" si="140"/>
        <v>-613696</v>
      </c>
      <c r="M210" s="318">
        <f t="shared" ref="M210:N210" si="141">M208-M209</f>
        <v>-918696</v>
      </c>
      <c r="N210" s="318">
        <f t="shared" si="141"/>
        <v>-918696</v>
      </c>
      <c r="O210" s="318">
        <f t="shared" si="140"/>
        <v>-197890</v>
      </c>
      <c r="P210" s="731"/>
      <c r="Q210" s="1"/>
      <c r="R210" s="703"/>
      <c r="S210" s="703"/>
    </row>
    <row r="211" spans="1:27" ht="15.75" x14ac:dyDescent="0.25">
      <c r="A211" s="319" t="s">
        <v>181</v>
      </c>
      <c r="B211" s="320"/>
      <c r="C211" s="321">
        <f t="shared" ref="C211:O211" si="142">C183</f>
        <v>571286</v>
      </c>
      <c r="D211" s="321">
        <f t="shared" si="142"/>
        <v>638913</v>
      </c>
      <c r="E211" s="321">
        <f t="shared" si="142"/>
        <v>638913</v>
      </c>
      <c r="F211" s="321">
        <f t="shared" si="142"/>
        <v>638913</v>
      </c>
      <c r="G211" s="321">
        <f t="shared" si="142"/>
        <v>692938</v>
      </c>
      <c r="H211" s="321">
        <f t="shared" si="142"/>
        <v>692938</v>
      </c>
      <c r="I211" s="321">
        <f t="shared" si="142"/>
        <v>692938</v>
      </c>
      <c r="J211" s="321">
        <f t="shared" si="142"/>
        <v>692938</v>
      </c>
      <c r="K211" s="321">
        <f t="shared" si="142"/>
        <v>692938</v>
      </c>
      <c r="L211" s="321">
        <f t="shared" si="142"/>
        <v>692938</v>
      </c>
      <c r="M211" s="321">
        <f t="shared" ref="M211:N211" si="143">M183</f>
        <v>997938</v>
      </c>
      <c r="N211" s="321">
        <f t="shared" si="143"/>
        <v>997938</v>
      </c>
      <c r="O211" s="321">
        <f t="shared" si="142"/>
        <v>219440</v>
      </c>
      <c r="P211" s="726"/>
      <c r="Q211" s="703"/>
    </row>
    <row r="212" spans="1:27" ht="15.75" x14ac:dyDescent="0.25">
      <c r="A212" s="319" t="s">
        <v>182</v>
      </c>
      <c r="B212" s="320"/>
      <c r="C212" s="321">
        <f t="shared" ref="C212:O212" si="144">C197</f>
        <v>1090</v>
      </c>
      <c r="D212" s="321">
        <f t="shared" si="144"/>
        <v>1110</v>
      </c>
      <c r="E212" s="321">
        <f t="shared" si="144"/>
        <v>1110</v>
      </c>
      <c r="F212" s="321">
        <f t="shared" si="144"/>
        <v>1110</v>
      </c>
      <c r="G212" s="321">
        <f t="shared" si="144"/>
        <v>55135</v>
      </c>
      <c r="H212" s="321">
        <f t="shared" si="144"/>
        <v>55135</v>
      </c>
      <c r="I212" s="321">
        <f t="shared" si="144"/>
        <v>55135</v>
      </c>
      <c r="J212" s="321">
        <f t="shared" si="144"/>
        <v>55135</v>
      </c>
      <c r="K212" s="321">
        <f t="shared" si="144"/>
        <v>55135</v>
      </c>
      <c r="L212" s="321">
        <f t="shared" si="144"/>
        <v>55135</v>
      </c>
      <c r="M212" s="321">
        <f t="shared" ref="M212:N212" si="145">M197</f>
        <v>55135</v>
      </c>
      <c r="N212" s="321">
        <f t="shared" si="145"/>
        <v>55135</v>
      </c>
      <c r="O212" s="321">
        <f t="shared" si="144"/>
        <v>541</v>
      </c>
      <c r="P212" s="726"/>
      <c r="Q212" s="1"/>
    </row>
    <row r="213" spans="1:27" ht="21.75" customHeight="1" thickBot="1" x14ac:dyDescent="0.3">
      <c r="A213" s="870" t="s">
        <v>183</v>
      </c>
      <c r="B213" s="871"/>
      <c r="C213" s="322">
        <f t="shared" ref="C213:O213" si="146">C211-C212</f>
        <v>570196</v>
      </c>
      <c r="D213" s="322">
        <f t="shared" si="146"/>
        <v>637803</v>
      </c>
      <c r="E213" s="322">
        <f t="shared" si="146"/>
        <v>637803</v>
      </c>
      <c r="F213" s="322">
        <f t="shared" si="146"/>
        <v>637803</v>
      </c>
      <c r="G213" s="322">
        <f t="shared" si="146"/>
        <v>637803</v>
      </c>
      <c r="H213" s="322">
        <f t="shared" si="146"/>
        <v>637803</v>
      </c>
      <c r="I213" s="322">
        <f t="shared" si="146"/>
        <v>637803</v>
      </c>
      <c r="J213" s="322">
        <f t="shared" si="146"/>
        <v>637803</v>
      </c>
      <c r="K213" s="322">
        <f t="shared" si="146"/>
        <v>637803</v>
      </c>
      <c r="L213" s="322">
        <f t="shared" si="146"/>
        <v>637803</v>
      </c>
      <c r="M213" s="322">
        <f t="shared" ref="M213:N213" si="147">M211-M212</f>
        <v>942803</v>
      </c>
      <c r="N213" s="322">
        <f t="shared" si="147"/>
        <v>942803</v>
      </c>
      <c r="O213" s="322">
        <f t="shared" si="146"/>
        <v>218899</v>
      </c>
      <c r="P213" s="731"/>
      <c r="Q213" s="1"/>
    </row>
    <row r="214" spans="1:27" ht="30.75" customHeight="1" thickBot="1" x14ac:dyDescent="0.3">
      <c r="A214" s="323" t="s">
        <v>184</v>
      </c>
      <c r="B214" s="324"/>
      <c r="C214" s="325">
        <f t="shared" ref="C214:O214" si="148">C207+C210+C213</f>
        <v>0</v>
      </c>
      <c r="D214" s="325">
        <f t="shared" si="148"/>
        <v>0</v>
      </c>
      <c r="E214" s="325">
        <f t="shared" si="148"/>
        <v>0</v>
      </c>
      <c r="F214" s="325">
        <f t="shared" si="148"/>
        <v>0</v>
      </c>
      <c r="G214" s="325">
        <f t="shared" si="148"/>
        <v>0</v>
      </c>
      <c r="H214" s="325">
        <f t="shared" si="148"/>
        <v>0</v>
      </c>
      <c r="I214" s="325">
        <f t="shared" si="148"/>
        <v>0</v>
      </c>
      <c r="J214" s="325">
        <f t="shared" si="148"/>
        <v>0</v>
      </c>
      <c r="K214" s="325">
        <f t="shared" si="148"/>
        <v>0</v>
      </c>
      <c r="L214" s="325">
        <f t="shared" si="148"/>
        <v>0</v>
      </c>
      <c r="M214" s="325">
        <f t="shared" ref="M214:N214" si="149">M207+M210+M213</f>
        <v>0</v>
      </c>
      <c r="N214" s="325">
        <f t="shared" si="149"/>
        <v>0</v>
      </c>
      <c r="O214" s="325">
        <f t="shared" si="148"/>
        <v>164270</v>
      </c>
      <c r="P214" s="731"/>
      <c r="Q214" s="1"/>
    </row>
    <row r="215" spans="1:2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00"/>
      <c r="Q215" s="1"/>
    </row>
    <row r="216" spans="1:27" x14ac:dyDescent="0.25">
      <c r="A216" s="1"/>
      <c r="B216" s="487" t="s">
        <v>267</v>
      </c>
      <c r="C216" s="488">
        <f t="shared" ref="C216:O217" si="150">C205+C208+C211</f>
        <v>6136311</v>
      </c>
      <c r="D216" s="488">
        <f t="shared" si="150"/>
        <v>6133610</v>
      </c>
      <c r="E216" s="488">
        <f t="shared" si="150"/>
        <v>6138540</v>
      </c>
      <c r="F216" s="488">
        <f t="shared" si="150"/>
        <v>6131764</v>
      </c>
      <c r="G216" s="488">
        <f t="shared" si="150"/>
        <v>6215589</v>
      </c>
      <c r="H216" s="488">
        <f t="shared" si="150"/>
        <v>6215589</v>
      </c>
      <c r="I216" s="488">
        <f t="shared" si="150"/>
        <v>6227545</v>
      </c>
      <c r="J216" s="488">
        <f t="shared" si="150"/>
        <v>6228469</v>
      </c>
      <c r="K216" s="488">
        <f t="shared" si="150"/>
        <v>6326298</v>
      </c>
      <c r="L216" s="488">
        <f t="shared" si="150"/>
        <v>6401243</v>
      </c>
      <c r="M216" s="488">
        <f t="shared" ref="M216:N216" si="151">M205+M208+M211</f>
        <v>6806443</v>
      </c>
      <c r="N216" s="488">
        <f t="shared" si="151"/>
        <v>6810842</v>
      </c>
      <c r="O216" s="488">
        <f t="shared" si="150"/>
        <v>1772732</v>
      </c>
      <c r="P216" s="732"/>
      <c r="Q216" s="488">
        <f t="shared" ref="Q216:Y217" si="152">D216-C216</f>
        <v>-2701</v>
      </c>
      <c r="R216" s="488">
        <f t="shared" si="152"/>
        <v>4930</v>
      </c>
      <c r="S216" s="488">
        <f t="shared" si="152"/>
        <v>-6776</v>
      </c>
      <c r="T216" s="488">
        <f t="shared" si="152"/>
        <v>83825</v>
      </c>
      <c r="U216" s="488">
        <f t="shared" si="152"/>
        <v>0</v>
      </c>
      <c r="V216" s="488">
        <f t="shared" si="152"/>
        <v>11956</v>
      </c>
      <c r="W216" s="488">
        <f t="shared" si="152"/>
        <v>924</v>
      </c>
      <c r="X216" s="488">
        <f t="shared" si="152"/>
        <v>97829</v>
      </c>
      <c r="Y216" s="488">
        <f t="shared" si="152"/>
        <v>74945</v>
      </c>
      <c r="Z216" s="488">
        <f t="shared" ref="Z216:AA217" si="153">M216-L216</f>
        <v>405200</v>
      </c>
      <c r="AA216" s="488">
        <f t="shared" si="153"/>
        <v>4399</v>
      </c>
    </row>
    <row r="217" spans="1:27" x14ac:dyDescent="0.25">
      <c r="A217" s="1"/>
      <c r="B217" s="487" t="s">
        <v>268</v>
      </c>
      <c r="C217" s="488">
        <f t="shared" si="150"/>
        <v>6136311</v>
      </c>
      <c r="D217" s="488">
        <f t="shared" si="150"/>
        <v>6133610</v>
      </c>
      <c r="E217" s="488">
        <f t="shared" si="150"/>
        <v>6138540</v>
      </c>
      <c r="F217" s="488">
        <f t="shared" si="150"/>
        <v>6131764</v>
      </c>
      <c r="G217" s="488">
        <f t="shared" si="150"/>
        <v>6215589</v>
      </c>
      <c r="H217" s="488">
        <f t="shared" si="150"/>
        <v>6215589</v>
      </c>
      <c r="I217" s="488">
        <f t="shared" si="150"/>
        <v>6227545</v>
      </c>
      <c r="J217" s="488">
        <f t="shared" si="150"/>
        <v>6228469</v>
      </c>
      <c r="K217" s="488">
        <f t="shared" si="150"/>
        <v>6326298</v>
      </c>
      <c r="L217" s="488">
        <f t="shared" si="150"/>
        <v>6401243</v>
      </c>
      <c r="M217" s="488">
        <f t="shared" ref="M217:N217" si="154">M206+M209+M212</f>
        <v>6806443</v>
      </c>
      <c r="N217" s="488">
        <f t="shared" si="154"/>
        <v>6810842</v>
      </c>
      <c r="O217" s="488">
        <f t="shared" si="150"/>
        <v>1608462</v>
      </c>
      <c r="P217" s="732"/>
      <c r="Q217" s="488">
        <f t="shared" si="152"/>
        <v>-2701</v>
      </c>
      <c r="R217" s="488">
        <f t="shared" si="152"/>
        <v>4930</v>
      </c>
      <c r="S217" s="488">
        <f t="shared" si="152"/>
        <v>-6776</v>
      </c>
      <c r="T217" s="488">
        <f t="shared" si="152"/>
        <v>83825</v>
      </c>
      <c r="U217" s="488">
        <f t="shared" si="152"/>
        <v>0</v>
      </c>
      <c r="V217" s="488">
        <f t="shared" si="152"/>
        <v>11956</v>
      </c>
      <c r="W217" s="488">
        <f t="shared" si="152"/>
        <v>924</v>
      </c>
      <c r="X217" s="488">
        <f t="shared" si="152"/>
        <v>97829</v>
      </c>
      <c r="Y217" s="488">
        <f t="shared" si="152"/>
        <v>74945</v>
      </c>
      <c r="Z217" s="488">
        <f t="shared" si="153"/>
        <v>405200</v>
      </c>
      <c r="AA217" s="488">
        <f t="shared" si="153"/>
        <v>4399</v>
      </c>
    </row>
    <row r="218" spans="1:27" x14ac:dyDescent="0.25">
      <c r="A218" s="1"/>
      <c r="B218" s="487"/>
      <c r="C218" s="488"/>
      <c r="D218" s="488"/>
      <c r="E218" s="488"/>
      <c r="F218" s="488"/>
      <c r="G218" s="488"/>
      <c r="H218" s="488"/>
      <c r="I218" s="488"/>
      <c r="J218" s="488"/>
      <c r="K218" s="488"/>
      <c r="L218" s="488"/>
      <c r="M218" s="488"/>
      <c r="N218" s="488"/>
      <c r="O218" s="488"/>
      <c r="P218" s="732"/>
      <c r="Q218" s="488"/>
      <c r="R218" s="488"/>
      <c r="S218" s="488"/>
      <c r="T218" s="488"/>
      <c r="U218" s="488"/>
      <c r="V218" s="488"/>
      <c r="W218" s="488"/>
      <c r="X218" s="488"/>
      <c r="Y218" s="488"/>
      <c r="Z218" s="488"/>
      <c r="AA218" s="488"/>
    </row>
    <row r="219" spans="1:27" ht="11.45" customHeight="1" x14ac:dyDescent="0.25">
      <c r="A219" s="1"/>
      <c r="B219" s="487" t="s">
        <v>269</v>
      </c>
      <c r="C219" s="488">
        <f t="shared" ref="C219:O219" si="155">C216-C71</f>
        <v>6117611</v>
      </c>
      <c r="D219" s="488">
        <f t="shared" si="155"/>
        <v>6114910</v>
      </c>
      <c r="E219" s="488">
        <f t="shared" si="155"/>
        <v>6119840</v>
      </c>
      <c r="F219" s="488">
        <f t="shared" si="155"/>
        <v>6113064</v>
      </c>
      <c r="G219" s="488">
        <f t="shared" si="155"/>
        <v>6196889</v>
      </c>
      <c r="H219" s="488">
        <f t="shared" si="155"/>
        <v>6196889</v>
      </c>
      <c r="I219" s="488">
        <f t="shared" si="155"/>
        <v>6208845</v>
      </c>
      <c r="J219" s="488">
        <f t="shared" si="155"/>
        <v>6209769</v>
      </c>
      <c r="K219" s="488">
        <f t="shared" si="155"/>
        <v>6307598</v>
      </c>
      <c r="L219" s="488">
        <f t="shared" si="155"/>
        <v>6382543</v>
      </c>
      <c r="M219" s="488">
        <f t="shared" si="155"/>
        <v>6787743</v>
      </c>
      <c r="N219" s="488">
        <f t="shared" si="155"/>
        <v>6792142</v>
      </c>
      <c r="O219" s="488">
        <f t="shared" si="155"/>
        <v>1763748</v>
      </c>
      <c r="P219" s="732"/>
      <c r="Q219" s="488">
        <f t="shared" ref="Q219:Y220" si="156">D219-C219</f>
        <v>-2701</v>
      </c>
      <c r="R219" s="488">
        <f t="shared" si="156"/>
        <v>4930</v>
      </c>
      <c r="S219" s="488">
        <f t="shared" si="156"/>
        <v>-6776</v>
      </c>
      <c r="T219" s="488">
        <f t="shared" si="156"/>
        <v>83825</v>
      </c>
      <c r="U219" s="488">
        <f t="shared" si="156"/>
        <v>0</v>
      </c>
      <c r="V219" s="488">
        <f t="shared" si="156"/>
        <v>11956</v>
      </c>
      <c r="W219" s="488">
        <f t="shared" si="156"/>
        <v>924</v>
      </c>
      <c r="X219" s="488">
        <f t="shared" si="156"/>
        <v>97829</v>
      </c>
      <c r="Y219" s="488">
        <f t="shared" si="156"/>
        <v>74945</v>
      </c>
      <c r="Z219" s="488">
        <f t="shared" ref="Z219:AA220" si="157">M219-L219</f>
        <v>405200</v>
      </c>
      <c r="AA219" s="488">
        <f t="shared" si="157"/>
        <v>4399</v>
      </c>
    </row>
    <row r="220" spans="1:27" x14ac:dyDescent="0.25">
      <c r="A220" s="1"/>
      <c r="B220" s="487" t="s">
        <v>270</v>
      </c>
      <c r="C220" s="488">
        <f t="shared" ref="C220:O220" si="158">C217-C138</f>
        <v>5065211</v>
      </c>
      <c r="D220" s="488">
        <f t="shared" si="158"/>
        <v>5060412</v>
      </c>
      <c r="E220" s="488">
        <f t="shared" si="158"/>
        <v>5065342</v>
      </c>
      <c r="F220" s="488">
        <f t="shared" si="158"/>
        <v>5069205</v>
      </c>
      <c r="G220" s="488">
        <f t="shared" si="158"/>
        <v>5153030</v>
      </c>
      <c r="H220" s="488">
        <f t="shared" si="158"/>
        <v>5153030</v>
      </c>
      <c r="I220" s="488">
        <f t="shared" si="158"/>
        <v>5161347</v>
      </c>
      <c r="J220" s="488">
        <f t="shared" si="158"/>
        <v>5162271</v>
      </c>
      <c r="K220" s="488">
        <f t="shared" si="158"/>
        <v>5224103</v>
      </c>
      <c r="L220" s="488">
        <f t="shared" si="158"/>
        <v>5299048</v>
      </c>
      <c r="M220" s="488">
        <f t="shared" si="158"/>
        <v>5704248</v>
      </c>
      <c r="N220" s="488">
        <f t="shared" si="158"/>
        <v>5708702</v>
      </c>
      <c r="O220" s="488">
        <f t="shared" si="158"/>
        <v>1016665</v>
      </c>
      <c r="P220" s="732"/>
      <c r="Q220" s="488">
        <f t="shared" si="156"/>
        <v>-4799</v>
      </c>
      <c r="R220" s="488">
        <f t="shared" si="156"/>
        <v>4930</v>
      </c>
      <c r="S220" s="488">
        <f t="shared" si="156"/>
        <v>3863</v>
      </c>
      <c r="T220" s="488">
        <f t="shared" si="156"/>
        <v>83825</v>
      </c>
      <c r="U220" s="488">
        <f t="shared" si="156"/>
        <v>0</v>
      </c>
      <c r="V220" s="488">
        <f t="shared" si="156"/>
        <v>8317</v>
      </c>
      <c r="W220" s="488">
        <f t="shared" si="156"/>
        <v>924</v>
      </c>
      <c r="X220" s="488">
        <f t="shared" si="156"/>
        <v>61832</v>
      </c>
      <c r="Y220" s="488">
        <f t="shared" si="156"/>
        <v>74945</v>
      </c>
      <c r="Z220" s="488">
        <f t="shared" si="157"/>
        <v>405200</v>
      </c>
      <c r="AA220" s="488">
        <f t="shared" si="157"/>
        <v>4454</v>
      </c>
    </row>
    <row r="221" spans="1:27" x14ac:dyDescent="0.25">
      <c r="A221" s="1"/>
      <c r="B221" s="487"/>
      <c r="C221" s="488"/>
      <c r="D221" s="488"/>
      <c r="E221" s="488"/>
      <c r="F221" s="488"/>
      <c r="G221" s="488"/>
      <c r="H221" s="488"/>
      <c r="I221" s="488"/>
      <c r="J221" s="488"/>
      <c r="K221" s="488"/>
      <c r="L221" s="488"/>
      <c r="M221" s="488"/>
      <c r="N221" s="488"/>
      <c r="O221" s="488"/>
      <c r="P221" s="732"/>
      <c r="Q221" s="488"/>
      <c r="R221" s="488"/>
      <c r="S221" s="488"/>
      <c r="T221" s="488"/>
    </row>
    <row r="222" spans="1:27" x14ac:dyDescent="0.25">
      <c r="A222" s="1"/>
      <c r="B222" s="485" t="s">
        <v>271</v>
      </c>
      <c r="C222" s="486">
        <f t="shared" ref="C222:O223" si="159">C216-C219</f>
        <v>18700</v>
      </c>
      <c r="D222" s="486">
        <f t="shared" si="159"/>
        <v>18700</v>
      </c>
      <c r="E222" s="486">
        <f t="shared" si="159"/>
        <v>18700</v>
      </c>
      <c r="F222" s="486">
        <f t="shared" si="159"/>
        <v>18700</v>
      </c>
      <c r="G222" s="486">
        <f t="shared" si="159"/>
        <v>18700</v>
      </c>
      <c r="H222" s="486">
        <f t="shared" si="159"/>
        <v>18700</v>
      </c>
      <c r="I222" s="486">
        <f t="shared" si="159"/>
        <v>18700</v>
      </c>
      <c r="J222" s="486">
        <f t="shared" si="159"/>
        <v>18700</v>
      </c>
      <c r="K222" s="486">
        <f t="shared" si="159"/>
        <v>18700</v>
      </c>
      <c r="L222" s="486">
        <f t="shared" si="159"/>
        <v>18700</v>
      </c>
      <c r="M222" s="486">
        <f t="shared" ref="M222:N222" si="160">M216-M219</f>
        <v>18700</v>
      </c>
      <c r="N222" s="486">
        <f t="shared" si="160"/>
        <v>18700</v>
      </c>
      <c r="O222" s="486">
        <f t="shared" si="159"/>
        <v>8984</v>
      </c>
      <c r="P222" s="733"/>
      <c r="Q222" s="488">
        <f t="shared" ref="Q222:Y223" si="161">D222-C222</f>
        <v>0</v>
      </c>
      <c r="R222" s="488">
        <f t="shared" si="161"/>
        <v>0</v>
      </c>
      <c r="S222" s="488">
        <f t="shared" si="161"/>
        <v>0</v>
      </c>
      <c r="T222" s="488">
        <f t="shared" si="161"/>
        <v>0</v>
      </c>
      <c r="U222" s="488">
        <f t="shared" si="161"/>
        <v>0</v>
      </c>
      <c r="V222" s="488">
        <f t="shared" si="161"/>
        <v>0</v>
      </c>
      <c r="W222" s="488">
        <f t="shared" si="161"/>
        <v>0</v>
      </c>
      <c r="X222" s="488">
        <f t="shared" si="161"/>
        <v>0</v>
      </c>
      <c r="Y222" s="488">
        <f t="shared" si="161"/>
        <v>0</v>
      </c>
      <c r="Z222" s="488">
        <f t="shared" ref="Z222:AA223" si="162">M222-L222</f>
        <v>0</v>
      </c>
      <c r="AA222" s="488">
        <f t="shared" si="162"/>
        <v>0</v>
      </c>
    </row>
    <row r="223" spans="1:27" x14ac:dyDescent="0.25">
      <c r="A223" s="100"/>
      <c r="B223" s="485" t="s">
        <v>272</v>
      </c>
      <c r="C223" s="486">
        <f t="shared" si="159"/>
        <v>1071100</v>
      </c>
      <c r="D223" s="486">
        <f t="shared" si="159"/>
        <v>1073198</v>
      </c>
      <c r="E223" s="486">
        <f t="shared" si="159"/>
        <v>1073198</v>
      </c>
      <c r="F223" s="486">
        <f t="shared" si="159"/>
        <v>1062559</v>
      </c>
      <c r="G223" s="486">
        <f t="shared" si="159"/>
        <v>1062559</v>
      </c>
      <c r="H223" s="486">
        <f t="shared" si="159"/>
        <v>1062559</v>
      </c>
      <c r="I223" s="486">
        <f t="shared" si="159"/>
        <v>1066198</v>
      </c>
      <c r="J223" s="486">
        <f t="shared" si="159"/>
        <v>1066198</v>
      </c>
      <c r="K223" s="486">
        <f t="shared" si="159"/>
        <v>1102195</v>
      </c>
      <c r="L223" s="486">
        <f t="shared" si="159"/>
        <v>1102195</v>
      </c>
      <c r="M223" s="486">
        <f t="shared" ref="M223:N223" si="163">M217-M220</f>
        <v>1102195</v>
      </c>
      <c r="N223" s="486">
        <f t="shared" si="163"/>
        <v>1102140</v>
      </c>
      <c r="O223" s="486">
        <f t="shared" si="159"/>
        <v>591797</v>
      </c>
      <c r="P223" s="486"/>
      <c r="Q223" s="488">
        <f t="shared" si="161"/>
        <v>2098</v>
      </c>
      <c r="R223" s="488">
        <f t="shared" si="161"/>
        <v>0</v>
      </c>
      <c r="S223" s="488">
        <f t="shared" si="161"/>
        <v>-10639</v>
      </c>
      <c r="T223" s="488">
        <f t="shared" si="161"/>
        <v>0</v>
      </c>
      <c r="U223" s="488">
        <f t="shared" si="161"/>
        <v>0</v>
      </c>
      <c r="V223" s="488">
        <f t="shared" si="161"/>
        <v>3639</v>
      </c>
      <c r="W223" s="488">
        <f t="shared" si="161"/>
        <v>0</v>
      </c>
      <c r="X223" s="488">
        <f t="shared" si="161"/>
        <v>35997</v>
      </c>
      <c r="Y223" s="488">
        <f t="shared" si="161"/>
        <v>0</v>
      </c>
      <c r="Z223" s="488">
        <f t="shared" si="162"/>
        <v>0</v>
      </c>
      <c r="AA223" s="488">
        <f t="shared" si="162"/>
        <v>-55</v>
      </c>
    </row>
    <row r="224" spans="1:27" x14ac:dyDescent="0.25">
      <c r="A224" s="1"/>
      <c r="B224" s="489"/>
      <c r="C224" s="486">
        <f t="shared" ref="C224:O224" si="164">C223-C222+C214</f>
        <v>1052400</v>
      </c>
      <c r="D224" s="486">
        <f t="shared" si="164"/>
        <v>1054498</v>
      </c>
      <c r="E224" s="486">
        <f t="shared" si="164"/>
        <v>1054498</v>
      </c>
      <c r="F224" s="486">
        <f t="shared" si="164"/>
        <v>1043859</v>
      </c>
      <c r="G224" s="486">
        <f t="shared" si="164"/>
        <v>1043859</v>
      </c>
      <c r="H224" s="486">
        <f t="shared" si="164"/>
        <v>1043859</v>
      </c>
      <c r="I224" s="486">
        <f t="shared" si="164"/>
        <v>1047498</v>
      </c>
      <c r="J224" s="486">
        <f t="shared" si="164"/>
        <v>1047498</v>
      </c>
      <c r="K224" s="486">
        <f t="shared" si="164"/>
        <v>1083495</v>
      </c>
      <c r="L224" s="486">
        <f t="shared" si="164"/>
        <v>1083495</v>
      </c>
      <c r="M224" s="486">
        <f t="shared" ref="M224:N224" si="165">M223-M222+M214</f>
        <v>1083495</v>
      </c>
      <c r="N224" s="486">
        <f t="shared" si="165"/>
        <v>1083440</v>
      </c>
      <c r="O224" s="486">
        <f t="shared" si="164"/>
        <v>747083</v>
      </c>
      <c r="P224" s="486"/>
      <c r="Q224" s="489"/>
      <c r="R224" s="489"/>
    </row>
    <row r="225" spans="1:17" x14ac:dyDescent="0.25">
      <c r="A225" s="1"/>
      <c r="B225" s="327" t="s">
        <v>185</v>
      </c>
      <c r="C225" s="469"/>
      <c r="D225" s="327"/>
      <c r="E225" s="327"/>
      <c r="F225" s="327"/>
      <c r="G225" s="327"/>
      <c r="H225" s="327"/>
      <c r="I225" s="327"/>
      <c r="J225" s="327"/>
      <c r="K225" s="327"/>
      <c r="L225" s="327"/>
      <c r="M225" s="327"/>
      <c r="N225" s="327"/>
      <c r="O225" s="327"/>
      <c r="P225" s="327"/>
      <c r="Q225" s="1"/>
    </row>
    <row r="226" spans="1:17" x14ac:dyDescent="0.25">
      <c r="A226" s="1"/>
      <c r="B226" s="327" t="s">
        <v>295</v>
      </c>
      <c r="C226" s="523"/>
      <c r="D226" s="327"/>
      <c r="E226" s="327"/>
      <c r="F226" s="327"/>
      <c r="G226" s="327"/>
      <c r="H226" s="327"/>
      <c r="I226" s="327"/>
      <c r="J226" s="327"/>
      <c r="K226" s="327"/>
      <c r="L226" s="327"/>
      <c r="M226" s="327"/>
      <c r="N226" s="327"/>
      <c r="O226" s="327"/>
      <c r="P226" s="327"/>
      <c r="Q226" s="1"/>
    </row>
    <row r="227" spans="1:17" x14ac:dyDescent="0.25">
      <c r="A227" s="1"/>
      <c r="B227" s="327"/>
      <c r="C227" s="327"/>
      <c r="D227" s="327"/>
      <c r="E227" s="327"/>
      <c r="F227" s="327"/>
      <c r="G227" s="327"/>
      <c r="H227" s="327"/>
      <c r="I227" s="327"/>
      <c r="J227" s="327"/>
      <c r="K227" s="327"/>
      <c r="L227" s="327"/>
      <c r="M227" s="327"/>
      <c r="N227" s="327"/>
      <c r="O227" s="327"/>
      <c r="P227" s="327"/>
      <c r="Q227" s="1"/>
    </row>
    <row r="228" spans="1:17" x14ac:dyDescent="0.25">
      <c r="A228" s="1"/>
      <c r="B228" s="327"/>
      <c r="C228" s="327"/>
      <c r="D228" s="327"/>
      <c r="E228" s="327"/>
      <c r="F228" s="327"/>
      <c r="G228" s="327"/>
      <c r="H228" s="327"/>
      <c r="I228" s="327"/>
      <c r="J228" s="327"/>
      <c r="K228" s="327"/>
      <c r="L228" s="327"/>
      <c r="M228" s="327"/>
      <c r="N228" s="327"/>
      <c r="O228" s="327"/>
      <c r="P228" s="327"/>
      <c r="Q228" s="1"/>
    </row>
    <row r="229" spans="1:17" x14ac:dyDescent="0.25">
      <c r="A229" s="1"/>
      <c r="C229" s="327"/>
      <c r="D229" s="327"/>
      <c r="E229" s="327"/>
      <c r="F229" s="327"/>
      <c r="G229" s="327"/>
      <c r="H229" s="327"/>
      <c r="I229" s="327"/>
      <c r="J229" s="327"/>
      <c r="K229" s="327"/>
      <c r="L229" s="327"/>
      <c r="M229" s="327"/>
      <c r="N229" s="327"/>
      <c r="O229" s="327"/>
      <c r="P229" s="327"/>
      <c r="Q229" s="1"/>
    </row>
    <row r="230" spans="1:17" x14ac:dyDescent="0.25">
      <c r="A230" s="1"/>
      <c r="B230" s="328" t="s">
        <v>683</v>
      </c>
      <c r="C230" s="327"/>
      <c r="D230" s="327"/>
      <c r="E230" s="327"/>
      <c r="F230" s="327"/>
      <c r="G230" s="327"/>
      <c r="H230" s="327"/>
      <c r="I230" s="327"/>
      <c r="J230" s="327"/>
      <c r="K230" s="327"/>
      <c r="L230" s="327"/>
      <c r="M230" s="327"/>
      <c r="N230" s="327"/>
      <c r="O230" s="327"/>
      <c r="P230" s="327"/>
      <c r="Q230" s="1"/>
    </row>
    <row r="231" spans="1:17" x14ac:dyDescent="0.25">
      <c r="A231" s="1"/>
      <c r="C231" s="327"/>
      <c r="D231" s="327"/>
      <c r="E231" s="327"/>
      <c r="F231" s="327"/>
      <c r="G231" s="327"/>
      <c r="H231" s="327"/>
      <c r="I231" s="327"/>
      <c r="J231" s="327"/>
      <c r="K231" s="327"/>
      <c r="L231" s="327"/>
      <c r="M231" s="327"/>
      <c r="N231" s="327"/>
      <c r="O231" s="327"/>
      <c r="P231" s="327"/>
      <c r="Q231" s="1"/>
    </row>
    <row r="232" spans="1:17" x14ac:dyDescent="0.25">
      <c r="A232" s="1"/>
      <c r="B232" s="327" t="s">
        <v>720</v>
      </c>
      <c r="C232" s="327"/>
      <c r="D232" s="327"/>
      <c r="E232" s="327"/>
      <c r="F232" s="327"/>
      <c r="G232" s="327"/>
      <c r="H232" s="327"/>
      <c r="I232" s="327"/>
      <c r="J232" s="327"/>
      <c r="K232" s="327"/>
      <c r="L232" s="327"/>
      <c r="M232" s="327"/>
      <c r="N232" s="327"/>
      <c r="O232" s="327"/>
      <c r="P232" s="327"/>
      <c r="Q232" s="1"/>
    </row>
    <row r="233" spans="1:17" x14ac:dyDescent="0.25">
      <c r="A233" s="1"/>
      <c r="B233" s="327" t="s">
        <v>684</v>
      </c>
      <c r="C233" s="327"/>
      <c r="D233" s="327"/>
      <c r="E233" s="327"/>
      <c r="F233" s="327"/>
      <c r="G233" s="327"/>
      <c r="H233" s="327"/>
      <c r="I233" s="327"/>
      <c r="J233" s="327"/>
      <c r="K233" s="327"/>
      <c r="L233" s="327"/>
      <c r="M233" s="327"/>
      <c r="N233" s="327"/>
      <c r="O233" s="327"/>
      <c r="P233" s="327"/>
      <c r="Q233" s="1"/>
    </row>
    <row r="234" spans="1:17" x14ac:dyDescent="0.25">
      <c r="A234" s="1"/>
      <c r="B234" s="327"/>
      <c r="C234" s="327"/>
      <c r="D234" s="327"/>
      <c r="E234" s="327"/>
      <c r="F234" s="327"/>
      <c r="G234" s="327"/>
      <c r="H234" s="327"/>
      <c r="I234" s="327"/>
      <c r="J234" s="327"/>
      <c r="K234" s="327"/>
      <c r="L234" s="327"/>
      <c r="M234" s="327"/>
      <c r="N234" s="327"/>
      <c r="O234" s="327"/>
      <c r="P234" s="327"/>
      <c r="Q234" s="1"/>
    </row>
    <row r="235" spans="1:17" x14ac:dyDescent="0.25">
      <c r="A235" s="1"/>
      <c r="B235" s="329" t="s">
        <v>361</v>
      </c>
      <c r="C235" s="327"/>
      <c r="D235" s="327"/>
      <c r="E235" s="327"/>
      <c r="F235" s="327"/>
      <c r="G235" s="327"/>
      <c r="H235" s="327"/>
      <c r="I235" s="327"/>
      <c r="J235" s="327"/>
      <c r="K235" s="327"/>
      <c r="L235" s="327"/>
      <c r="M235" s="327"/>
      <c r="N235" s="327"/>
      <c r="O235" s="327"/>
      <c r="P235" s="327"/>
      <c r="Q235" s="1"/>
    </row>
    <row r="236" spans="1:17" x14ac:dyDescent="0.25">
      <c r="A236" s="1"/>
      <c r="B236" s="329" t="s">
        <v>362</v>
      </c>
      <c r="C236" s="327"/>
      <c r="D236" s="327"/>
      <c r="E236" s="327"/>
      <c r="F236" s="327"/>
      <c r="G236" s="327"/>
      <c r="H236" s="327"/>
      <c r="I236" s="327"/>
      <c r="J236" s="327"/>
      <c r="K236" s="327"/>
      <c r="L236" s="327"/>
      <c r="M236" s="327"/>
      <c r="N236" s="327"/>
      <c r="O236" s="327"/>
      <c r="P236" s="327"/>
      <c r="Q236" s="1"/>
    </row>
    <row r="237" spans="1:17" x14ac:dyDescent="0.25">
      <c r="A237" s="1"/>
      <c r="B237" s="329"/>
      <c r="C237" s="327"/>
      <c r="D237" s="327"/>
      <c r="E237" s="327"/>
      <c r="F237" s="327"/>
      <c r="G237" s="327"/>
      <c r="H237" s="327"/>
      <c r="I237" s="327"/>
      <c r="J237" s="327"/>
      <c r="K237" s="327"/>
      <c r="L237" s="327"/>
      <c r="M237" s="327"/>
      <c r="N237" s="327"/>
      <c r="O237" s="327"/>
      <c r="P237" s="327"/>
      <c r="Q237" s="1"/>
    </row>
    <row r="238" spans="1:17" x14ac:dyDescent="0.25">
      <c r="A238" s="1"/>
      <c r="B238" s="329" t="s">
        <v>532</v>
      </c>
      <c r="C238" s="327"/>
      <c r="D238" s="327"/>
      <c r="E238" s="327"/>
      <c r="F238" s="327"/>
      <c r="G238" s="327"/>
      <c r="H238" s="327"/>
      <c r="I238" s="327"/>
      <c r="J238" s="327"/>
      <c r="K238" s="327"/>
      <c r="L238" s="327"/>
      <c r="M238" s="327"/>
      <c r="N238" s="327"/>
      <c r="O238" s="327"/>
      <c r="P238" s="327"/>
      <c r="Q238" s="1"/>
    </row>
    <row r="239" spans="1:17" x14ac:dyDescent="0.25">
      <c r="A239" s="1"/>
      <c r="B239" s="329" t="s">
        <v>614</v>
      </c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x14ac:dyDescent="0.25">
      <c r="A240" s="1"/>
      <c r="B240" s="329" t="s">
        <v>615</v>
      </c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x14ac:dyDescent="0.25">
      <c r="A241" s="1"/>
      <c r="B241" s="329" t="s">
        <v>669</v>
      </c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x14ac:dyDescent="0.25">
      <c r="A242" s="1"/>
      <c r="B242" s="329" t="s">
        <v>721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57.75" customHeight="1" x14ac:dyDescent="0.25">
      <c r="Q243" s="1"/>
    </row>
  </sheetData>
  <mergeCells count="24">
    <mergeCell ref="A213:B213"/>
    <mergeCell ref="A138:B138"/>
    <mergeCell ref="A142:O142"/>
    <mergeCell ref="A143:B143"/>
    <mergeCell ref="A144:B144"/>
    <mergeCell ref="A158:B158"/>
    <mergeCell ref="A181:O181"/>
    <mergeCell ref="A182:B182"/>
    <mergeCell ref="A203:O203"/>
    <mergeCell ref="A204:B204"/>
    <mergeCell ref="A207:B207"/>
    <mergeCell ref="A210:B210"/>
    <mergeCell ref="A137:B137"/>
    <mergeCell ref="A1:O1"/>
    <mergeCell ref="A2:B2"/>
    <mergeCell ref="A3:B3"/>
    <mergeCell ref="A11:B11"/>
    <mergeCell ref="A68:B68"/>
    <mergeCell ref="A70:B70"/>
    <mergeCell ref="A71:B71"/>
    <mergeCell ref="A75:O75"/>
    <mergeCell ref="A76:B76"/>
    <mergeCell ref="A92:B92"/>
    <mergeCell ref="A133:B133"/>
  </mergeCells>
  <pageMargins left="0.70866141732283472" right="0.70866141732283472" top="0.74803149606299213" bottom="0.74803149606299213" header="0.31496062992125984" footer="0.31496062992125984"/>
  <pageSetup paperSize="9" scale="39" fitToHeight="0" orientation="landscape" r:id="rId1"/>
  <headerFooter>
    <oddHeader xml:space="preserve">&amp;CRozpočet obce Heľpa na rok 2025
5. zmena 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2A8D-137D-46AE-B15F-E2B4F8E936EB}">
  <sheetPr>
    <pageSetUpPr fitToPage="1"/>
  </sheetPr>
  <dimension ref="A1:Y24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M1"/>
    </sheetView>
  </sheetViews>
  <sheetFormatPr defaultRowHeight="15" x14ac:dyDescent="0.25"/>
  <cols>
    <col min="1" max="1" width="6.42578125" customWidth="1"/>
    <col min="2" max="2" width="52.28515625" customWidth="1"/>
    <col min="3" max="13" width="12.7109375" customWidth="1"/>
    <col min="14" max="14" width="7.42578125" customWidth="1"/>
    <col min="15" max="15" width="10.85546875" customWidth="1"/>
    <col min="16" max="16" width="10" customWidth="1"/>
    <col min="22" max="22" width="10.85546875" customWidth="1"/>
  </cols>
  <sheetData>
    <row r="1" spans="1:23" ht="18.75" thickBot="1" x14ac:dyDescent="0.3">
      <c r="A1" s="888" t="s">
        <v>0</v>
      </c>
      <c r="B1" s="889"/>
      <c r="C1" s="889"/>
      <c r="D1" s="889"/>
      <c r="E1" s="889"/>
      <c r="F1" s="889"/>
      <c r="G1" s="889"/>
      <c r="H1" s="889"/>
      <c r="I1" s="889"/>
      <c r="J1" s="889"/>
      <c r="K1" s="889"/>
      <c r="L1" s="889"/>
      <c r="M1" s="889"/>
      <c r="N1" s="725"/>
      <c r="O1" s="1"/>
    </row>
    <row r="2" spans="1:23" ht="46.5" customHeight="1" thickBot="1" x14ac:dyDescent="0.3">
      <c r="A2" s="890" t="s">
        <v>1</v>
      </c>
      <c r="B2" s="891"/>
      <c r="C2" s="387" t="s">
        <v>467</v>
      </c>
      <c r="D2" s="387" t="s">
        <v>465</v>
      </c>
      <c r="E2" s="387" t="s">
        <v>483</v>
      </c>
      <c r="F2" s="387" t="s">
        <v>500</v>
      </c>
      <c r="G2" s="387" t="s">
        <v>533</v>
      </c>
      <c r="H2" s="387" t="s">
        <v>578</v>
      </c>
      <c r="I2" s="387" t="s">
        <v>610</v>
      </c>
      <c r="J2" s="387" t="s">
        <v>579</v>
      </c>
      <c r="K2" s="387" t="s">
        <v>646</v>
      </c>
      <c r="L2" s="387" t="s">
        <v>637</v>
      </c>
      <c r="M2" s="387" t="s">
        <v>633</v>
      </c>
      <c r="N2" s="727" t="s">
        <v>479</v>
      </c>
      <c r="O2" s="1"/>
    </row>
    <row r="3" spans="1:23" ht="15.75" thickBot="1" x14ac:dyDescent="0.3">
      <c r="A3" s="892" t="s">
        <v>4</v>
      </c>
      <c r="B3" s="893"/>
      <c r="C3" s="2">
        <f t="shared" ref="C3:M3" si="0">SUM(C4:C10)</f>
        <v>1338200</v>
      </c>
      <c r="D3" s="2">
        <f t="shared" si="0"/>
        <v>1338200</v>
      </c>
      <c r="E3" s="2">
        <f t="shared" si="0"/>
        <v>1338200</v>
      </c>
      <c r="F3" s="2">
        <f t="shared" si="0"/>
        <v>1338200</v>
      </c>
      <c r="G3" s="2">
        <f t="shared" si="0"/>
        <v>1338200</v>
      </c>
      <c r="H3" s="2">
        <f t="shared" si="0"/>
        <v>1338200</v>
      </c>
      <c r="I3" s="2">
        <f t="shared" si="0"/>
        <v>1338200</v>
      </c>
      <c r="J3" s="2">
        <f t="shared" si="0"/>
        <v>1338200</v>
      </c>
      <c r="K3" s="2">
        <f t="shared" ref="K3" si="1">SUM(K4:K10)</f>
        <v>1338200</v>
      </c>
      <c r="L3" s="2">
        <f t="shared" ref="L3" si="2">SUM(L4:L10)</f>
        <v>1338200</v>
      </c>
      <c r="M3" s="2">
        <f t="shared" si="0"/>
        <v>475831</v>
      </c>
      <c r="N3" s="728">
        <f t="shared" ref="N3:N17" si="3">M3/J3</f>
        <v>0.35557539979076369</v>
      </c>
      <c r="O3" s="1"/>
    </row>
    <row r="4" spans="1:23" ht="15.75" thickBot="1" x14ac:dyDescent="0.3">
      <c r="A4" s="3">
        <v>111</v>
      </c>
      <c r="B4" s="120" t="s">
        <v>5</v>
      </c>
      <c r="C4" s="6">
        <v>1227300</v>
      </c>
      <c r="D4" s="6">
        <v>1227300</v>
      </c>
      <c r="E4" s="6">
        <v>1227300</v>
      </c>
      <c r="F4" s="6">
        <v>1227300</v>
      </c>
      <c r="G4" s="6">
        <v>1227300</v>
      </c>
      <c r="H4" s="6">
        <v>1227300</v>
      </c>
      <c r="I4" s="6">
        <v>1227300</v>
      </c>
      <c r="J4" s="6">
        <v>1227300</v>
      </c>
      <c r="K4" s="6">
        <v>1227300</v>
      </c>
      <c r="L4" s="6">
        <v>1227300</v>
      </c>
      <c r="M4" s="6">
        <v>426426</v>
      </c>
      <c r="N4" s="728">
        <f t="shared" si="3"/>
        <v>0.34745050109997555</v>
      </c>
      <c r="O4" s="1"/>
    </row>
    <row r="5" spans="1:23" ht="15.75" thickBot="1" x14ac:dyDescent="0.3">
      <c r="A5" s="7">
        <v>121</v>
      </c>
      <c r="B5" s="332" t="s">
        <v>6</v>
      </c>
      <c r="C5" s="11">
        <v>61200</v>
      </c>
      <c r="D5" s="11">
        <v>61200</v>
      </c>
      <c r="E5" s="11">
        <v>61200</v>
      </c>
      <c r="F5" s="11">
        <v>61200</v>
      </c>
      <c r="G5" s="11">
        <v>61200</v>
      </c>
      <c r="H5" s="11">
        <v>61200</v>
      </c>
      <c r="I5" s="11">
        <v>61200</v>
      </c>
      <c r="J5" s="11">
        <v>61200</v>
      </c>
      <c r="K5" s="11">
        <v>61200</v>
      </c>
      <c r="L5" s="11">
        <v>61200</v>
      </c>
      <c r="M5" s="11">
        <v>19369</v>
      </c>
      <c r="N5" s="728">
        <f t="shared" si="3"/>
        <v>0.31648692810457518</v>
      </c>
      <c r="O5" s="1"/>
    </row>
    <row r="6" spans="1:23" x14ac:dyDescent="0.25">
      <c r="A6" s="12">
        <v>133</v>
      </c>
      <c r="B6" s="333" t="s">
        <v>7</v>
      </c>
      <c r="C6" s="16">
        <v>2000</v>
      </c>
      <c r="D6" s="16">
        <v>2000</v>
      </c>
      <c r="E6" s="16">
        <v>2000</v>
      </c>
      <c r="F6" s="16">
        <v>2000</v>
      </c>
      <c r="G6" s="16">
        <v>2000</v>
      </c>
      <c r="H6" s="16">
        <v>2000</v>
      </c>
      <c r="I6" s="16">
        <v>2000</v>
      </c>
      <c r="J6" s="16">
        <v>2000</v>
      </c>
      <c r="K6" s="16">
        <v>2000</v>
      </c>
      <c r="L6" s="16">
        <v>2000</v>
      </c>
      <c r="M6" s="16">
        <v>1472</v>
      </c>
      <c r="N6" s="728">
        <f t="shared" si="3"/>
        <v>0.73599999999999999</v>
      </c>
      <c r="O6" s="1"/>
    </row>
    <row r="7" spans="1:23" x14ac:dyDescent="0.25">
      <c r="A7" s="17">
        <v>133</v>
      </c>
      <c r="B7" s="334" t="s">
        <v>8</v>
      </c>
      <c r="C7" s="21">
        <v>200</v>
      </c>
      <c r="D7" s="21">
        <v>200</v>
      </c>
      <c r="E7" s="21">
        <v>200</v>
      </c>
      <c r="F7" s="21">
        <v>200</v>
      </c>
      <c r="G7" s="21">
        <v>200</v>
      </c>
      <c r="H7" s="21">
        <v>200</v>
      </c>
      <c r="I7" s="21">
        <v>200</v>
      </c>
      <c r="J7" s="21">
        <v>200</v>
      </c>
      <c r="K7" s="21">
        <v>200</v>
      </c>
      <c r="L7" s="21">
        <v>200</v>
      </c>
      <c r="M7" s="21">
        <v>0</v>
      </c>
      <c r="N7" s="728">
        <f t="shared" si="3"/>
        <v>0</v>
      </c>
      <c r="O7" s="1"/>
    </row>
    <row r="8" spans="1:23" x14ac:dyDescent="0.25">
      <c r="A8" s="17">
        <v>133</v>
      </c>
      <c r="B8" s="334" t="s">
        <v>9</v>
      </c>
      <c r="C8" s="21">
        <v>6000</v>
      </c>
      <c r="D8" s="21">
        <v>6000</v>
      </c>
      <c r="E8" s="21">
        <v>6000</v>
      </c>
      <c r="F8" s="21">
        <v>6000</v>
      </c>
      <c r="G8" s="21">
        <v>6000</v>
      </c>
      <c r="H8" s="21">
        <v>6000</v>
      </c>
      <c r="I8" s="21">
        <v>6000</v>
      </c>
      <c r="J8" s="21">
        <v>6000</v>
      </c>
      <c r="K8" s="21">
        <v>6000</v>
      </c>
      <c r="L8" s="21">
        <v>6000</v>
      </c>
      <c r="M8" s="21">
        <v>2215</v>
      </c>
      <c r="N8" s="728">
        <f t="shared" si="3"/>
        <v>0.36916666666666664</v>
      </c>
      <c r="O8" s="1"/>
    </row>
    <row r="9" spans="1:23" x14ac:dyDescent="0.25">
      <c r="A9" s="17">
        <v>133</v>
      </c>
      <c r="B9" s="334" t="s">
        <v>10</v>
      </c>
      <c r="C9" s="21">
        <v>6500</v>
      </c>
      <c r="D9" s="21">
        <v>6500</v>
      </c>
      <c r="E9" s="21">
        <v>6500</v>
      </c>
      <c r="F9" s="21">
        <v>6500</v>
      </c>
      <c r="G9" s="21">
        <v>6500</v>
      </c>
      <c r="H9" s="21">
        <v>6500</v>
      </c>
      <c r="I9" s="21">
        <v>6500</v>
      </c>
      <c r="J9" s="21">
        <v>6500</v>
      </c>
      <c r="K9" s="21">
        <v>6500</v>
      </c>
      <c r="L9" s="21">
        <v>6500</v>
      </c>
      <c r="M9" s="21">
        <v>543</v>
      </c>
      <c r="N9" s="728">
        <f t="shared" si="3"/>
        <v>8.3538461538461534E-2</v>
      </c>
      <c r="O9" s="1"/>
    </row>
    <row r="10" spans="1:23" ht="15.75" thickBot="1" x14ac:dyDescent="0.3">
      <c r="A10" s="22">
        <v>133</v>
      </c>
      <c r="B10" s="335" t="s">
        <v>11</v>
      </c>
      <c r="C10" s="26">
        <v>35000</v>
      </c>
      <c r="D10" s="26">
        <v>35000</v>
      </c>
      <c r="E10" s="26">
        <v>35000</v>
      </c>
      <c r="F10" s="26">
        <v>35000</v>
      </c>
      <c r="G10" s="26">
        <v>35000</v>
      </c>
      <c r="H10" s="26">
        <v>35000</v>
      </c>
      <c r="I10" s="26">
        <v>35000</v>
      </c>
      <c r="J10" s="26">
        <v>35000</v>
      </c>
      <c r="K10" s="26">
        <v>35000</v>
      </c>
      <c r="L10" s="26">
        <v>35000</v>
      </c>
      <c r="M10" s="26">
        <v>25806</v>
      </c>
      <c r="N10" s="728">
        <f t="shared" si="3"/>
        <v>0.7373142857142857</v>
      </c>
      <c r="O10" s="27">
        <f>SUM(J6:J10)</f>
        <v>49700</v>
      </c>
      <c r="P10" s="27">
        <f>SUM(M6:M10)</f>
        <v>30036</v>
      </c>
      <c r="Q10" s="27"/>
      <c r="R10" s="27"/>
      <c r="S10" s="27"/>
      <c r="T10" s="27"/>
      <c r="U10" s="27"/>
    </row>
    <row r="11" spans="1:23" ht="15.75" thickBot="1" x14ac:dyDescent="0.3">
      <c r="A11" s="892" t="s">
        <v>12</v>
      </c>
      <c r="B11" s="893"/>
      <c r="C11" s="336">
        <f t="shared" ref="C11:M11" si="4">SUM(C12:C30)</f>
        <v>247720</v>
      </c>
      <c r="D11" s="336">
        <f t="shared" si="4"/>
        <v>247720</v>
      </c>
      <c r="E11" s="336">
        <f t="shared" si="4"/>
        <v>247720</v>
      </c>
      <c r="F11" s="336">
        <f t="shared" si="4"/>
        <v>247720</v>
      </c>
      <c r="G11" s="336">
        <f t="shared" si="4"/>
        <v>247720</v>
      </c>
      <c r="H11" s="336">
        <f t="shared" si="4"/>
        <v>247720</v>
      </c>
      <c r="I11" s="336">
        <f t="shared" si="4"/>
        <v>247720</v>
      </c>
      <c r="J11" s="336">
        <f t="shared" si="4"/>
        <v>247720</v>
      </c>
      <c r="K11" s="336">
        <f t="shared" ref="K11" si="5">SUM(K12:K30)</f>
        <v>247720</v>
      </c>
      <c r="L11" s="336">
        <f t="shared" ref="L11" si="6">SUM(L12:L30)</f>
        <v>248725</v>
      </c>
      <c r="M11" s="336">
        <f t="shared" si="4"/>
        <v>70689</v>
      </c>
      <c r="N11" s="728">
        <f t="shared" si="3"/>
        <v>0.2853584692394639</v>
      </c>
      <c r="O11" s="1"/>
    </row>
    <row r="12" spans="1:23" x14ac:dyDescent="0.25">
      <c r="A12" s="28">
        <v>212</v>
      </c>
      <c r="B12" s="29" t="s">
        <v>13</v>
      </c>
      <c r="C12" s="32">
        <v>3032</v>
      </c>
      <c r="D12" s="692">
        <f t="shared" ref="D12:I12" si="7">3032-20+127</f>
        <v>3139</v>
      </c>
      <c r="E12" s="32">
        <f t="shared" si="7"/>
        <v>3139</v>
      </c>
      <c r="F12" s="32">
        <f t="shared" si="7"/>
        <v>3139</v>
      </c>
      <c r="G12" s="32">
        <f t="shared" si="7"/>
        <v>3139</v>
      </c>
      <c r="H12" s="32">
        <f t="shared" si="7"/>
        <v>3139</v>
      </c>
      <c r="I12" s="32">
        <f t="shared" si="7"/>
        <v>3139</v>
      </c>
      <c r="J12" s="692">
        <f>3032-20+127+149</f>
        <v>3288</v>
      </c>
      <c r="K12" s="32">
        <f>3032-20+127+149</f>
        <v>3288</v>
      </c>
      <c r="L12" s="32">
        <f>3032-20+127+149</f>
        <v>3288</v>
      </c>
      <c r="M12" s="32">
        <v>766</v>
      </c>
      <c r="N12" s="728">
        <f t="shared" si="3"/>
        <v>0.23296836982968369</v>
      </c>
      <c r="O12" s="1"/>
    </row>
    <row r="13" spans="1:23" x14ac:dyDescent="0.25">
      <c r="A13" s="17">
        <v>212</v>
      </c>
      <c r="B13" s="18" t="s">
        <v>14</v>
      </c>
      <c r="C13" s="21">
        <v>1000</v>
      </c>
      <c r="D13" s="21">
        <v>1000</v>
      </c>
      <c r="E13" s="21">
        <v>1000</v>
      </c>
      <c r="F13" s="21">
        <v>1000</v>
      </c>
      <c r="G13" s="21">
        <v>1000</v>
      </c>
      <c r="H13" s="21">
        <v>1000</v>
      </c>
      <c r="I13" s="21">
        <v>1000</v>
      </c>
      <c r="J13" s="21">
        <v>1000</v>
      </c>
      <c r="K13" s="21">
        <v>1000</v>
      </c>
      <c r="L13" s="21">
        <v>1000</v>
      </c>
      <c r="M13" s="21">
        <v>60</v>
      </c>
      <c r="N13" s="728">
        <f t="shared" si="3"/>
        <v>0.06</v>
      </c>
      <c r="O13" s="27"/>
    </row>
    <row r="14" spans="1:23" x14ac:dyDescent="0.25">
      <c r="A14" s="12">
        <v>212</v>
      </c>
      <c r="B14" s="13" t="s">
        <v>15</v>
      </c>
      <c r="C14" s="82">
        <v>3425</v>
      </c>
      <c r="D14" s="82">
        <v>3425</v>
      </c>
      <c r="E14" s="82">
        <v>3425</v>
      </c>
      <c r="F14" s="82">
        <v>3425</v>
      </c>
      <c r="G14" s="82">
        <v>3425</v>
      </c>
      <c r="H14" s="82">
        <v>3425</v>
      </c>
      <c r="I14" s="82">
        <v>3425</v>
      </c>
      <c r="J14" s="82">
        <v>3425</v>
      </c>
      <c r="K14" s="82">
        <v>3425</v>
      </c>
      <c r="L14" s="82">
        <v>3425</v>
      </c>
      <c r="M14" s="82">
        <v>1143</v>
      </c>
      <c r="N14" s="728">
        <f t="shared" si="3"/>
        <v>0.33372262773722627</v>
      </c>
      <c r="O14" s="1"/>
    </row>
    <row r="15" spans="1:23" x14ac:dyDescent="0.25">
      <c r="A15" s="17">
        <v>212</v>
      </c>
      <c r="B15" s="18" t="s">
        <v>16</v>
      </c>
      <c r="C15" s="21">
        <v>19463</v>
      </c>
      <c r="D15" s="693">
        <f t="shared" ref="D15:I15" si="8">19463+129-236</f>
        <v>19356</v>
      </c>
      <c r="E15" s="21">
        <f t="shared" si="8"/>
        <v>19356</v>
      </c>
      <c r="F15" s="21">
        <f t="shared" si="8"/>
        <v>19356</v>
      </c>
      <c r="G15" s="21">
        <f t="shared" si="8"/>
        <v>19356</v>
      </c>
      <c r="H15" s="21">
        <f t="shared" si="8"/>
        <v>19356</v>
      </c>
      <c r="I15" s="21">
        <f t="shared" si="8"/>
        <v>19356</v>
      </c>
      <c r="J15" s="693">
        <f>19463+129-236-149</f>
        <v>19207</v>
      </c>
      <c r="K15" s="21">
        <f>19463+129-236-149</f>
        <v>19207</v>
      </c>
      <c r="L15" s="693">
        <f>19463+129-236-149+1005</f>
        <v>20212</v>
      </c>
      <c r="M15" s="21">
        <v>6276</v>
      </c>
      <c r="N15" s="728">
        <f t="shared" si="3"/>
        <v>0.32675587025563596</v>
      </c>
      <c r="O15" s="27"/>
    </row>
    <row r="16" spans="1:23" ht="15.75" thickBot="1" x14ac:dyDescent="0.3">
      <c r="A16" s="35">
        <v>212</v>
      </c>
      <c r="B16" s="36" t="s">
        <v>17</v>
      </c>
      <c r="C16" s="39">
        <v>100</v>
      </c>
      <c r="D16" s="39">
        <v>100</v>
      </c>
      <c r="E16" s="39">
        <v>100</v>
      </c>
      <c r="F16" s="39">
        <v>100</v>
      </c>
      <c r="G16" s="39">
        <v>100</v>
      </c>
      <c r="H16" s="39">
        <v>100</v>
      </c>
      <c r="I16" s="39">
        <v>100</v>
      </c>
      <c r="J16" s="39">
        <v>100</v>
      </c>
      <c r="K16" s="39">
        <v>100</v>
      </c>
      <c r="L16" s="39">
        <v>100</v>
      </c>
      <c r="M16" s="39">
        <v>0</v>
      </c>
      <c r="N16" s="728">
        <f t="shared" si="3"/>
        <v>0</v>
      </c>
      <c r="O16" s="426">
        <f>SUM(J12:J16)</f>
        <v>27020</v>
      </c>
      <c r="P16" s="426">
        <f>SUM(M12:M16)</f>
        <v>8245</v>
      </c>
      <c r="Q16" s="426"/>
      <c r="R16" s="426"/>
      <c r="S16" s="426"/>
      <c r="T16" s="426"/>
      <c r="U16" s="426"/>
      <c r="V16" s="27"/>
      <c r="W16" s="426"/>
    </row>
    <row r="17" spans="1:23" ht="15.75" thickBot="1" x14ac:dyDescent="0.3">
      <c r="A17" s="7">
        <v>221</v>
      </c>
      <c r="B17" s="8" t="s">
        <v>18</v>
      </c>
      <c r="C17" s="41">
        <v>7200</v>
      </c>
      <c r="D17" s="41">
        <v>7200</v>
      </c>
      <c r="E17" s="41">
        <v>7200</v>
      </c>
      <c r="F17" s="41">
        <v>7200</v>
      </c>
      <c r="G17" s="41">
        <v>7200</v>
      </c>
      <c r="H17" s="41">
        <v>7200</v>
      </c>
      <c r="I17" s="41">
        <v>7200</v>
      </c>
      <c r="J17" s="41">
        <v>7200</v>
      </c>
      <c r="K17" s="41">
        <v>7200</v>
      </c>
      <c r="L17" s="41">
        <v>7200</v>
      </c>
      <c r="M17" s="41">
        <v>3204</v>
      </c>
      <c r="N17" s="728">
        <f t="shared" si="3"/>
        <v>0.44500000000000001</v>
      </c>
      <c r="O17" s="1"/>
    </row>
    <row r="18" spans="1:23" ht="15.75" thickBot="1" x14ac:dyDescent="0.3">
      <c r="A18" s="35">
        <v>222</v>
      </c>
      <c r="B18" s="36" t="s">
        <v>19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728">
        <v>0</v>
      </c>
      <c r="O18" s="1"/>
    </row>
    <row r="19" spans="1:23" x14ac:dyDescent="0.25">
      <c r="A19" s="12">
        <v>223</v>
      </c>
      <c r="B19" s="13" t="s">
        <v>20</v>
      </c>
      <c r="C19" s="16">
        <v>900</v>
      </c>
      <c r="D19" s="16">
        <v>900</v>
      </c>
      <c r="E19" s="16">
        <v>900</v>
      </c>
      <c r="F19" s="16">
        <v>900</v>
      </c>
      <c r="G19" s="16">
        <v>900</v>
      </c>
      <c r="H19" s="16">
        <v>900</v>
      </c>
      <c r="I19" s="16">
        <v>900</v>
      </c>
      <c r="J19" s="16">
        <v>900</v>
      </c>
      <c r="K19" s="16">
        <v>900</v>
      </c>
      <c r="L19" s="16">
        <v>900</v>
      </c>
      <c r="M19" s="16">
        <v>61</v>
      </c>
      <c r="N19" s="728">
        <f>M19/J19</f>
        <v>6.7777777777777784E-2</v>
      </c>
      <c r="O19" s="1"/>
    </row>
    <row r="20" spans="1:23" x14ac:dyDescent="0.25">
      <c r="A20" s="17">
        <v>223</v>
      </c>
      <c r="B20" s="18" t="s">
        <v>21</v>
      </c>
      <c r="C20" s="21">
        <v>25000</v>
      </c>
      <c r="D20" s="21">
        <v>25000</v>
      </c>
      <c r="E20" s="21">
        <v>25000</v>
      </c>
      <c r="F20" s="21">
        <v>25000</v>
      </c>
      <c r="G20" s="21">
        <v>25000</v>
      </c>
      <c r="H20" s="21">
        <v>25000</v>
      </c>
      <c r="I20" s="21">
        <v>25000</v>
      </c>
      <c r="J20" s="21">
        <v>25000</v>
      </c>
      <c r="K20" s="21">
        <v>25000</v>
      </c>
      <c r="L20" s="21">
        <v>25000</v>
      </c>
      <c r="M20" s="21">
        <v>8919</v>
      </c>
      <c r="N20" s="728">
        <f>M20/J20</f>
        <v>0.35676000000000002</v>
      </c>
      <c r="O20" s="1"/>
    </row>
    <row r="21" spans="1:23" x14ac:dyDescent="0.25">
      <c r="A21" s="17">
        <v>223</v>
      </c>
      <c r="B21" s="18" t="s">
        <v>22</v>
      </c>
      <c r="C21" s="21">
        <v>100</v>
      </c>
      <c r="D21" s="21">
        <v>100</v>
      </c>
      <c r="E21" s="21">
        <v>100</v>
      </c>
      <c r="F21" s="21">
        <v>100</v>
      </c>
      <c r="G21" s="21">
        <v>100</v>
      </c>
      <c r="H21" s="21">
        <v>100</v>
      </c>
      <c r="I21" s="21">
        <v>100</v>
      </c>
      <c r="J21" s="21">
        <v>100</v>
      </c>
      <c r="K21" s="21">
        <v>100</v>
      </c>
      <c r="L21" s="21">
        <v>100</v>
      </c>
      <c r="M21" s="21">
        <v>0</v>
      </c>
      <c r="N21" s="728">
        <f>M21/L21</f>
        <v>0</v>
      </c>
      <c r="O21" s="1"/>
    </row>
    <row r="22" spans="1:23" x14ac:dyDescent="0.25">
      <c r="A22" s="17">
        <v>223</v>
      </c>
      <c r="B22" s="18" t="s">
        <v>290</v>
      </c>
      <c r="C22" s="21">
        <v>3000</v>
      </c>
      <c r="D22" s="21">
        <v>3000</v>
      </c>
      <c r="E22" s="21">
        <v>3000</v>
      </c>
      <c r="F22" s="21">
        <v>3000</v>
      </c>
      <c r="G22" s="21">
        <v>3000</v>
      </c>
      <c r="H22" s="21">
        <v>3000</v>
      </c>
      <c r="I22" s="21">
        <v>3000</v>
      </c>
      <c r="J22" s="21">
        <v>3000</v>
      </c>
      <c r="K22" s="21">
        <v>3000</v>
      </c>
      <c r="L22" s="21">
        <v>3000</v>
      </c>
      <c r="M22" s="21">
        <v>1098</v>
      </c>
      <c r="N22" s="728">
        <f t="shared" ref="N22:N86" si="9">M22/L22</f>
        <v>0.36599999999999999</v>
      </c>
      <c r="O22" s="1"/>
    </row>
    <row r="23" spans="1:23" x14ac:dyDescent="0.25">
      <c r="A23" s="17">
        <v>223</v>
      </c>
      <c r="B23" s="18" t="s">
        <v>23</v>
      </c>
      <c r="C23" s="21">
        <v>2000</v>
      </c>
      <c r="D23" s="21">
        <v>2000</v>
      </c>
      <c r="E23" s="21">
        <v>2000</v>
      </c>
      <c r="F23" s="21">
        <v>2000</v>
      </c>
      <c r="G23" s="21">
        <v>2000</v>
      </c>
      <c r="H23" s="21">
        <v>2000</v>
      </c>
      <c r="I23" s="21">
        <v>2000</v>
      </c>
      <c r="J23" s="21">
        <v>2000</v>
      </c>
      <c r="K23" s="21">
        <v>2000</v>
      </c>
      <c r="L23" s="21">
        <v>2000</v>
      </c>
      <c r="M23" s="21">
        <v>0</v>
      </c>
      <c r="N23" s="728">
        <f t="shared" si="9"/>
        <v>0</v>
      </c>
      <c r="O23" s="1"/>
    </row>
    <row r="24" spans="1:23" x14ac:dyDescent="0.25">
      <c r="A24" s="17">
        <v>223</v>
      </c>
      <c r="B24" s="18" t="s">
        <v>24</v>
      </c>
      <c r="C24" s="21">
        <v>1000</v>
      </c>
      <c r="D24" s="21">
        <v>1000</v>
      </c>
      <c r="E24" s="21">
        <v>1000</v>
      </c>
      <c r="F24" s="21">
        <v>1000</v>
      </c>
      <c r="G24" s="21">
        <v>1000</v>
      </c>
      <c r="H24" s="21">
        <v>1000</v>
      </c>
      <c r="I24" s="21">
        <v>1000</v>
      </c>
      <c r="J24" s="21">
        <v>1000</v>
      </c>
      <c r="K24" s="21">
        <v>1000</v>
      </c>
      <c r="L24" s="21">
        <v>1000</v>
      </c>
      <c r="M24" s="21">
        <v>160</v>
      </c>
      <c r="N24" s="728">
        <f t="shared" si="9"/>
        <v>0.16</v>
      </c>
      <c r="O24" s="1"/>
    </row>
    <row r="25" spans="1:23" x14ac:dyDescent="0.25">
      <c r="A25" s="17">
        <v>223</v>
      </c>
      <c r="B25" s="18" t="s">
        <v>25</v>
      </c>
      <c r="C25" s="21">
        <v>46000</v>
      </c>
      <c r="D25" s="21">
        <v>46000</v>
      </c>
      <c r="E25" s="21">
        <v>46000</v>
      </c>
      <c r="F25" s="21">
        <v>46000</v>
      </c>
      <c r="G25" s="21">
        <v>46000</v>
      </c>
      <c r="H25" s="21">
        <v>46000</v>
      </c>
      <c r="I25" s="21">
        <v>46000</v>
      </c>
      <c r="J25" s="21">
        <v>46000</v>
      </c>
      <c r="K25" s="21">
        <v>46000</v>
      </c>
      <c r="L25" s="21">
        <v>46000</v>
      </c>
      <c r="M25" s="21">
        <v>13001</v>
      </c>
      <c r="N25" s="728">
        <f t="shared" si="9"/>
        <v>0.28263043478260869</v>
      </c>
      <c r="O25" s="1"/>
    </row>
    <row r="26" spans="1:23" x14ac:dyDescent="0.25">
      <c r="A26" s="17">
        <v>223</v>
      </c>
      <c r="B26" s="18" t="s">
        <v>26</v>
      </c>
      <c r="C26" s="21">
        <v>61000</v>
      </c>
      <c r="D26" s="21">
        <v>61000</v>
      </c>
      <c r="E26" s="21">
        <v>61000</v>
      </c>
      <c r="F26" s="21">
        <v>61000</v>
      </c>
      <c r="G26" s="21">
        <v>61000</v>
      </c>
      <c r="H26" s="21">
        <v>61000</v>
      </c>
      <c r="I26" s="21">
        <v>61000</v>
      </c>
      <c r="J26" s="21">
        <v>61000</v>
      </c>
      <c r="K26" s="21">
        <v>61000</v>
      </c>
      <c r="L26" s="21">
        <v>61000</v>
      </c>
      <c r="M26" s="21">
        <v>19192</v>
      </c>
      <c r="N26" s="728">
        <f t="shared" si="9"/>
        <v>0.31462295081967212</v>
      </c>
      <c r="O26" s="1"/>
    </row>
    <row r="27" spans="1:23" x14ac:dyDescent="0.25">
      <c r="A27" s="17">
        <v>223</v>
      </c>
      <c r="B27" s="18" t="s">
        <v>28</v>
      </c>
      <c r="C27" s="21">
        <v>2100</v>
      </c>
      <c r="D27" s="21">
        <v>2100</v>
      </c>
      <c r="E27" s="21">
        <v>2100</v>
      </c>
      <c r="F27" s="21">
        <v>2100</v>
      </c>
      <c r="G27" s="21">
        <v>2100</v>
      </c>
      <c r="H27" s="21">
        <v>2100</v>
      </c>
      <c r="I27" s="21">
        <v>2100</v>
      </c>
      <c r="J27" s="21">
        <v>2100</v>
      </c>
      <c r="K27" s="21">
        <v>2100</v>
      </c>
      <c r="L27" s="21">
        <v>2100</v>
      </c>
      <c r="M27" s="21">
        <v>833</v>
      </c>
      <c r="N27" s="728">
        <f t="shared" si="9"/>
        <v>0.39666666666666667</v>
      </c>
      <c r="O27" s="1"/>
    </row>
    <row r="28" spans="1:23" x14ac:dyDescent="0.25">
      <c r="A28" s="17">
        <v>223</v>
      </c>
      <c r="B28" s="18" t="s">
        <v>214</v>
      </c>
      <c r="C28" s="21">
        <v>1300</v>
      </c>
      <c r="D28" s="21">
        <v>1300</v>
      </c>
      <c r="E28" s="21">
        <v>1300</v>
      </c>
      <c r="F28" s="21">
        <v>1300</v>
      </c>
      <c r="G28" s="21">
        <v>1300</v>
      </c>
      <c r="H28" s="21">
        <v>1300</v>
      </c>
      <c r="I28" s="21">
        <v>1300</v>
      </c>
      <c r="J28" s="21">
        <v>1300</v>
      </c>
      <c r="K28" s="21">
        <v>1300</v>
      </c>
      <c r="L28" s="21">
        <v>1300</v>
      </c>
      <c r="M28" s="21">
        <v>480</v>
      </c>
      <c r="N28" s="728">
        <f t="shared" si="9"/>
        <v>0.36923076923076925</v>
      </c>
      <c r="O28" s="1"/>
    </row>
    <row r="29" spans="1:23" x14ac:dyDescent="0.25">
      <c r="A29" s="43">
        <v>223</v>
      </c>
      <c r="B29" s="44" t="s">
        <v>29</v>
      </c>
      <c r="C29" s="46">
        <v>71000</v>
      </c>
      <c r="D29" s="46">
        <v>71000</v>
      </c>
      <c r="E29" s="46">
        <v>71000</v>
      </c>
      <c r="F29" s="46">
        <v>71000</v>
      </c>
      <c r="G29" s="46">
        <v>71000</v>
      </c>
      <c r="H29" s="46">
        <v>71000</v>
      </c>
      <c r="I29" s="46">
        <v>71000</v>
      </c>
      <c r="J29" s="46">
        <v>71000</v>
      </c>
      <c r="K29" s="46">
        <v>71000</v>
      </c>
      <c r="L29" s="46">
        <v>71000</v>
      </c>
      <c r="M29" s="46">
        <v>15496</v>
      </c>
      <c r="N29" s="728">
        <f t="shared" si="9"/>
        <v>0.21825352112676055</v>
      </c>
      <c r="O29" s="27"/>
    </row>
    <row r="30" spans="1:23" ht="15.75" thickBot="1" x14ac:dyDescent="0.3">
      <c r="A30" s="22">
        <v>223</v>
      </c>
      <c r="B30" s="23" t="s">
        <v>30</v>
      </c>
      <c r="C30" s="79">
        <v>100</v>
      </c>
      <c r="D30" s="79">
        <v>100</v>
      </c>
      <c r="E30" s="79">
        <v>100</v>
      </c>
      <c r="F30" s="79">
        <v>100</v>
      </c>
      <c r="G30" s="79">
        <v>100</v>
      </c>
      <c r="H30" s="79">
        <v>100</v>
      </c>
      <c r="I30" s="79">
        <v>100</v>
      </c>
      <c r="J30" s="79">
        <v>100</v>
      </c>
      <c r="K30" s="79">
        <v>100</v>
      </c>
      <c r="L30" s="79">
        <v>100</v>
      </c>
      <c r="M30" s="48">
        <v>0</v>
      </c>
      <c r="N30" s="728">
        <f t="shared" si="9"/>
        <v>0</v>
      </c>
      <c r="O30" s="27">
        <f>SUM(J19:J30)</f>
        <v>213500</v>
      </c>
      <c r="P30" s="27">
        <f>SUM(M19:M30)</f>
        <v>59240</v>
      </c>
      <c r="Q30" s="27"/>
      <c r="R30" s="27"/>
      <c r="S30" s="27"/>
      <c r="T30" s="27"/>
      <c r="U30" s="27"/>
      <c r="V30" s="426"/>
      <c r="W30" s="426"/>
    </row>
    <row r="31" spans="1:23" ht="15.75" thickBot="1" x14ac:dyDescent="0.3">
      <c r="A31" s="784" t="s">
        <v>31</v>
      </c>
      <c r="B31" s="785"/>
      <c r="C31" s="2">
        <f t="shared" ref="C31:M31" si="10">SUM(C32)</f>
        <v>50</v>
      </c>
      <c r="D31" s="2">
        <f t="shared" si="10"/>
        <v>50</v>
      </c>
      <c r="E31" s="2">
        <f t="shared" si="10"/>
        <v>50</v>
      </c>
      <c r="F31" s="2">
        <f t="shared" si="10"/>
        <v>50</v>
      </c>
      <c r="G31" s="2">
        <f t="shared" si="10"/>
        <v>50</v>
      </c>
      <c r="H31" s="2">
        <f t="shared" si="10"/>
        <v>50</v>
      </c>
      <c r="I31" s="2">
        <f t="shared" si="10"/>
        <v>50</v>
      </c>
      <c r="J31" s="2">
        <f t="shared" si="10"/>
        <v>50</v>
      </c>
      <c r="K31" s="2">
        <f t="shared" si="10"/>
        <v>50</v>
      </c>
      <c r="L31" s="2">
        <f t="shared" si="10"/>
        <v>50</v>
      </c>
      <c r="M31" s="2">
        <f t="shared" si="10"/>
        <v>10</v>
      </c>
      <c r="N31" s="728">
        <f t="shared" si="9"/>
        <v>0.2</v>
      </c>
      <c r="O31" s="27">
        <f>SUM(J17:J30)</f>
        <v>220700</v>
      </c>
      <c r="P31" s="27">
        <f>SUM(M17:M30)</f>
        <v>62444</v>
      </c>
    </row>
    <row r="32" spans="1:23" ht="15.75" thickBot="1" x14ac:dyDescent="0.3">
      <c r="A32" s="51">
        <v>240</v>
      </c>
      <c r="B32" s="47" t="s">
        <v>32</v>
      </c>
      <c r="C32" s="38">
        <v>50</v>
      </c>
      <c r="D32" s="38">
        <v>50</v>
      </c>
      <c r="E32" s="38">
        <v>50</v>
      </c>
      <c r="F32" s="38">
        <v>50</v>
      </c>
      <c r="G32" s="38">
        <v>50</v>
      </c>
      <c r="H32" s="38">
        <v>50</v>
      </c>
      <c r="I32" s="38">
        <v>50</v>
      </c>
      <c r="J32" s="38">
        <v>50</v>
      </c>
      <c r="K32" s="38">
        <v>50</v>
      </c>
      <c r="L32" s="38">
        <v>50</v>
      </c>
      <c r="M32" s="38">
        <v>10</v>
      </c>
      <c r="N32" s="728">
        <f t="shared" si="9"/>
        <v>0.2</v>
      </c>
      <c r="O32" s="1"/>
    </row>
    <row r="33" spans="1:17" ht="15.75" thickBot="1" x14ac:dyDescent="0.3">
      <c r="A33" s="784" t="s">
        <v>33</v>
      </c>
      <c r="B33" s="785"/>
      <c r="C33" s="336">
        <f t="shared" ref="C33:M33" si="11">SUM(C34:C38)</f>
        <v>60240</v>
      </c>
      <c r="D33" s="336">
        <f t="shared" si="11"/>
        <v>60255</v>
      </c>
      <c r="E33" s="336">
        <f t="shared" si="11"/>
        <v>64505</v>
      </c>
      <c r="F33" s="336">
        <f t="shared" si="11"/>
        <v>64505</v>
      </c>
      <c r="G33" s="336">
        <f t="shared" si="11"/>
        <v>64505</v>
      </c>
      <c r="H33" s="336">
        <f t="shared" si="11"/>
        <v>64505</v>
      </c>
      <c r="I33" s="336">
        <f t="shared" si="11"/>
        <v>64505</v>
      </c>
      <c r="J33" s="336">
        <f t="shared" si="11"/>
        <v>65429</v>
      </c>
      <c r="K33" s="336">
        <f t="shared" ref="K33" si="12">SUM(K34:K38)</f>
        <v>65429</v>
      </c>
      <c r="L33" s="336">
        <f t="shared" ref="L33" si="13">SUM(L34:L38)</f>
        <v>65969</v>
      </c>
      <c r="M33" s="336">
        <f t="shared" si="11"/>
        <v>25068</v>
      </c>
      <c r="N33" s="728">
        <f t="shared" si="9"/>
        <v>0.37999666510027436</v>
      </c>
      <c r="O33" s="1"/>
    </row>
    <row r="34" spans="1:17" x14ac:dyDescent="0.25">
      <c r="A34" s="57">
        <v>292</v>
      </c>
      <c r="B34" s="58" t="s">
        <v>36</v>
      </c>
      <c r="C34" s="61">
        <v>10000</v>
      </c>
      <c r="D34" s="695">
        <f t="shared" ref="D34:L34" si="14">10000+4250</f>
        <v>14250</v>
      </c>
      <c r="E34" s="695">
        <f t="shared" si="14"/>
        <v>14250</v>
      </c>
      <c r="F34" s="61">
        <f t="shared" si="14"/>
        <v>14250</v>
      </c>
      <c r="G34" s="61">
        <f t="shared" si="14"/>
        <v>14250</v>
      </c>
      <c r="H34" s="61">
        <f t="shared" si="14"/>
        <v>14250</v>
      </c>
      <c r="I34" s="61">
        <f t="shared" si="14"/>
        <v>14250</v>
      </c>
      <c r="J34" s="61">
        <f t="shared" si="14"/>
        <v>14250</v>
      </c>
      <c r="K34" s="61">
        <f t="shared" si="14"/>
        <v>14250</v>
      </c>
      <c r="L34" s="61">
        <f t="shared" si="14"/>
        <v>14250</v>
      </c>
      <c r="M34" s="61">
        <v>14231</v>
      </c>
      <c r="N34" s="728">
        <f t="shared" si="9"/>
        <v>0.9986666666666667</v>
      </c>
      <c r="O34" s="1"/>
    </row>
    <row r="35" spans="1:17" x14ac:dyDescent="0.25">
      <c r="A35" s="57">
        <v>292</v>
      </c>
      <c r="B35" s="58" t="s">
        <v>37</v>
      </c>
      <c r="C35" s="60">
        <v>500</v>
      </c>
      <c r="D35" s="60">
        <v>500</v>
      </c>
      <c r="E35" s="60">
        <v>500</v>
      </c>
      <c r="F35" s="60">
        <v>500</v>
      </c>
      <c r="G35" s="60">
        <v>500</v>
      </c>
      <c r="H35" s="60">
        <v>500</v>
      </c>
      <c r="I35" s="60">
        <v>500</v>
      </c>
      <c r="J35" s="60">
        <v>500</v>
      </c>
      <c r="K35" s="60">
        <v>500</v>
      </c>
      <c r="L35" s="60">
        <v>500</v>
      </c>
      <c r="M35" s="60">
        <v>197</v>
      </c>
      <c r="N35" s="728">
        <f t="shared" si="9"/>
        <v>0.39400000000000002</v>
      </c>
      <c r="O35" s="1"/>
    </row>
    <row r="36" spans="1:17" x14ac:dyDescent="0.25">
      <c r="A36" s="57">
        <v>292</v>
      </c>
      <c r="B36" s="18" t="s">
        <v>38</v>
      </c>
      <c r="C36" s="64">
        <v>380</v>
      </c>
      <c r="D36" s="689">
        <f t="shared" ref="D36:L36" si="15">380+15</f>
        <v>395</v>
      </c>
      <c r="E36" s="64">
        <f t="shared" si="15"/>
        <v>395</v>
      </c>
      <c r="F36" s="64">
        <f t="shared" si="15"/>
        <v>395</v>
      </c>
      <c r="G36" s="64">
        <f t="shared" si="15"/>
        <v>395</v>
      </c>
      <c r="H36" s="64">
        <f t="shared" si="15"/>
        <v>395</v>
      </c>
      <c r="I36" s="64">
        <f t="shared" si="15"/>
        <v>395</v>
      </c>
      <c r="J36" s="64">
        <f t="shared" si="15"/>
        <v>395</v>
      </c>
      <c r="K36" s="64">
        <f t="shared" si="15"/>
        <v>395</v>
      </c>
      <c r="L36" s="64">
        <f t="shared" si="15"/>
        <v>395</v>
      </c>
      <c r="M36" s="64">
        <v>0</v>
      </c>
      <c r="N36" s="728">
        <f t="shared" si="9"/>
        <v>0</v>
      </c>
      <c r="O36" s="1"/>
    </row>
    <row r="37" spans="1:17" x14ac:dyDescent="0.25">
      <c r="A37" s="57">
        <v>292</v>
      </c>
      <c r="B37" s="58" t="s">
        <v>188</v>
      </c>
      <c r="C37" s="60">
        <f>49730-C36</f>
        <v>49350</v>
      </c>
      <c r="D37" s="694">
        <f>49730+15-4250-D36</f>
        <v>45100</v>
      </c>
      <c r="E37" s="694">
        <f t="shared" ref="E37:H37" si="16">49730+15-4250-E36+4250</f>
        <v>49350</v>
      </c>
      <c r="F37" s="60">
        <f t="shared" si="16"/>
        <v>49350</v>
      </c>
      <c r="G37" s="60">
        <f t="shared" si="16"/>
        <v>49350</v>
      </c>
      <c r="H37" s="60">
        <f t="shared" si="16"/>
        <v>49350</v>
      </c>
      <c r="I37" s="694">
        <f>49730+15-4250-I36+4250-924</f>
        <v>48426</v>
      </c>
      <c r="J37" s="60">
        <f>49730+15-4250-J36+4250-924</f>
        <v>48426</v>
      </c>
      <c r="K37" s="60">
        <f>49730+15-4250-K36+4250-924</f>
        <v>48426</v>
      </c>
      <c r="L37" s="694">
        <f>49730+15-4250-L36+4250-924+540</f>
        <v>48966</v>
      </c>
      <c r="M37" s="60">
        <v>10115</v>
      </c>
      <c r="N37" s="728">
        <f t="shared" si="9"/>
        <v>0.20657190703753625</v>
      </c>
      <c r="O37" s="27">
        <f>SUM(J36:J37)</f>
        <v>48821</v>
      </c>
      <c r="P37" s="27">
        <f>SUM(M36:M37)</f>
        <v>10115</v>
      </c>
      <c r="Q37" s="27"/>
    </row>
    <row r="38" spans="1:17" ht="15.75" thickBot="1" x14ac:dyDescent="0.3">
      <c r="A38" s="57">
        <v>292</v>
      </c>
      <c r="B38" s="58" t="s">
        <v>260</v>
      </c>
      <c r="C38" s="60">
        <v>10</v>
      </c>
      <c r="D38" s="60">
        <v>10</v>
      </c>
      <c r="E38" s="60">
        <v>10</v>
      </c>
      <c r="F38" s="60">
        <v>10</v>
      </c>
      <c r="G38" s="60">
        <v>10</v>
      </c>
      <c r="H38" s="60">
        <v>10</v>
      </c>
      <c r="I38" s="694">
        <f>10+924</f>
        <v>934</v>
      </c>
      <c r="J38" s="694">
        <f>10+924+924</f>
        <v>1858</v>
      </c>
      <c r="K38" s="60">
        <f>10+924+924</f>
        <v>1858</v>
      </c>
      <c r="L38" s="60">
        <f>10+924+924</f>
        <v>1858</v>
      </c>
      <c r="M38" s="60">
        <v>525</v>
      </c>
      <c r="N38" s="728">
        <f t="shared" si="9"/>
        <v>0.28256189451022606</v>
      </c>
      <c r="O38" s="1"/>
    </row>
    <row r="39" spans="1:17" ht="15.75" thickBot="1" x14ac:dyDescent="0.3">
      <c r="A39" s="65" t="s">
        <v>39</v>
      </c>
      <c r="B39" s="340"/>
      <c r="C39" s="336">
        <f t="shared" ref="C39:M39" si="17">SUM(C40:C64)</f>
        <v>1306665</v>
      </c>
      <c r="D39" s="336">
        <f t="shared" si="17"/>
        <v>1306322</v>
      </c>
      <c r="E39" s="336">
        <f t="shared" si="17"/>
        <v>1319182</v>
      </c>
      <c r="F39" s="336">
        <f t="shared" si="17"/>
        <v>1312406</v>
      </c>
      <c r="G39" s="336">
        <f t="shared" si="17"/>
        <v>1312406</v>
      </c>
      <c r="H39" s="336">
        <f t="shared" si="17"/>
        <v>1312406</v>
      </c>
      <c r="I39" s="336">
        <f t="shared" si="17"/>
        <v>1324362</v>
      </c>
      <c r="J39" s="336">
        <f t="shared" si="17"/>
        <v>1324362</v>
      </c>
      <c r="K39" s="336">
        <f t="shared" ref="K39" si="18">SUM(K40:K64)</f>
        <v>1422191</v>
      </c>
      <c r="L39" s="336">
        <f t="shared" si="17"/>
        <v>1422191</v>
      </c>
      <c r="M39" s="336">
        <f t="shared" si="17"/>
        <v>516222</v>
      </c>
      <c r="N39" s="728">
        <f t="shared" si="9"/>
        <v>0.36297656221984248</v>
      </c>
      <c r="O39" s="1"/>
    </row>
    <row r="40" spans="1:17" ht="15.75" thickBot="1" x14ac:dyDescent="0.3">
      <c r="A40" s="787">
        <v>311</v>
      </c>
      <c r="B40" s="788" t="s">
        <v>40</v>
      </c>
      <c r="C40" s="789">
        <v>0</v>
      </c>
      <c r="D40" s="789">
        <v>0</v>
      </c>
      <c r="E40" s="789">
        <v>0</v>
      </c>
      <c r="F40" s="789">
        <v>0</v>
      </c>
      <c r="G40" s="789">
        <v>0</v>
      </c>
      <c r="H40" s="789">
        <v>0</v>
      </c>
      <c r="I40" s="789">
        <v>0</v>
      </c>
      <c r="J40" s="789">
        <v>0</v>
      </c>
      <c r="K40" s="789">
        <v>0</v>
      </c>
      <c r="L40" s="789">
        <v>0</v>
      </c>
      <c r="M40" s="789">
        <v>0</v>
      </c>
      <c r="N40" s="728">
        <v>0</v>
      </c>
      <c r="O40" s="1"/>
    </row>
    <row r="41" spans="1:17" x14ac:dyDescent="0.25">
      <c r="A41" s="69">
        <v>312</v>
      </c>
      <c r="B41" s="333" t="s">
        <v>279</v>
      </c>
      <c r="C41" s="70">
        <v>69225</v>
      </c>
      <c r="D41" s="70">
        <v>69225</v>
      </c>
      <c r="E41" s="70">
        <v>69225</v>
      </c>
      <c r="F41" s="70">
        <v>69225</v>
      </c>
      <c r="G41" s="70">
        <v>69225</v>
      </c>
      <c r="H41" s="70">
        <v>69225</v>
      </c>
      <c r="I41" s="70">
        <v>69225</v>
      </c>
      <c r="J41" s="70">
        <v>69225</v>
      </c>
      <c r="K41" s="70">
        <v>69225</v>
      </c>
      <c r="L41" s="70">
        <v>69225</v>
      </c>
      <c r="M41" s="70">
        <v>49246</v>
      </c>
      <c r="N41" s="728">
        <f t="shared" si="9"/>
        <v>0.71139039364391476</v>
      </c>
      <c r="O41" s="1"/>
    </row>
    <row r="42" spans="1:17" x14ac:dyDescent="0.25">
      <c r="A42" s="71">
        <v>312</v>
      </c>
      <c r="B42" s="334" t="s">
        <v>193</v>
      </c>
      <c r="C42" s="16">
        <f t="shared" ref="C42:L42" si="19">62400+500</f>
        <v>62900</v>
      </c>
      <c r="D42" s="16">
        <f t="shared" si="19"/>
        <v>62900</v>
      </c>
      <c r="E42" s="16">
        <f t="shared" si="19"/>
        <v>62900</v>
      </c>
      <c r="F42" s="16">
        <f t="shared" si="19"/>
        <v>62900</v>
      </c>
      <c r="G42" s="16">
        <f t="shared" si="19"/>
        <v>62900</v>
      </c>
      <c r="H42" s="16">
        <f t="shared" si="19"/>
        <v>62900</v>
      </c>
      <c r="I42" s="16">
        <f t="shared" si="19"/>
        <v>62900</v>
      </c>
      <c r="J42" s="16">
        <f t="shared" si="19"/>
        <v>62900</v>
      </c>
      <c r="K42" s="16">
        <f t="shared" si="19"/>
        <v>62900</v>
      </c>
      <c r="L42" s="16">
        <f t="shared" si="19"/>
        <v>62900</v>
      </c>
      <c r="M42" s="16">
        <v>44683</v>
      </c>
      <c r="N42" s="728">
        <f t="shared" si="9"/>
        <v>0.7103815580286168</v>
      </c>
      <c r="O42" s="1"/>
    </row>
    <row r="43" spans="1:17" x14ac:dyDescent="0.25">
      <c r="A43" s="71">
        <v>312</v>
      </c>
      <c r="B43" s="334" t="s">
        <v>194</v>
      </c>
      <c r="C43" s="16">
        <v>500</v>
      </c>
      <c r="D43" s="16">
        <v>500</v>
      </c>
      <c r="E43" s="16">
        <v>500</v>
      </c>
      <c r="F43" s="16">
        <v>500</v>
      </c>
      <c r="G43" s="16">
        <v>500</v>
      </c>
      <c r="H43" s="16">
        <v>500</v>
      </c>
      <c r="I43" s="781">
        <f>500+580</f>
        <v>1080</v>
      </c>
      <c r="J43" s="16">
        <f>500+580</f>
        <v>1080</v>
      </c>
      <c r="K43" s="16">
        <f>500+580</f>
        <v>1080</v>
      </c>
      <c r="L43" s="16">
        <f>500+580</f>
        <v>1080</v>
      </c>
      <c r="M43" s="16">
        <v>420</v>
      </c>
      <c r="N43" s="728">
        <f t="shared" si="9"/>
        <v>0.3888888888888889</v>
      </c>
      <c r="O43" s="27"/>
    </row>
    <row r="44" spans="1:17" x14ac:dyDescent="0.25">
      <c r="A44" s="71">
        <v>312</v>
      </c>
      <c r="B44" s="114" t="s">
        <v>41</v>
      </c>
      <c r="C44" s="73">
        <v>0</v>
      </c>
      <c r="D44" s="696">
        <f t="shared" ref="D44:L44" si="20">57+660</f>
        <v>717</v>
      </c>
      <c r="E44" s="73">
        <f t="shared" si="20"/>
        <v>717</v>
      </c>
      <c r="F44" s="73">
        <f t="shared" si="20"/>
        <v>717</v>
      </c>
      <c r="G44" s="73">
        <f t="shared" si="20"/>
        <v>717</v>
      </c>
      <c r="H44" s="73">
        <f t="shared" si="20"/>
        <v>717</v>
      </c>
      <c r="I44" s="73">
        <f t="shared" si="20"/>
        <v>717</v>
      </c>
      <c r="J44" s="73">
        <f t="shared" si="20"/>
        <v>717</v>
      </c>
      <c r="K44" s="73">
        <f t="shared" si="20"/>
        <v>717</v>
      </c>
      <c r="L44" s="73">
        <f t="shared" si="20"/>
        <v>717</v>
      </c>
      <c r="M44" s="73">
        <v>245</v>
      </c>
      <c r="N44" s="728">
        <f t="shared" si="9"/>
        <v>0.34170153417015342</v>
      </c>
      <c r="O44" s="27"/>
    </row>
    <row r="45" spans="1:17" x14ac:dyDescent="0.25">
      <c r="A45" s="83">
        <v>312</v>
      </c>
      <c r="B45" s="114" t="s">
        <v>344</v>
      </c>
      <c r="C45" s="501">
        <v>9680</v>
      </c>
      <c r="D45" s="501">
        <v>9680</v>
      </c>
      <c r="E45" s="501">
        <v>9680</v>
      </c>
      <c r="F45" s="501">
        <v>9680</v>
      </c>
      <c r="G45" s="501">
        <v>9680</v>
      </c>
      <c r="H45" s="501">
        <v>9680</v>
      </c>
      <c r="I45" s="501">
        <v>9680</v>
      </c>
      <c r="J45" s="501">
        <v>9680</v>
      </c>
      <c r="K45" s="501">
        <v>9680</v>
      </c>
      <c r="L45" s="501">
        <v>9680</v>
      </c>
      <c r="M45" s="501">
        <v>0</v>
      </c>
      <c r="N45" s="728">
        <f t="shared" si="9"/>
        <v>0</v>
      </c>
      <c r="O45" s="27"/>
      <c r="P45" s="426"/>
    </row>
    <row r="46" spans="1:17" x14ac:dyDescent="0.25">
      <c r="A46" s="83">
        <v>312</v>
      </c>
      <c r="B46" s="114" t="s">
        <v>346</v>
      </c>
      <c r="C46" s="501">
        <v>1450</v>
      </c>
      <c r="D46" s="501">
        <v>1450</v>
      </c>
      <c r="E46" s="501">
        <v>1450</v>
      </c>
      <c r="F46" s="501">
        <v>1450</v>
      </c>
      <c r="G46" s="501">
        <v>1450</v>
      </c>
      <c r="H46" s="501">
        <v>1450</v>
      </c>
      <c r="I46" s="501">
        <v>1450</v>
      </c>
      <c r="J46" s="501">
        <v>1450</v>
      </c>
      <c r="K46" s="501">
        <v>1450</v>
      </c>
      <c r="L46" s="501">
        <v>1450</v>
      </c>
      <c r="M46" s="501">
        <v>0</v>
      </c>
      <c r="N46" s="728">
        <f t="shared" si="9"/>
        <v>0</v>
      </c>
      <c r="O46" s="27"/>
      <c r="P46" s="426"/>
    </row>
    <row r="47" spans="1:17" x14ac:dyDescent="0.25">
      <c r="A47" s="83">
        <v>312</v>
      </c>
      <c r="B47" s="114" t="s">
        <v>336</v>
      </c>
      <c r="C47" s="501">
        <v>5000</v>
      </c>
      <c r="D47" s="34">
        <v>5000</v>
      </c>
      <c r="E47" s="34">
        <v>5000</v>
      </c>
      <c r="F47" s="34">
        <v>5000</v>
      </c>
      <c r="G47" s="34">
        <v>5000</v>
      </c>
      <c r="H47" s="34">
        <v>5000</v>
      </c>
      <c r="I47" s="34">
        <v>5000</v>
      </c>
      <c r="J47" s="34">
        <v>5000</v>
      </c>
      <c r="K47" s="34">
        <v>5000</v>
      </c>
      <c r="L47" s="34">
        <v>5000</v>
      </c>
      <c r="M47" s="501">
        <v>0</v>
      </c>
      <c r="N47" s="728">
        <f t="shared" si="9"/>
        <v>0</v>
      </c>
      <c r="O47" s="27"/>
      <c r="P47" s="426"/>
    </row>
    <row r="48" spans="1:17" x14ac:dyDescent="0.25">
      <c r="A48" s="476">
        <v>312</v>
      </c>
      <c r="B48" s="155" t="s">
        <v>501</v>
      </c>
      <c r="C48" s="561">
        <v>0</v>
      </c>
      <c r="D48" s="561">
        <v>0</v>
      </c>
      <c r="E48" s="756">
        <v>12860</v>
      </c>
      <c r="F48" s="561">
        <v>12860</v>
      </c>
      <c r="G48" s="561">
        <v>12860</v>
      </c>
      <c r="H48" s="561">
        <v>12860</v>
      </c>
      <c r="I48" s="561">
        <v>12860</v>
      </c>
      <c r="J48" s="561">
        <v>12860</v>
      </c>
      <c r="K48" s="561">
        <v>12860</v>
      </c>
      <c r="L48" s="561">
        <v>12860</v>
      </c>
      <c r="M48" s="561">
        <v>0</v>
      </c>
      <c r="N48" s="728">
        <f t="shared" si="9"/>
        <v>0</v>
      </c>
      <c r="O48" s="27"/>
      <c r="P48" s="426"/>
    </row>
    <row r="49" spans="1:17" x14ac:dyDescent="0.25">
      <c r="A49" s="83">
        <v>312</v>
      </c>
      <c r="B49" s="114" t="s">
        <v>345</v>
      </c>
      <c r="C49" s="501">
        <v>0</v>
      </c>
      <c r="D49" s="501">
        <v>0</v>
      </c>
      <c r="E49" s="501">
        <v>0</v>
      </c>
      <c r="F49" s="501">
        <v>0</v>
      </c>
      <c r="G49" s="501">
        <v>0</v>
      </c>
      <c r="H49" s="501">
        <v>0</v>
      </c>
      <c r="I49" s="501">
        <v>0</v>
      </c>
      <c r="J49" s="501">
        <v>0</v>
      </c>
      <c r="K49" s="501">
        <v>0</v>
      </c>
      <c r="L49" s="501">
        <v>0</v>
      </c>
      <c r="M49" s="501">
        <v>0</v>
      </c>
      <c r="N49" s="728">
        <v>0</v>
      </c>
      <c r="O49" s="27"/>
      <c r="P49" s="426"/>
    </row>
    <row r="50" spans="1:17" x14ac:dyDescent="0.25">
      <c r="A50" s="67">
        <v>312</v>
      </c>
      <c r="B50" s="341" t="s">
        <v>43</v>
      </c>
      <c r="C50" s="68">
        <v>50</v>
      </c>
      <c r="D50" s="68">
        <v>50</v>
      </c>
      <c r="E50" s="68">
        <v>50</v>
      </c>
      <c r="F50" s="68">
        <v>50</v>
      </c>
      <c r="G50" s="68">
        <v>50</v>
      </c>
      <c r="H50" s="68">
        <v>50</v>
      </c>
      <c r="I50" s="68">
        <v>50</v>
      </c>
      <c r="J50" s="68">
        <v>50</v>
      </c>
      <c r="K50" s="68">
        <v>50</v>
      </c>
      <c r="L50" s="68">
        <v>50</v>
      </c>
      <c r="M50" s="68">
        <v>47</v>
      </c>
      <c r="N50" s="728">
        <f t="shared" si="9"/>
        <v>0.94</v>
      </c>
      <c r="O50" s="1"/>
    </row>
    <row r="51" spans="1:17" ht="15.75" thickBot="1" x14ac:dyDescent="0.3">
      <c r="A51" s="330">
        <v>312</v>
      </c>
      <c r="B51" s="342" t="s">
        <v>660</v>
      </c>
      <c r="C51" s="331">
        <v>0</v>
      </c>
      <c r="D51" s="331">
        <v>0</v>
      </c>
      <c r="E51" s="331">
        <v>0</v>
      </c>
      <c r="F51" s="331">
        <v>0</v>
      </c>
      <c r="G51" s="331">
        <v>0</v>
      </c>
      <c r="H51" s="331">
        <v>0</v>
      </c>
      <c r="I51" s="331">
        <v>0</v>
      </c>
      <c r="J51" s="331">
        <v>0</v>
      </c>
      <c r="K51" s="796">
        <f>63800</f>
        <v>63800</v>
      </c>
      <c r="L51" s="331">
        <f>63800</f>
        <v>63800</v>
      </c>
      <c r="M51" s="331"/>
      <c r="N51" s="728">
        <f t="shared" si="9"/>
        <v>0</v>
      </c>
      <c r="O51" s="1"/>
    </row>
    <row r="52" spans="1:17" ht="15.75" thickBot="1" x14ac:dyDescent="0.3">
      <c r="A52" s="330">
        <v>312</v>
      </c>
      <c r="B52" s="342" t="s">
        <v>273</v>
      </c>
      <c r="C52" s="331">
        <v>4000</v>
      </c>
      <c r="D52" s="331">
        <v>4000</v>
      </c>
      <c r="E52" s="331">
        <v>4000</v>
      </c>
      <c r="F52" s="331">
        <v>4000</v>
      </c>
      <c r="G52" s="331">
        <v>4000</v>
      </c>
      <c r="H52" s="331">
        <v>4000</v>
      </c>
      <c r="I52" s="331">
        <v>4000</v>
      </c>
      <c r="J52" s="331">
        <v>4000</v>
      </c>
      <c r="K52" s="796">
        <f>4000+380</f>
        <v>4380</v>
      </c>
      <c r="L52" s="331">
        <f>4000+380</f>
        <v>4380</v>
      </c>
      <c r="M52" s="331">
        <v>0</v>
      </c>
      <c r="N52" s="728">
        <f t="shared" si="9"/>
        <v>0</v>
      </c>
      <c r="O52" s="27"/>
    </row>
    <row r="53" spans="1:17" x14ac:dyDescent="0.25">
      <c r="A53" s="71">
        <v>312</v>
      </c>
      <c r="B53" s="84" t="s">
        <v>44</v>
      </c>
      <c r="C53" s="16">
        <v>1600</v>
      </c>
      <c r="D53" s="16">
        <v>1600</v>
      </c>
      <c r="E53" s="16">
        <v>1600</v>
      </c>
      <c r="F53" s="16">
        <v>1600</v>
      </c>
      <c r="G53" s="16">
        <v>1600</v>
      </c>
      <c r="H53" s="16">
        <v>1600</v>
      </c>
      <c r="I53" s="16">
        <v>1600</v>
      </c>
      <c r="J53" s="16">
        <v>1600</v>
      </c>
      <c r="K53" s="16">
        <v>1600</v>
      </c>
      <c r="L53" s="16">
        <v>1600</v>
      </c>
      <c r="M53" s="16">
        <v>500</v>
      </c>
      <c r="N53" s="728">
        <f t="shared" si="9"/>
        <v>0.3125</v>
      </c>
      <c r="O53" s="1"/>
    </row>
    <row r="54" spans="1:17" ht="15.75" thickBot="1" x14ac:dyDescent="0.3">
      <c r="A54" s="77">
        <v>312</v>
      </c>
      <c r="B54" s="161" t="s">
        <v>46</v>
      </c>
      <c r="C54" s="79">
        <f t="shared" ref="C54:L54" si="21">350+5600</f>
        <v>5950</v>
      </c>
      <c r="D54" s="79">
        <f t="shared" si="21"/>
        <v>5950</v>
      </c>
      <c r="E54" s="79">
        <f t="shared" si="21"/>
        <v>5950</v>
      </c>
      <c r="F54" s="79">
        <f t="shared" si="21"/>
        <v>5950</v>
      </c>
      <c r="G54" s="79">
        <f t="shared" si="21"/>
        <v>5950</v>
      </c>
      <c r="H54" s="79">
        <f t="shared" si="21"/>
        <v>5950</v>
      </c>
      <c r="I54" s="79">
        <f t="shared" si="21"/>
        <v>5950</v>
      </c>
      <c r="J54" s="79">
        <f t="shared" si="21"/>
        <v>5950</v>
      </c>
      <c r="K54" s="79">
        <f t="shared" si="21"/>
        <v>5950</v>
      </c>
      <c r="L54" s="79">
        <f t="shared" si="21"/>
        <v>5950</v>
      </c>
      <c r="M54" s="79">
        <v>1400</v>
      </c>
      <c r="N54" s="728">
        <f t="shared" si="9"/>
        <v>0.23529411764705882</v>
      </c>
      <c r="O54" s="1"/>
    </row>
    <row r="55" spans="1:17" x14ac:dyDescent="0.25">
      <c r="A55" s="71">
        <v>312</v>
      </c>
      <c r="B55" s="84" t="s">
        <v>347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781">
        <v>2000</v>
      </c>
      <c r="J55" s="16">
        <v>2000</v>
      </c>
      <c r="K55" s="16">
        <v>2000</v>
      </c>
      <c r="L55" s="16">
        <v>2000</v>
      </c>
      <c r="M55" s="16">
        <v>0</v>
      </c>
      <c r="N55" s="728">
        <f t="shared" si="9"/>
        <v>0</v>
      </c>
      <c r="O55" s="1"/>
    </row>
    <row r="56" spans="1:17" ht="15.75" thickBot="1" x14ac:dyDescent="0.3">
      <c r="A56" s="74">
        <v>312</v>
      </c>
      <c r="B56" s="81" t="s">
        <v>48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82">
        <v>4000</v>
      </c>
      <c r="J56" s="75">
        <v>4000</v>
      </c>
      <c r="K56" s="782">
        <f>4000+3000</f>
        <v>7000</v>
      </c>
      <c r="L56" s="75">
        <f>4000+3000</f>
        <v>7000</v>
      </c>
      <c r="M56" s="75">
        <v>0</v>
      </c>
      <c r="N56" s="728">
        <f t="shared" si="9"/>
        <v>0</v>
      </c>
      <c r="O56" s="1"/>
    </row>
    <row r="57" spans="1:17" x14ac:dyDescent="0.25">
      <c r="A57" s="71">
        <v>312</v>
      </c>
      <c r="B57" s="333" t="s">
        <v>49</v>
      </c>
      <c r="C57" s="82">
        <f>4800+810+40</f>
        <v>5650</v>
      </c>
      <c r="D57" s="697">
        <f t="shared" ref="D57:J57" si="22">5650-10-10</f>
        <v>5630</v>
      </c>
      <c r="E57" s="82">
        <f t="shared" si="22"/>
        <v>5630</v>
      </c>
      <c r="F57" s="82">
        <f t="shared" si="22"/>
        <v>5630</v>
      </c>
      <c r="G57" s="82">
        <f t="shared" si="22"/>
        <v>5630</v>
      </c>
      <c r="H57" s="82">
        <f t="shared" si="22"/>
        <v>5630</v>
      </c>
      <c r="I57" s="82">
        <f t="shared" si="22"/>
        <v>5630</v>
      </c>
      <c r="J57" s="82">
        <f t="shared" si="22"/>
        <v>5630</v>
      </c>
      <c r="K57" s="697">
        <f>5650-10-10+220</f>
        <v>5850</v>
      </c>
      <c r="L57" s="82">
        <f>5650-10-10+220</f>
        <v>5850</v>
      </c>
      <c r="M57" s="82">
        <v>5592</v>
      </c>
      <c r="N57" s="728">
        <f t="shared" si="9"/>
        <v>0.95589743589743592</v>
      </c>
      <c r="O57" s="27"/>
      <c r="P57" s="27"/>
      <c r="Q57" s="27"/>
    </row>
    <row r="58" spans="1:17" x14ac:dyDescent="0.25">
      <c r="A58" s="83">
        <v>312</v>
      </c>
      <c r="B58" s="343" t="s">
        <v>50</v>
      </c>
      <c r="C58" s="21">
        <f>7050+300+110</f>
        <v>7460</v>
      </c>
      <c r="D58" s="693">
        <f t="shared" ref="D58:H58" si="23">7460+70</f>
        <v>7530</v>
      </c>
      <c r="E58" s="21">
        <f t="shared" si="23"/>
        <v>7530</v>
      </c>
      <c r="F58" s="21">
        <f t="shared" si="23"/>
        <v>7530</v>
      </c>
      <c r="G58" s="21">
        <f t="shared" si="23"/>
        <v>7530</v>
      </c>
      <c r="H58" s="21">
        <f t="shared" si="23"/>
        <v>7530</v>
      </c>
      <c r="I58" s="693">
        <f>7460+70+15</f>
        <v>7545</v>
      </c>
      <c r="J58" s="21">
        <f>7460+70+15</f>
        <v>7545</v>
      </c>
      <c r="K58" s="21">
        <f>7460+70+15</f>
        <v>7545</v>
      </c>
      <c r="L58" s="21">
        <f>7460+70+15</f>
        <v>7545</v>
      </c>
      <c r="M58" s="21">
        <v>313</v>
      </c>
      <c r="N58" s="728">
        <f t="shared" si="9"/>
        <v>4.1484426772697147E-2</v>
      </c>
      <c r="O58" s="27"/>
      <c r="P58" s="27"/>
      <c r="Q58" s="27"/>
    </row>
    <row r="59" spans="1:17" x14ac:dyDescent="0.25">
      <c r="A59" s="83">
        <v>312</v>
      </c>
      <c r="B59" s="344" t="s">
        <v>502</v>
      </c>
      <c r="C59" s="33">
        <v>161700</v>
      </c>
      <c r="D59" s="698">
        <f>161700+3</f>
        <v>161703</v>
      </c>
      <c r="E59" s="33">
        <f>161700+3</f>
        <v>161703</v>
      </c>
      <c r="F59" s="698">
        <f>161700+3+3863</f>
        <v>165566</v>
      </c>
      <c r="G59" s="33">
        <f>161700+3+3863</f>
        <v>165566</v>
      </c>
      <c r="H59" s="33">
        <f>161700+3+3863</f>
        <v>165566</v>
      </c>
      <c r="I59" s="698">
        <f>161700+3+3863+1722</f>
        <v>167288</v>
      </c>
      <c r="J59" s="33">
        <f>161700+3+3863+1722</f>
        <v>167288</v>
      </c>
      <c r="K59" s="698">
        <f>161700+3+3863+1722+7627</f>
        <v>174915</v>
      </c>
      <c r="L59" s="33">
        <f>161700+3+3863+1722+7627</f>
        <v>174915</v>
      </c>
      <c r="M59" s="33">
        <v>56913</v>
      </c>
      <c r="N59" s="728">
        <f t="shared" si="9"/>
        <v>0.32537518223136952</v>
      </c>
      <c r="O59" s="27"/>
      <c r="P59" s="27"/>
      <c r="Q59" s="27"/>
    </row>
    <row r="60" spans="1:17" x14ac:dyDescent="0.25">
      <c r="A60" s="71">
        <v>312</v>
      </c>
      <c r="B60" s="114" t="s">
        <v>249</v>
      </c>
      <c r="C60" s="16">
        <v>190000</v>
      </c>
      <c r="D60" s="16">
        <v>190000</v>
      </c>
      <c r="E60" s="16">
        <v>190000</v>
      </c>
      <c r="F60" s="16">
        <v>190000</v>
      </c>
      <c r="G60" s="16">
        <v>190000</v>
      </c>
      <c r="H60" s="16">
        <v>190000</v>
      </c>
      <c r="I60" s="16">
        <v>190000</v>
      </c>
      <c r="J60" s="16">
        <v>190000</v>
      </c>
      <c r="K60" s="16">
        <v>190000</v>
      </c>
      <c r="L60" s="16">
        <v>190000</v>
      </c>
      <c r="M60" s="16">
        <v>63979</v>
      </c>
      <c r="N60" s="728">
        <f t="shared" si="9"/>
        <v>0.33673157894736844</v>
      </c>
      <c r="O60" s="27"/>
    </row>
    <row r="61" spans="1:17" ht="15.75" thickBot="1" x14ac:dyDescent="0.3">
      <c r="A61" s="77">
        <v>312</v>
      </c>
      <c r="B61" s="161" t="s">
        <v>51</v>
      </c>
      <c r="C61" s="79">
        <v>58200</v>
      </c>
      <c r="D61" s="79">
        <v>58200</v>
      </c>
      <c r="E61" s="79">
        <v>58200</v>
      </c>
      <c r="F61" s="79">
        <v>58200</v>
      </c>
      <c r="G61" s="79">
        <v>58200</v>
      </c>
      <c r="H61" s="79">
        <v>58200</v>
      </c>
      <c r="I61" s="79">
        <v>58200</v>
      </c>
      <c r="J61" s="79">
        <v>58200</v>
      </c>
      <c r="K61" s="79">
        <v>58200</v>
      </c>
      <c r="L61" s="79">
        <v>58200</v>
      </c>
      <c r="M61" s="79">
        <v>25828</v>
      </c>
      <c r="N61" s="728">
        <f t="shared" si="9"/>
        <v>0.44378006872852233</v>
      </c>
      <c r="O61" s="27"/>
    </row>
    <row r="62" spans="1:17" x14ac:dyDescent="0.25">
      <c r="A62" s="71">
        <v>315</v>
      </c>
      <c r="B62" s="76" t="s">
        <v>47</v>
      </c>
      <c r="C62" s="16">
        <v>3000</v>
      </c>
      <c r="D62" s="16">
        <v>3000</v>
      </c>
      <c r="E62" s="16">
        <v>3000</v>
      </c>
      <c r="F62" s="16">
        <v>3000</v>
      </c>
      <c r="G62" s="16">
        <v>3000</v>
      </c>
      <c r="H62" s="16">
        <v>3000</v>
      </c>
      <c r="I62" s="16">
        <v>3000</v>
      </c>
      <c r="J62" s="16">
        <v>3000</v>
      </c>
      <c r="K62" s="16">
        <v>3000</v>
      </c>
      <c r="L62" s="16">
        <v>3000</v>
      </c>
      <c r="M62" s="16">
        <v>0</v>
      </c>
      <c r="N62" s="728">
        <f t="shared" si="9"/>
        <v>0</v>
      </c>
      <c r="O62" s="1"/>
    </row>
    <row r="63" spans="1:17" ht="15.75" thickBot="1" x14ac:dyDescent="0.3">
      <c r="A63" s="77">
        <v>315</v>
      </c>
      <c r="B63" s="78" t="s">
        <v>236</v>
      </c>
      <c r="C63" s="79">
        <v>300</v>
      </c>
      <c r="D63" s="79">
        <v>300</v>
      </c>
      <c r="E63" s="79">
        <v>300</v>
      </c>
      <c r="F63" s="79">
        <v>300</v>
      </c>
      <c r="G63" s="79">
        <v>300</v>
      </c>
      <c r="H63" s="79">
        <v>300</v>
      </c>
      <c r="I63" s="79">
        <v>300</v>
      </c>
      <c r="J63" s="79">
        <v>300</v>
      </c>
      <c r="K63" s="79">
        <v>300</v>
      </c>
      <c r="L63" s="79">
        <v>300</v>
      </c>
      <c r="M63" s="79">
        <v>100</v>
      </c>
      <c r="N63" s="728">
        <f t="shared" si="9"/>
        <v>0.33333333333333331</v>
      </c>
      <c r="O63" s="27">
        <f>SUM(G62:G63)</f>
        <v>3300</v>
      </c>
    </row>
    <row r="64" spans="1:17" ht="15.75" thickBot="1" x14ac:dyDescent="0.3">
      <c r="A64" s="514">
        <v>312</v>
      </c>
      <c r="B64" s="515" t="s">
        <v>307</v>
      </c>
      <c r="C64" s="519">
        <v>720000</v>
      </c>
      <c r="D64" s="724">
        <f>720000-1806+693</f>
        <v>718887</v>
      </c>
      <c r="E64" s="519">
        <f>720000-1806+693</f>
        <v>718887</v>
      </c>
      <c r="F64" s="724">
        <f>720000-1806+693-10639</f>
        <v>708248</v>
      </c>
      <c r="G64" s="519">
        <f>720000-1806+693-10639</f>
        <v>708248</v>
      </c>
      <c r="H64" s="519">
        <f>720000-1806+693-10639</f>
        <v>708248</v>
      </c>
      <c r="I64" s="724">
        <f>720000-1806+693-10639+3639</f>
        <v>711887</v>
      </c>
      <c r="J64" s="519">
        <f>720000-1806+693-10639+3639</f>
        <v>711887</v>
      </c>
      <c r="K64" s="724">
        <f>720000-1806+693-10639+3639+22802</f>
        <v>734689</v>
      </c>
      <c r="L64" s="519">
        <f>720000-1806+693-10639+3639+22802</f>
        <v>734689</v>
      </c>
      <c r="M64" s="519">
        <v>266956</v>
      </c>
      <c r="N64" s="728">
        <f t="shared" si="9"/>
        <v>0.36335919007906747</v>
      </c>
      <c r="O64" s="27">
        <f>SUM(J41:J61)+J64</f>
        <v>1321062</v>
      </c>
      <c r="P64" s="27">
        <f>SUM(M41:M61)+M64</f>
        <v>516122</v>
      </c>
      <c r="Q64" s="27"/>
    </row>
    <row r="65" spans="1:23" ht="21" customHeight="1" thickBot="1" x14ac:dyDescent="0.3">
      <c r="A65" s="85" t="s">
        <v>52</v>
      </c>
      <c r="B65" s="345"/>
      <c r="C65" s="358">
        <f t="shared" ref="C65:M65" si="24">SUM(C3+C11+C31+C33+C39)</f>
        <v>2952875</v>
      </c>
      <c r="D65" s="358">
        <f t="shared" si="24"/>
        <v>2952547</v>
      </c>
      <c r="E65" s="358">
        <f t="shared" si="24"/>
        <v>2969657</v>
      </c>
      <c r="F65" s="358">
        <f t="shared" si="24"/>
        <v>2962881</v>
      </c>
      <c r="G65" s="358">
        <f t="shared" si="24"/>
        <v>2962881</v>
      </c>
      <c r="H65" s="358">
        <f t="shared" si="24"/>
        <v>2962881</v>
      </c>
      <c r="I65" s="358">
        <f t="shared" si="24"/>
        <v>2974837</v>
      </c>
      <c r="J65" s="358">
        <f t="shared" si="24"/>
        <v>2975761</v>
      </c>
      <c r="K65" s="358">
        <f t="shared" ref="K65" si="25">SUM(K3+K11+K31+K33+K39)</f>
        <v>3073590</v>
      </c>
      <c r="L65" s="358">
        <f t="shared" si="24"/>
        <v>3075135</v>
      </c>
      <c r="M65" s="358">
        <f t="shared" si="24"/>
        <v>1087820</v>
      </c>
      <c r="N65" s="728">
        <f t="shared" si="9"/>
        <v>0.35374707126678989</v>
      </c>
      <c r="O65" s="27">
        <f t="shared" ref="O65:U65" si="26">D65-C65</f>
        <v>-328</v>
      </c>
      <c r="P65" s="27">
        <f t="shared" si="26"/>
        <v>17110</v>
      </c>
      <c r="Q65" s="27">
        <f t="shared" si="26"/>
        <v>-6776</v>
      </c>
      <c r="R65" s="27">
        <f t="shared" si="26"/>
        <v>0</v>
      </c>
      <c r="S65" s="27">
        <f t="shared" si="26"/>
        <v>0</v>
      </c>
      <c r="T65" s="27">
        <f t="shared" si="26"/>
        <v>11956</v>
      </c>
      <c r="U65" s="27">
        <f t="shared" si="26"/>
        <v>924</v>
      </c>
      <c r="V65" s="27">
        <f t="shared" ref="V65:W65" si="27">K65-J65</f>
        <v>97829</v>
      </c>
      <c r="W65" s="27">
        <f t="shared" si="27"/>
        <v>1545</v>
      </c>
    </row>
    <row r="66" spans="1:23" x14ac:dyDescent="0.25">
      <c r="A66" s="87" t="s">
        <v>53</v>
      </c>
      <c r="B66" s="88" t="s">
        <v>54</v>
      </c>
      <c r="C66" s="89">
        <f>1500</f>
        <v>1500</v>
      </c>
      <c r="D66" s="89">
        <f>1500</f>
        <v>1500</v>
      </c>
      <c r="E66" s="89">
        <f>1500</f>
        <v>1500</v>
      </c>
      <c r="F66" s="89">
        <f>1500</f>
        <v>1500</v>
      </c>
      <c r="G66" s="89">
        <f>1500</f>
        <v>1500</v>
      </c>
      <c r="H66" s="89">
        <f>1500</f>
        <v>1500</v>
      </c>
      <c r="I66" s="89">
        <f>1500</f>
        <v>1500</v>
      </c>
      <c r="J66" s="89">
        <f>1500</f>
        <v>1500</v>
      </c>
      <c r="K66" s="89">
        <f>1500</f>
        <v>1500</v>
      </c>
      <c r="L66" s="89">
        <f>1500</f>
        <v>1500</v>
      </c>
      <c r="M66" s="89">
        <v>0</v>
      </c>
      <c r="N66" s="728">
        <f t="shared" si="9"/>
        <v>0</v>
      </c>
      <c r="O66" s="1"/>
      <c r="P66" s="1"/>
      <c r="Q66" s="1"/>
      <c r="R66" s="1"/>
      <c r="S66" s="1"/>
      <c r="T66" s="1"/>
      <c r="U66" s="1"/>
      <c r="V66" s="1"/>
      <c r="W66" s="1"/>
    </row>
    <row r="67" spans="1:23" ht="15.75" thickBot="1" x14ac:dyDescent="0.3">
      <c r="A67" s="90" t="s">
        <v>53</v>
      </c>
      <c r="B67" s="88" t="s">
        <v>55</v>
      </c>
      <c r="C67" s="91">
        <v>3600</v>
      </c>
      <c r="D67" s="91">
        <v>3600</v>
      </c>
      <c r="E67" s="91">
        <v>3600</v>
      </c>
      <c r="F67" s="91">
        <v>3600</v>
      </c>
      <c r="G67" s="91">
        <v>3600</v>
      </c>
      <c r="H67" s="91">
        <v>3600</v>
      </c>
      <c r="I67" s="91">
        <v>3600</v>
      </c>
      <c r="J67" s="91">
        <v>3600</v>
      </c>
      <c r="K67" s="91">
        <v>3600</v>
      </c>
      <c r="L67" s="91">
        <v>3600</v>
      </c>
      <c r="M67" s="91">
        <v>1092</v>
      </c>
      <c r="N67" s="728">
        <f t="shared" si="9"/>
        <v>0.30333333333333334</v>
      </c>
      <c r="O67" s="1"/>
      <c r="P67" s="1"/>
      <c r="Q67" s="1"/>
      <c r="R67" s="1"/>
      <c r="S67" s="1"/>
      <c r="T67" s="1"/>
      <c r="U67" s="1"/>
      <c r="V67" s="1"/>
      <c r="W67" s="1"/>
    </row>
    <row r="68" spans="1:23" ht="19.899999999999999" customHeight="1" thickBot="1" x14ac:dyDescent="0.3">
      <c r="A68" s="894" t="s">
        <v>57</v>
      </c>
      <c r="B68" s="895"/>
      <c r="C68" s="95">
        <f t="shared" ref="C68:M68" si="28">SUM(C66:C67)</f>
        <v>5100</v>
      </c>
      <c r="D68" s="95">
        <f t="shared" si="28"/>
        <v>5100</v>
      </c>
      <c r="E68" s="95">
        <f t="shared" si="28"/>
        <v>5100</v>
      </c>
      <c r="F68" s="95">
        <f t="shared" si="28"/>
        <v>5100</v>
      </c>
      <c r="G68" s="95">
        <f t="shared" si="28"/>
        <v>5100</v>
      </c>
      <c r="H68" s="95">
        <f t="shared" si="28"/>
        <v>5100</v>
      </c>
      <c r="I68" s="95">
        <f t="shared" ref="I68:J68" si="29">SUM(I66:I67)</f>
        <v>5100</v>
      </c>
      <c r="J68" s="95">
        <f t="shared" si="29"/>
        <v>5100</v>
      </c>
      <c r="K68" s="95">
        <f t="shared" ref="K68" si="30">SUM(K66:K67)</f>
        <v>5100</v>
      </c>
      <c r="L68" s="95">
        <f t="shared" ref="L68" si="31">SUM(L66:L67)</f>
        <v>5100</v>
      </c>
      <c r="M68" s="95">
        <f t="shared" si="28"/>
        <v>1092</v>
      </c>
      <c r="N68" s="728">
        <f t="shared" si="9"/>
        <v>0.21411764705882352</v>
      </c>
      <c r="O68" s="27">
        <f t="shared" ref="O68:U68" si="32">D68-C68</f>
        <v>0</v>
      </c>
      <c r="P68" s="27">
        <f t="shared" si="32"/>
        <v>0</v>
      </c>
      <c r="Q68" s="27">
        <f t="shared" si="32"/>
        <v>0</v>
      </c>
      <c r="R68" s="27">
        <f t="shared" si="32"/>
        <v>0</v>
      </c>
      <c r="S68" s="27">
        <f t="shared" si="32"/>
        <v>0</v>
      </c>
      <c r="T68" s="27">
        <f t="shared" si="32"/>
        <v>0</v>
      </c>
      <c r="U68" s="27">
        <f t="shared" si="32"/>
        <v>0</v>
      </c>
      <c r="V68" s="27">
        <f t="shared" ref="V68:W68" si="33">K68-J68</f>
        <v>0</v>
      </c>
      <c r="W68" s="27">
        <f t="shared" si="33"/>
        <v>0</v>
      </c>
    </row>
    <row r="69" spans="1:23" ht="16.5" thickBot="1" x14ac:dyDescent="0.3">
      <c r="A69" s="96" t="s">
        <v>53</v>
      </c>
      <c r="B69" s="97" t="s">
        <v>58</v>
      </c>
      <c r="C69" s="418">
        <v>13600</v>
      </c>
      <c r="D69" s="418">
        <v>13600</v>
      </c>
      <c r="E69" s="418">
        <v>13600</v>
      </c>
      <c r="F69" s="418">
        <v>13600</v>
      </c>
      <c r="G69" s="418">
        <v>13600</v>
      </c>
      <c r="H69" s="418">
        <v>13600</v>
      </c>
      <c r="I69" s="418">
        <v>13600</v>
      </c>
      <c r="J69" s="418">
        <v>13600</v>
      </c>
      <c r="K69" s="418">
        <v>13600</v>
      </c>
      <c r="L69" s="418">
        <v>13600</v>
      </c>
      <c r="M69" s="418">
        <v>6775</v>
      </c>
      <c r="N69" s="728">
        <f t="shared" si="9"/>
        <v>0.49816176470588236</v>
      </c>
      <c r="O69" s="103"/>
      <c r="P69" s="103"/>
      <c r="Q69" s="103"/>
      <c r="R69" s="103"/>
      <c r="S69" s="103"/>
      <c r="T69" s="103"/>
      <c r="U69" s="103"/>
      <c r="V69" s="103"/>
      <c r="W69" s="103"/>
    </row>
    <row r="70" spans="1:23" ht="21" customHeight="1" thickBot="1" x14ac:dyDescent="0.3">
      <c r="A70" s="894" t="s">
        <v>217</v>
      </c>
      <c r="B70" s="895"/>
      <c r="C70" s="414">
        <f t="shared" ref="C70:M70" si="34">SUM(C69:C69)</f>
        <v>13600</v>
      </c>
      <c r="D70" s="414">
        <f t="shared" si="34"/>
        <v>13600</v>
      </c>
      <c r="E70" s="414">
        <f t="shared" si="34"/>
        <v>13600</v>
      </c>
      <c r="F70" s="414">
        <f t="shared" si="34"/>
        <v>13600</v>
      </c>
      <c r="G70" s="414">
        <f t="shared" si="34"/>
        <v>13600</v>
      </c>
      <c r="H70" s="414">
        <f t="shared" si="34"/>
        <v>13600</v>
      </c>
      <c r="I70" s="414">
        <f t="shared" si="34"/>
        <v>13600</v>
      </c>
      <c r="J70" s="414">
        <f t="shared" si="34"/>
        <v>13600</v>
      </c>
      <c r="K70" s="414">
        <f t="shared" ref="K70" si="35">SUM(K69:K69)</f>
        <v>13600</v>
      </c>
      <c r="L70" s="414">
        <f t="shared" ref="L70" si="36">SUM(L69:L69)</f>
        <v>13600</v>
      </c>
      <c r="M70" s="414">
        <f t="shared" si="34"/>
        <v>6775</v>
      </c>
      <c r="N70" s="728">
        <f t="shared" si="9"/>
        <v>0.49816176470588236</v>
      </c>
      <c r="O70" s="27">
        <f t="shared" ref="O70:U72" si="37">D70-C70</f>
        <v>0</v>
      </c>
      <c r="P70" s="27">
        <f t="shared" si="37"/>
        <v>0</v>
      </c>
      <c r="Q70" s="27">
        <f t="shared" si="37"/>
        <v>0</v>
      </c>
      <c r="R70" s="27">
        <f t="shared" si="37"/>
        <v>0</v>
      </c>
      <c r="S70" s="27">
        <f t="shared" si="37"/>
        <v>0</v>
      </c>
      <c r="T70" s="27">
        <f t="shared" si="37"/>
        <v>0</v>
      </c>
      <c r="U70" s="27">
        <f t="shared" si="37"/>
        <v>0</v>
      </c>
      <c r="V70" s="27">
        <f t="shared" ref="V70:W72" si="38">K70-J70</f>
        <v>0</v>
      </c>
      <c r="W70" s="27">
        <f t="shared" si="38"/>
        <v>0</v>
      </c>
    </row>
    <row r="71" spans="1:23" ht="19.5" customHeight="1" thickBot="1" x14ac:dyDescent="0.3">
      <c r="A71" s="896" t="s">
        <v>59</v>
      </c>
      <c r="B71" s="897"/>
      <c r="C71" s="99">
        <f t="shared" ref="C71:M71" si="39">C68+C70</f>
        <v>18700</v>
      </c>
      <c r="D71" s="99">
        <f t="shared" si="39"/>
        <v>18700</v>
      </c>
      <c r="E71" s="99">
        <f t="shared" si="39"/>
        <v>18700</v>
      </c>
      <c r="F71" s="99">
        <f t="shared" si="39"/>
        <v>18700</v>
      </c>
      <c r="G71" s="99">
        <f t="shared" si="39"/>
        <v>18700</v>
      </c>
      <c r="H71" s="99">
        <f t="shared" si="39"/>
        <v>18700</v>
      </c>
      <c r="I71" s="99">
        <f t="shared" si="39"/>
        <v>18700</v>
      </c>
      <c r="J71" s="99">
        <f t="shared" si="39"/>
        <v>18700</v>
      </c>
      <c r="K71" s="99">
        <f t="shared" ref="K71" si="40">K68+K70</f>
        <v>18700</v>
      </c>
      <c r="L71" s="99">
        <f t="shared" ref="L71" si="41">L68+L70</f>
        <v>18700</v>
      </c>
      <c r="M71" s="99">
        <f t="shared" si="39"/>
        <v>7867</v>
      </c>
      <c r="N71" s="728">
        <f t="shared" si="9"/>
        <v>0.42069518716577542</v>
      </c>
      <c r="O71" s="27">
        <f t="shared" si="37"/>
        <v>0</v>
      </c>
      <c r="P71" s="27">
        <f t="shared" si="37"/>
        <v>0</v>
      </c>
      <c r="Q71" s="27">
        <f t="shared" si="37"/>
        <v>0</v>
      </c>
      <c r="R71" s="27">
        <f t="shared" si="37"/>
        <v>0</v>
      </c>
      <c r="S71" s="27">
        <f t="shared" si="37"/>
        <v>0</v>
      </c>
      <c r="T71" s="27">
        <f t="shared" si="37"/>
        <v>0</v>
      </c>
      <c r="U71" s="27">
        <f t="shared" si="37"/>
        <v>0</v>
      </c>
      <c r="V71" s="27">
        <f t="shared" si="38"/>
        <v>0</v>
      </c>
      <c r="W71" s="27">
        <f t="shared" si="38"/>
        <v>0</v>
      </c>
    </row>
    <row r="72" spans="1:23" ht="30.75" customHeight="1" thickBot="1" x14ac:dyDescent="0.3">
      <c r="A72" s="85" t="s">
        <v>60</v>
      </c>
      <c r="B72" s="66"/>
      <c r="C72" s="86">
        <f t="shared" ref="C72:M72" si="42">C65+C71</f>
        <v>2971575</v>
      </c>
      <c r="D72" s="86">
        <f t="shared" si="42"/>
        <v>2971247</v>
      </c>
      <c r="E72" s="86">
        <f t="shared" si="42"/>
        <v>2988357</v>
      </c>
      <c r="F72" s="86">
        <f t="shared" si="42"/>
        <v>2981581</v>
      </c>
      <c r="G72" s="86">
        <f t="shared" si="42"/>
        <v>2981581</v>
      </c>
      <c r="H72" s="86">
        <f t="shared" si="42"/>
        <v>2981581</v>
      </c>
      <c r="I72" s="86">
        <f t="shared" si="42"/>
        <v>2993537</v>
      </c>
      <c r="J72" s="86">
        <f t="shared" si="42"/>
        <v>2994461</v>
      </c>
      <c r="K72" s="86">
        <f t="shared" ref="K72" si="43">K65+K71</f>
        <v>3092290</v>
      </c>
      <c r="L72" s="86">
        <f t="shared" ref="L72" si="44">L65+L71</f>
        <v>3093835</v>
      </c>
      <c r="M72" s="86">
        <f t="shared" si="42"/>
        <v>1095687</v>
      </c>
      <c r="N72" s="728">
        <f t="shared" si="9"/>
        <v>0.35415172431626118</v>
      </c>
      <c r="O72" s="27">
        <f t="shared" si="37"/>
        <v>-328</v>
      </c>
      <c r="P72" s="27">
        <f t="shared" si="37"/>
        <v>17110</v>
      </c>
      <c r="Q72" s="27">
        <f t="shared" si="37"/>
        <v>-6776</v>
      </c>
      <c r="R72" s="27">
        <f t="shared" si="37"/>
        <v>0</v>
      </c>
      <c r="S72" s="27">
        <f t="shared" si="37"/>
        <v>0</v>
      </c>
      <c r="T72" s="27">
        <f t="shared" si="37"/>
        <v>11956</v>
      </c>
      <c r="U72" s="27">
        <f t="shared" si="37"/>
        <v>924</v>
      </c>
      <c r="V72" s="27">
        <f t="shared" si="38"/>
        <v>97829</v>
      </c>
      <c r="W72" s="27">
        <f t="shared" si="38"/>
        <v>1545</v>
      </c>
    </row>
    <row r="73" spans="1:23" x14ac:dyDescent="0.25">
      <c r="A73" s="1"/>
      <c r="B73" s="1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728"/>
      <c r="O73" s="1"/>
    </row>
    <row r="74" spans="1:23" ht="15.75" x14ac:dyDescent="0.25">
      <c r="A74" s="101"/>
      <c r="B74" s="102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728"/>
      <c r="O74" s="1"/>
    </row>
    <row r="75" spans="1:23" ht="18.75" thickBot="1" x14ac:dyDescent="0.3">
      <c r="A75" s="898" t="s">
        <v>61</v>
      </c>
      <c r="B75" s="899"/>
      <c r="C75" s="899"/>
      <c r="D75" s="899"/>
      <c r="E75" s="899"/>
      <c r="F75" s="899"/>
      <c r="G75" s="899"/>
      <c r="H75" s="899"/>
      <c r="I75" s="899"/>
      <c r="J75" s="899"/>
      <c r="K75" s="899"/>
      <c r="L75" s="899"/>
      <c r="M75" s="899"/>
      <c r="N75" s="728"/>
      <c r="O75" s="1"/>
    </row>
    <row r="76" spans="1:23" ht="36" customHeight="1" thickBot="1" x14ac:dyDescent="0.3">
      <c r="A76" s="876" t="s">
        <v>1</v>
      </c>
      <c r="B76" s="900"/>
      <c r="C76" s="387" t="s">
        <v>467</v>
      </c>
      <c r="D76" s="387" t="s">
        <v>465</v>
      </c>
      <c r="E76" s="387" t="s">
        <v>483</v>
      </c>
      <c r="F76" s="387" t="s">
        <v>500</v>
      </c>
      <c r="G76" s="387" t="s">
        <v>533</v>
      </c>
      <c r="H76" s="387" t="s">
        <v>578</v>
      </c>
      <c r="I76" s="387" t="s">
        <v>610</v>
      </c>
      <c r="J76" s="387" t="s">
        <v>579</v>
      </c>
      <c r="K76" s="387" t="s">
        <v>646</v>
      </c>
      <c r="L76" s="387" t="s">
        <v>637</v>
      </c>
      <c r="M76" s="387" t="s">
        <v>633</v>
      </c>
      <c r="N76" s="728"/>
      <c r="O76" s="1"/>
    </row>
    <row r="77" spans="1:23" ht="15.75" thickBot="1" x14ac:dyDescent="0.3">
      <c r="A77" s="104" t="s">
        <v>62</v>
      </c>
      <c r="B77" s="105"/>
      <c r="C77" s="108">
        <f t="shared" ref="C77:M77" si="45">SUM(C78:C82)</f>
        <v>317110</v>
      </c>
      <c r="D77" s="108">
        <f t="shared" si="45"/>
        <v>317090</v>
      </c>
      <c r="E77" s="108">
        <f t="shared" si="45"/>
        <v>317090</v>
      </c>
      <c r="F77" s="108">
        <f t="shared" si="45"/>
        <v>317090</v>
      </c>
      <c r="G77" s="108">
        <f t="shared" si="45"/>
        <v>317090</v>
      </c>
      <c r="H77" s="108">
        <f t="shared" si="45"/>
        <v>317090</v>
      </c>
      <c r="I77" s="108">
        <f t="shared" si="45"/>
        <v>317090</v>
      </c>
      <c r="J77" s="108">
        <f t="shared" si="45"/>
        <v>317090</v>
      </c>
      <c r="K77" s="108">
        <f t="shared" ref="K77" si="46">SUM(K78:K82)</f>
        <v>367915</v>
      </c>
      <c r="L77" s="108">
        <f t="shared" ref="L77" si="47">SUM(L78:L82)</f>
        <v>367915</v>
      </c>
      <c r="M77" s="108">
        <f t="shared" si="45"/>
        <v>86035</v>
      </c>
      <c r="N77" s="728">
        <f t="shared" si="9"/>
        <v>0.23384477392876071</v>
      </c>
      <c r="O77" s="1"/>
    </row>
    <row r="78" spans="1:23" x14ac:dyDescent="0.25">
      <c r="A78" s="109" t="s">
        <v>63</v>
      </c>
      <c r="B78" s="84" t="s">
        <v>64</v>
      </c>
      <c r="C78" s="56">
        <v>155310</v>
      </c>
      <c r="D78" s="56">
        <v>155310</v>
      </c>
      <c r="E78" s="56">
        <v>155310</v>
      </c>
      <c r="F78" s="56">
        <v>155310</v>
      </c>
      <c r="G78" s="56">
        <v>155310</v>
      </c>
      <c r="H78" s="56">
        <v>155310</v>
      </c>
      <c r="I78" s="56">
        <v>155310</v>
      </c>
      <c r="J78" s="56">
        <v>155310</v>
      </c>
      <c r="K78" s="705">
        <f>155310+50605</f>
        <v>205915</v>
      </c>
      <c r="L78" s="56">
        <f>155310+50605</f>
        <v>205915</v>
      </c>
      <c r="M78" s="56">
        <v>35391</v>
      </c>
      <c r="N78" s="728">
        <f t="shared" si="9"/>
        <v>0.1718718888861909</v>
      </c>
      <c r="O78" s="1"/>
    </row>
    <row r="79" spans="1:23" x14ac:dyDescent="0.25">
      <c r="A79" s="113" t="s">
        <v>65</v>
      </c>
      <c r="B79" s="114" t="s">
        <v>66</v>
      </c>
      <c r="C79" s="61">
        <v>91700</v>
      </c>
      <c r="D79" s="61">
        <v>91700</v>
      </c>
      <c r="E79" s="61">
        <v>91700</v>
      </c>
      <c r="F79" s="61">
        <v>91700</v>
      </c>
      <c r="G79" s="61">
        <v>91700</v>
      </c>
      <c r="H79" s="61">
        <v>91700</v>
      </c>
      <c r="I79" s="61">
        <v>91700</v>
      </c>
      <c r="J79" s="61">
        <v>91700</v>
      </c>
      <c r="K79" s="61">
        <v>91700</v>
      </c>
      <c r="L79" s="61">
        <v>91700</v>
      </c>
      <c r="M79" s="61">
        <v>34105</v>
      </c>
      <c r="N79" s="728">
        <f t="shared" si="9"/>
        <v>0.37191930207197382</v>
      </c>
      <c r="O79" s="1"/>
    </row>
    <row r="80" spans="1:23" x14ac:dyDescent="0.25">
      <c r="A80" s="113" t="s">
        <v>67</v>
      </c>
      <c r="B80" s="114" t="s">
        <v>68</v>
      </c>
      <c r="C80" s="61">
        <v>5200</v>
      </c>
      <c r="D80" s="61">
        <v>5200</v>
      </c>
      <c r="E80" s="61">
        <v>5200</v>
      </c>
      <c r="F80" s="61">
        <v>5200</v>
      </c>
      <c r="G80" s="61">
        <v>5200</v>
      </c>
      <c r="H80" s="61">
        <v>5200</v>
      </c>
      <c r="I80" s="61">
        <v>5200</v>
      </c>
      <c r="J80" s="61">
        <v>5200</v>
      </c>
      <c r="K80" s="61">
        <v>5200</v>
      </c>
      <c r="L80" s="61">
        <v>5200</v>
      </c>
      <c r="M80" s="61">
        <v>615</v>
      </c>
      <c r="N80" s="728">
        <f t="shared" si="9"/>
        <v>0.11826923076923077</v>
      </c>
      <c r="O80" s="1"/>
    </row>
    <row r="81" spans="1:15" x14ac:dyDescent="0.25">
      <c r="A81" s="117" t="s">
        <v>69</v>
      </c>
      <c r="B81" s="114" t="s">
        <v>70</v>
      </c>
      <c r="C81" s="61">
        <v>64900</v>
      </c>
      <c r="D81" s="695">
        <f t="shared" ref="D81:J81" si="48">64900-10-10</f>
        <v>64880</v>
      </c>
      <c r="E81" s="61">
        <f t="shared" si="48"/>
        <v>64880</v>
      </c>
      <c r="F81" s="61">
        <f t="shared" si="48"/>
        <v>64880</v>
      </c>
      <c r="G81" s="61">
        <f t="shared" si="48"/>
        <v>64880</v>
      </c>
      <c r="H81" s="61">
        <f t="shared" si="48"/>
        <v>64880</v>
      </c>
      <c r="I81" s="61">
        <f t="shared" si="48"/>
        <v>64880</v>
      </c>
      <c r="J81" s="61">
        <f t="shared" si="48"/>
        <v>64880</v>
      </c>
      <c r="K81" s="695">
        <f>64900-10-10+220</f>
        <v>65100</v>
      </c>
      <c r="L81" s="61">
        <f>64900-10-10+220</f>
        <v>65100</v>
      </c>
      <c r="M81" s="61">
        <v>15924</v>
      </c>
      <c r="N81" s="728">
        <f t="shared" si="9"/>
        <v>0.24460829493087557</v>
      </c>
      <c r="O81" s="1"/>
    </row>
    <row r="82" spans="1:15" ht="15.75" thickBot="1" x14ac:dyDescent="0.3">
      <c r="A82" s="119" t="s">
        <v>71</v>
      </c>
      <c r="B82" s="120" t="s">
        <v>196</v>
      </c>
      <c r="C82" s="124">
        <v>0</v>
      </c>
      <c r="D82" s="124">
        <v>0</v>
      </c>
      <c r="E82" s="124">
        <v>0</v>
      </c>
      <c r="F82" s="124">
        <v>0</v>
      </c>
      <c r="G82" s="124">
        <v>0</v>
      </c>
      <c r="H82" s="124">
        <v>0</v>
      </c>
      <c r="I82" s="124">
        <v>0</v>
      </c>
      <c r="J82" s="124">
        <v>0</v>
      </c>
      <c r="K82" s="124">
        <v>0</v>
      </c>
      <c r="L82" s="124">
        <v>0</v>
      </c>
      <c r="M82" s="124">
        <v>0</v>
      </c>
      <c r="N82" s="728">
        <v>0</v>
      </c>
      <c r="O82" s="1"/>
    </row>
    <row r="83" spans="1:15" ht="15.75" thickBot="1" x14ac:dyDescent="0.3">
      <c r="A83" s="125" t="s">
        <v>72</v>
      </c>
      <c r="B83" s="126"/>
      <c r="C83" s="108">
        <f t="shared" ref="C83:M83" si="49">SUM(C84)</f>
        <v>2670</v>
      </c>
      <c r="D83" s="108">
        <f t="shared" si="49"/>
        <v>2685</v>
      </c>
      <c r="E83" s="108">
        <f t="shared" si="49"/>
        <v>2685</v>
      </c>
      <c r="F83" s="108">
        <f t="shared" si="49"/>
        <v>2685</v>
      </c>
      <c r="G83" s="108">
        <f t="shared" si="49"/>
        <v>2685</v>
      </c>
      <c r="H83" s="108">
        <f t="shared" si="49"/>
        <v>2685</v>
      </c>
      <c r="I83" s="108">
        <f t="shared" si="49"/>
        <v>2685</v>
      </c>
      <c r="J83" s="108">
        <f t="shared" si="49"/>
        <v>2685</v>
      </c>
      <c r="K83" s="108">
        <f t="shared" si="49"/>
        <v>2685</v>
      </c>
      <c r="L83" s="108">
        <f t="shared" si="49"/>
        <v>2685</v>
      </c>
      <c r="M83" s="108">
        <f t="shared" si="49"/>
        <v>338</v>
      </c>
      <c r="N83" s="728">
        <f t="shared" si="9"/>
        <v>0.12588454376163874</v>
      </c>
      <c r="O83" s="1"/>
    </row>
    <row r="84" spans="1:15" ht="15.75" thickBot="1" x14ac:dyDescent="0.3">
      <c r="A84" s="127" t="s">
        <v>73</v>
      </c>
      <c r="B84" s="102" t="s">
        <v>219</v>
      </c>
      <c r="C84" s="130">
        <v>2670</v>
      </c>
      <c r="D84" s="713">
        <f t="shared" ref="D84:L84" si="50">2670+15</f>
        <v>2685</v>
      </c>
      <c r="E84" s="130">
        <f t="shared" si="50"/>
        <v>2685</v>
      </c>
      <c r="F84" s="130">
        <f t="shared" si="50"/>
        <v>2685</v>
      </c>
      <c r="G84" s="130">
        <f t="shared" si="50"/>
        <v>2685</v>
      </c>
      <c r="H84" s="130">
        <f t="shared" si="50"/>
        <v>2685</v>
      </c>
      <c r="I84" s="130">
        <f t="shared" si="50"/>
        <v>2685</v>
      </c>
      <c r="J84" s="130">
        <f t="shared" si="50"/>
        <v>2685</v>
      </c>
      <c r="K84" s="130">
        <f t="shared" si="50"/>
        <v>2685</v>
      </c>
      <c r="L84" s="130">
        <f t="shared" si="50"/>
        <v>2685</v>
      </c>
      <c r="M84" s="130">
        <v>338</v>
      </c>
      <c r="N84" s="728">
        <f t="shared" si="9"/>
        <v>0.12588454376163874</v>
      </c>
      <c r="O84" s="1"/>
    </row>
    <row r="85" spans="1:15" ht="15.75" thickBot="1" x14ac:dyDescent="0.3">
      <c r="A85" s="125" t="s">
        <v>74</v>
      </c>
      <c r="B85" s="126"/>
      <c r="C85" s="108">
        <f t="shared" ref="C85:M85" si="51">SUM(C86:C87)</f>
        <v>96625</v>
      </c>
      <c r="D85" s="108">
        <f t="shared" si="51"/>
        <v>97008</v>
      </c>
      <c r="E85" s="108">
        <f t="shared" si="51"/>
        <v>94508</v>
      </c>
      <c r="F85" s="108">
        <f t="shared" si="51"/>
        <v>94508</v>
      </c>
      <c r="G85" s="108">
        <f t="shared" si="51"/>
        <v>94508</v>
      </c>
      <c r="H85" s="108">
        <f t="shared" si="51"/>
        <v>94508</v>
      </c>
      <c r="I85" s="108">
        <f t="shared" si="51"/>
        <v>94508</v>
      </c>
      <c r="J85" s="108">
        <f t="shared" si="51"/>
        <v>94508</v>
      </c>
      <c r="K85" s="108">
        <f t="shared" ref="K85" si="52">SUM(K86:K87)</f>
        <v>94508</v>
      </c>
      <c r="L85" s="108">
        <f t="shared" ref="L85" si="53">SUM(L86:L87)</f>
        <v>94508</v>
      </c>
      <c r="M85" s="108">
        <f t="shared" si="51"/>
        <v>19415</v>
      </c>
      <c r="N85" s="728">
        <f t="shared" si="9"/>
        <v>0.20543234435180091</v>
      </c>
      <c r="O85" s="1"/>
    </row>
    <row r="86" spans="1:15" x14ac:dyDescent="0.25">
      <c r="A86" s="131" t="s">
        <v>75</v>
      </c>
      <c r="B86" s="132" t="s">
        <v>76</v>
      </c>
      <c r="C86" s="135">
        <v>17600</v>
      </c>
      <c r="D86" s="135">
        <v>17600</v>
      </c>
      <c r="E86" s="759">
        <f t="shared" ref="E86:L86" si="54">17600-2500</f>
        <v>15100</v>
      </c>
      <c r="F86" s="135">
        <f t="shared" si="54"/>
        <v>15100</v>
      </c>
      <c r="G86" s="135">
        <f t="shared" si="54"/>
        <v>15100</v>
      </c>
      <c r="H86" s="135">
        <f t="shared" si="54"/>
        <v>15100</v>
      </c>
      <c r="I86" s="135">
        <f t="shared" si="54"/>
        <v>15100</v>
      </c>
      <c r="J86" s="135">
        <f t="shared" si="54"/>
        <v>15100</v>
      </c>
      <c r="K86" s="135">
        <f t="shared" si="54"/>
        <v>15100</v>
      </c>
      <c r="L86" s="135">
        <f t="shared" si="54"/>
        <v>15100</v>
      </c>
      <c r="M86" s="135">
        <v>1294</v>
      </c>
      <c r="N86" s="728">
        <f t="shared" si="9"/>
        <v>8.5695364238410593E-2</v>
      </c>
      <c r="O86" s="1"/>
    </row>
    <row r="87" spans="1:15" ht="15.75" thickBot="1" x14ac:dyDescent="0.3">
      <c r="A87" s="136" t="s">
        <v>77</v>
      </c>
      <c r="B87" s="137" t="s">
        <v>78</v>
      </c>
      <c r="C87" s="124">
        <v>79025</v>
      </c>
      <c r="D87" s="714">
        <f t="shared" ref="D87:L87" si="55">79025+383</f>
        <v>79408</v>
      </c>
      <c r="E87" s="124">
        <f t="shared" si="55"/>
        <v>79408</v>
      </c>
      <c r="F87" s="124">
        <f t="shared" si="55"/>
        <v>79408</v>
      </c>
      <c r="G87" s="124">
        <f t="shared" si="55"/>
        <v>79408</v>
      </c>
      <c r="H87" s="124">
        <f t="shared" si="55"/>
        <v>79408</v>
      </c>
      <c r="I87" s="124">
        <f t="shared" si="55"/>
        <v>79408</v>
      </c>
      <c r="J87" s="124">
        <f t="shared" si="55"/>
        <v>79408</v>
      </c>
      <c r="K87" s="124">
        <f t="shared" si="55"/>
        <v>79408</v>
      </c>
      <c r="L87" s="124">
        <f t="shared" si="55"/>
        <v>79408</v>
      </c>
      <c r="M87" s="124">
        <v>18121</v>
      </c>
      <c r="N87" s="728">
        <f t="shared" ref="N87:N152" si="56">M87/L87</f>
        <v>0.22820118879709853</v>
      </c>
      <c r="O87" s="1"/>
    </row>
    <row r="88" spans="1:15" ht="15.75" thickBot="1" x14ac:dyDescent="0.3">
      <c r="A88" s="104" t="s">
        <v>79</v>
      </c>
      <c r="B88" s="140"/>
      <c r="C88" s="108">
        <f t="shared" ref="C88:M88" si="57">SUM(C89:C91)</f>
        <v>122230</v>
      </c>
      <c r="D88" s="108">
        <f t="shared" si="57"/>
        <v>122300</v>
      </c>
      <c r="E88" s="108">
        <f t="shared" si="57"/>
        <v>122300</v>
      </c>
      <c r="F88" s="108">
        <f t="shared" si="57"/>
        <v>122300</v>
      </c>
      <c r="G88" s="108">
        <f t="shared" si="57"/>
        <v>117000</v>
      </c>
      <c r="H88" s="108">
        <f t="shared" si="57"/>
        <v>117000</v>
      </c>
      <c r="I88" s="108">
        <f t="shared" si="57"/>
        <v>117015</v>
      </c>
      <c r="J88" s="108">
        <f t="shared" si="57"/>
        <v>117015</v>
      </c>
      <c r="K88" s="108">
        <f t="shared" ref="K88" si="58">SUM(K89:K91)</f>
        <v>117015</v>
      </c>
      <c r="L88" s="108">
        <f t="shared" ref="L88" si="59">SUM(L89:L91)</f>
        <v>117015</v>
      </c>
      <c r="M88" s="108">
        <f t="shared" si="57"/>
        <v>28869</v>
      </c>
      <c r="N88" s="728">
        <f t="shared" si="56"/>
        <v>0.24671196000512755</v>
      </c>
      <c r="O88" s="1"/>
    </row>
    <row r="89" spans="1:15" x14ac:dyDescent="0.25">
      <c r="A89" s="141" t="s">
        <v>80</v>
      </c>
      <c r="B89" s="142" t="s">
        <v>81</v>
      </c>
      <c r="C89" s="55">
        <v>44750</v>
      </c>
      <c r="D89" s="55">
        <v>44750</v>
      </c>
      <c r="E89" s="55">
        <v>44750</v>
      </c>
      <c r="F89" s="55">
        <v>44750</v>
      </c>
      <c r="G89" s="55">
        <v>44750</v>
      </c>
      <c r="H89" s="55">
        <v>44750</v>
      </c>
      <c r="I89" s="55">
        <v>44750</v>
      </c>
      <c r="J89" s="55">
        <v>44750</v>
      </c>
      <c r="K89" s="55">
        <v>44750</v>
      </c>
      <c r="L89" s="55">
        <v>44750</v>
      </c>
      <c r="M89" s="55">
        <v>9459</v>
      </c>
      <c r="N89" s="728">
        <f t="shared" si="56"/>
        <v>0.21137430167597765</v>
      </c>
      <c r="O89" s="1"/>
    </row>
    <row r="90" spans="1:15" x14ac:dyDescent="0.25">
      <c r="A90" s="117" t="s">
        <v>82</v>
      </c>
      <c r="B90" s="114" t="s">
        <v>83</v>
      </c>
      <c r="C90" s="60">
        <v>39680</v>
      </c>
      <c r="D90" s="694">
        <f>39680+70</f>
        <v>39750</v>
      </c>
      <c r="E90" s="60">
        <f>39680+70</f>
        <v>39750</v>
      </c>
      <c r="F90" s="60">
        <f>39680+70</f>
        <v>39750</v>
      </c>
      <c r="G90" s="694">
        <f>39680+70-5300</f>
        <v>34450</v>
      </c>
      <c r="H90" s="60">
        <f>39680+70-5300</f>
        <v>34450</v>
      </c>
      <c r="I90" s="694">
        <f>39680+70-5300+15</f>
        <v>34465</v>
      </c>
      <c r="J90" s="60">
        <f>39680+70-5300+15</f>
        <v>34465</v>
      </c>
      <c r="K90" s="60">
        <f>39680+70-5300+15</f>
        <v>34465</v>
      </c>
      <c r="L90" s="60">
        <f>39680+70-5300+15</f>
        <v>34465</v>
      </c>
      <c r="M90" s="60">
        <v>7642</v>
      </c>
      <c r="N90" s="728">
        <f t="shared" si="56"/>
        <v>0.22173219207892064</v>
      </c>
      <c r="O90" s="1"/>
    </row>
    <row r="91" spans="1:15" ht="15.75" thickBot="1" x14ac:dyDescent="0.3">
      <c r="A91" s="117" t="s">
        <v>84</v>
      </c>
      <c r="B91" s="114" t="s">
        <v>85</v>
      </c>
      <c r="C91" s="60">
        <v>37800</v>
      </c>
      <c r="D91" s="60">
        <v>37800</v>
      </c>
      <c r="E91" s="60">
        <v>37800</v>
      </c>
      <c r="F91" s="60">
        <v>37800</v>
      </c>
      <c r="G91" s="60">
        <v>37800</v>
      </c>
      <c r="H91" s="60">
        <v>37800</v>
      </c>
      <c r="I91" s="60">
        <v>37800</v>
      </c>
      <c r="J91" s="60">
        <v>37800</v>
      </c>
      <c r="K91" s="60">
        <v>37800</v>
      </c>
      <c r="L91" s="60">
        <v>37800</v>
      </c>
      <c r="M91" s="60">
        <v>11768</v>
      </c>
      <c r="N91" s="728">
        <f t="shared" si="56"/>
        <v>0.31132275132275133</v>
      </c>
      <c r="O91" s="1"/>
    </row>
    <row r="92" spans="1:15" ht="15.75" thickBot="1" x14ac:dyDescent="0.3">
      <c r="A92" s="901" t="s">
        <v>86</v>
      </c>
      <c r="B92" s="902"/>
      <c r="C92" s="108">
        <f t="shared" ref="C92:M92" si="60">SUM(C93:C96)</f>
        <v>148830</v>
      </c>
      <c r="D92" s="108">
        <f t="shared" si="60"/>
        <v>148830</v>
      </c>
      <c r="E92" s="108">
        <f t="shared" si="60"/>
        <v>173440</v>
      </c>
      <c r="F92" s="108">
        <f t="shared" si="60"/>
        <v>173440</v>
      </c>
      <c r="G92" s="108">
        <f t="shared" si="60"/>
        <v>173440</v>
      </c>
      <c r="H92" s="108">
        <f t="shared" si="60"/>
        <v>173440</v>
      </c>
      <c r="I92" s="108">
        <f t="shared" si="60"/>
        <v>173440</v>
      </c>
      <c r="J92" s="108">
        <f t="shared" si="60"/>
        <v>173440</v>
      </c>
      <c r="K92" s="108">
        <f t="shared" ref="K92" si="61">SUM(K93:K96)</f>
        <v>173820</v>
      </c>
      <c r="L92" s="108">
        <f t="shared" ref="L92" si="62">SUM(L93:L96)</f>
        <v>173820</v>
      </c>
      <c r="M92" s="108">
        <f t="shared" si="60"/>
        <v>38903</v>
      </c>
      <c r="N92" s="728">
        <f t="shared" si="56"/>
        <v>0.22381198941433667</v>
      </c>
      <c r="O92" s="1"/>
    </row>
    <row r="93" spans="1:15" x14ac:dyDescent="0.25">
      <c r="A93" s="149" t="s">
        <v>87</v>
      </c>
      <c r="B93" s="150" t="s">
        <v>88</v>
      </c>
      <c r="C93" s="135">
        <v>95830</v>
      </c>
      <c r="D93" s="135">
        <v>95830</v>
      </c>
      <c r="E93" s="135">
        <v>95830</v>
      </c>
      <c r="F93" s="135">
        <v>95830</v>
      </c>
      <c r="G93" s="135">
        <v>95830</v>
      </c>
      <c r="H93" s="135">
        <v>95830</v>
      </c>
      <c r="I93" s="135">
        <v>95830</v>
      </c>
      <c r="J93" s="135">
        <v>95830</v>
      </c>
      <c r="K93" s="759">
        <f>95830+380</f>
        <v>96210</v>
      </c>
      <c r="L93" s="135">
        <f>95830+380</f>
        <v>96210</v>
      </c>
      <c r="M93" s="135">
        <v>22108</v>
      </c>
      <c r="N93" s="728">
        <f t="shared" si="56"/>
        <v>0.22978900322211829</v>
      </c>
      <c r="O93" s="1"/>
    </row>
    <row r="94" spans="1:15" x14ac:dyDescent="0.25">
      <c r="A94" s="117" t="s">
        <v>89</v>
      </c>
      <c r="B94" s="114" t="s">
        <v>90</v>
      </c>
      <c r="C94" s="148">
        <v>39000</v>
      </c>
      <c r="D94" s="148">
        <v>39000</v>
      </c>
      <c r="E94" s="757">
        <f t="shared" ref="E94:L94" si="63">39000-1575</f>
        <v>37425</v>
      </c>
      <c r="F94" s="148">
        <f t="shared" si="63"/>
        <v>37425</v>
      </c>
      <c r="G94" s="148">
        <f t="shared" si="63"/>
        <v>37425</v>
      </c>
      <c r="H94" s="148">
        <f t="shared" si="63"/>
        <v>37425</v>
      </c>
      <c r="I94" s="148">
        <f t="shared" si="63"/>
        <v>37425</v>
      </c>
      <c r="J94" s="148">
        <f t="shared" si="63"/>
        <v>37425</v>
      </c>
      <c r="K94" s="148">
        <f t="shared" si="63"/>
        <v>37425</v>
      </c>
      <c r="L94" s="148">
        <f t="shared" si="63"/>
        <v>37425</v>
      </c>
      <c r="M94" s="148">
        <v>11966</v>
      </c>
      <c r="N94" s="728">
        <f t="shared" si="56"/>
        <v>0.31973279893119572</v>
      </c>
      <c r="O94" s="1"/>
    </row>
    <row r="95" spans="1:15" x14ac:dyDescent="0.25">
      <c r="A95" s="127" t="s">
        <v>91</v>
      </c>
      <c r="B95" s="155" t="s">
        <v>92</v>
      </c>
      <c r="C95" s="159">
        <v>2000</v>
      </c>
      <c r="D95" s="159">
        <v>2000</v>
      </c>
      <c r="E95" s="159">
        <v>2000</v>
      </c>
      <c r="F95" s="159">
        <v>2000</v>
      </c>
      <c r="G95" s="159">
        <v>2000</v>
      </c>
      <c r="H95" s="159">
        <v>2000</v>
      </c>
      <c r="I95" s="159">
        <v>2000</v>
      </c>
      <c r="J95" s="159">
        <v>2000</v>
      </c>
      <c r="K95" s="159">
        <v>2000</v>
      </c>
      <c r="L95" s="159">
        <v>2000</v>
      </c>
      <c r="M95" s="159">
        <v>0</v>
      </c>
      <c r="N95" s="728">
        <f t="shared" si="56"/>
        <v>0</v>
      </c>
      <c r="O95" s="1"/>
    </row>
    <row r="96" spans="1:15" ht="15.75" thickBot="1" x14ac:dyDescent="0.3">
      <c r="A96" s="160" t="s">
        <v>93</v>
      </c>
      <c r="B96" s="161" t="s">
        <v>94</v>
      </c>
      <c r="C96" s="170">
        <v>12000</v>
      </c>
      <c r="D96" s="170">
        <v>12000</v>
      </c>
      <c r="E96" s="758">
        <f t="shared" ref="E96:L96" si="64">12000+26185</f>
        <v>38185</v>
      </c>
      <c r="F96" s="170">
        <f t="shared" si="64"/>
        <v>38185</v>
      </c>
      <c r="G96" s="170">
        <f t="shared" si="64"/>
        <v>38185</v>
      </c>
      <c r="H96" s="170">
        <f t="shared" si="64"/>
        <v>38185</v>
      </c>
      <c r="I96" s="170">
        <f t="shared" si="64"/>
        <v>38185</v>
      </c>
      <c r="J96" s="170">
        <f t="shared" si="64"/>
        <v>38185</v>
      </c>
      <c r="K96" s="170">
        <f t="shared" si="64"/>
        <v>38185</v>
      </c>
      <c r="L96" s="170">
        <f t="shared" si="64"/>
        <v>38185</v>
      </c>
      <c r="M96" s="164">
        <v>4829</v>
      </c>
      <c r="N96" s="728">
        <f t="shared" si="56"/>
        <v>0.12646327091789969</v>
      </c>
      <c r="O96" s="1"/>
    </row>
    <row r="97" spans="1:17" ht="15.75" thickBot="1" x14ac:dyDescent="0.3">
      <c r="A97" s="104" t="s">
        <v>95</v>
      </c>
      <c r="B97" s="140"/>
      <c r="C97" s="106">
        <f t="shared" ref="C97:M97" si="65">SUM(C98:C101)</f>
        <v>222450</v>
      </c>
      <c r="D97" s="106">
        <f t="shared" si="65"/>
        <v>222450</v>
      </c>
      <c r="E97" s="106">
        <f t="shared" si="65"/>
        <v>208450</v>
      </c>
      <c r="F97" s="106">
        <f t="shared" si="65"/>
        <v>208450</v>
      </c>
      <c r="G97" s="106">
        <f t="shared" si="65"/>
        <v>208450</v>
      </c>
      <c r="H97" s="106">
        <f t="shared" si="65"/>
        <v>208450</v>
      </c>
      <c r="I97" s="106">
        <f t="shared" si="65"/>
        <v>208450</v>
      </c>
      <c r="J97" s="106">
        <f t="shared" si="65"/>
        <v>208450</v>
      </c>
      <c r="K97" s="106">
        <f t="shared" ref="K97" si="66">SUM(K98:K101)</f>
        <v>208450</v>
      </c>
      <c r="L97" s="106">
        <f t="shared" ref="L97" si="67">SUM(L98:L101)</f>
        <v>206795</v>
      </c>
      <c r="M97" s="106">
        <f t="shared" si="65"/>
        <v>49179</v>
      </c>
      <c r="N97" s="728">
        <f t="shared" si="56"/>
        <v>0.23781522764090041</v>
      </c>
      <c r="O97" s="1"/>
    </row>
    <row r="98" spans="1:17" x14ac:dyDescent="0.25">
      <c r="A98" s="141" t="s">
        <v>96</v>
      </c>
      <c r="B98" s="84" t="s">
        <v>97</v>
      </c>
      <c r="C98" s="112">
        <v>168170</v>
      </c>
      <c r="D98" s="112">
        <v>168170</v>
      </c>
      <c r="E98" s="112">
        <v>168170</v>
      </c>
      <c r="F98" s="112">
        <v>168170</v>
      </c>
      <c r="G98" s="112">
        <v>168170</v>
      </c>
      <c r="H98" s="112">
        <v>168170</v>
      </c>
      <c r="I98" s="112">
        <v>168170</v>
      </c>
      <c r="J98" s="112">
        <v>168170</v>
      </c>
      <c r="K98" s="112">
        <v>168170</v>
      </c>
      <c r="L98" s="792">
        <f>168170-1655</f>
        <v>166515</v>
      </c>
      <c r="M98" s="112">
        <v>38342</v>
      </c>
      <c r="N98" s="728">
        <f t="shared" si="56"/>
        <v>0.23026153799957963</v>
      </c>
      <c r="O98" s="1"/>
    </row>
    <row r="99" spans="1:17" x14ac:dyDescent="0.25">
      <c r="A99" s="141" t="s">
        <v>301</v>
      </c>
      <c r="B99" s="84" t="s">
        <v>321</v>
      </c>
      <c r="C99" s="112">
        <v>1580</v>
      </c>
      <c r="D99" s="112">
        <v>1580</v>
      </c>
      <c r="E99" s="112">
        <v>1580</v>
      </c>
      <c r="F99" s="112">
        <v>1580</v>
      </c>
      <c r="G99" s="112">
        <v>1580</v>
      </c>
      <c r="H99" s="112">
        <v>1580</v>
      </c>
      <c r="I99" s="112">
        <v>1580</v>
      </c>
      <c r="J99" s="112">
        <v>1580</v>
      </c>
      <c r="K99" s="112">
        <v>1580</v>
      </c>
      <c r="L99" s="112">
        <v>1580</v>
      </c>
      <c r="M99" s="112">
        <v>0</v>
      </c>
      <c r="N99" s="728">
        <f t="shared" si="56"/>
        <v>0</v>
      </c>
      <c r="O99" s="1"/>
    </row>
    <row r="100" spans="1:17" x14ac:dyDescent="0.25">
      <c r="A100" s="166" t="s">
        <v>98</v>
      </c>
      <c r="B100" s="114" t="s">
        <v>99</v>
      </c>
      <c r="C100" s="148">
        <v>35700</v>
      </c>
      <c r="D100" s="148">
        <v>35700</v>
      </c>
      <c r="E100" s="757">
        <f t="shared" ref="E100:L100" si="68">35700-14000</f>
        <v>21700</v>
      </c>
      <c r="F100" s="148">
        <f t="shared" si="68"/>
        <v>21700</v>
      </c>
      <c r="G100" s="148">
        <f t="shared" si="68"/>
        <v>21700</v>
      </c>
      <c r="H100" s="148">
        <f t="shared" si="68"/>
        <v>21700</v>
      </c>
      <c r="I100" s="148">
        <f t="shared" si="68"/>
        <v>21700</v>
      </c>
      <c r="J100" s="148">
        <f t="shared" si="68"/>
        <v>21700</v>
      </c>
      <c r="K100" s="148">
        <f t="shared" si="68"/>
        <v>21700</v>
      </c>
      <c r="L100" s="148">
        <f t="shared" si="68"/>
        <v>21700</v>
      </c>
      <c r="M100" s="148">
        <v>5478</v>
      </c>
      <c r="N100" s="728">
        <f t="shared" si="56"/>
        <v>0.25244239631336407</v>
      </c>
      <c r="O100" s="1"/>
    </row>
    <row r="101" spans="1:17" ht="15.75" thickBot="1" x14ac:dyDescent="0.3">
      <c r="A101" s="167" t="s">
        <v>100</v>
      </c>
      <c r="B101" s="161" t="s">
        <v>101</v>
      </c>
      <c r="C101" s="170">
        <v>17000</v>
      </c>
      <c r="D101" s="170">
        <v>17000</v>
      </c>
      <c r="E101" s="170">
        <v>17000</v>
      </c>
      <c r="F101" s="170">
        <v>17000</v>
      </c>
      <c r="G101" s="170">
        <v>17000</v>
      </c>
      <c r="H101" s="170">
        <v>17000</v>
      </c>
      <c r="I101" s="170">
        <v>17000</v>
      </c>
      <c r="J101" s="170">
        <v>17000</v>
      </c>
      <c r="K101" s="170">
        <v>17000</v>
      </c>
      <c r="L101" s="170">
        <v>17000</v>
      </c>
      <c r="M101" s="170">
        <v>5359</v>
      </c>
      <c r="N101" s="728">
        <f t="shared" si="56"/>
        <v>0.31523529411764706</v>
      </c>
      <c r="O101" s="1"/>
    </row>
    <row r="102" spans="1:17" ht="15.75" thickBot="1" x14ac:dyDescent="0.3">
      <c r="A102" s="171" t="s">
        <v>102</v>
      </c>
      <c r="B102" s="172"/>
      <c r="C102" s="173">
        <f t="shared" ref="C102:M102" si="69">SUM(C103:C105)</f>
        <v>850</v>
      </c>
      <c r="D102" s="173">
        <f t="shared" si="69"/>
        <v>850</v>
      </c>
      <c r="E102" s="173">
        <f t="shared" si="69"/>
        <v>850</v>
      </c>
      <c r="F102" s="173">
        <f t="shared" si="69"/>
        <v>850</v>
      </c>
      <c r="G102" s="173">
        <f t="shared" si="69"/>
        <v>850</v>
      </c>
      <c r="H102" s="173">
        <f t="shared" si="69"/>
        <v>850</v>
      </c>
      <c r="I102" s="173">
        <f t="shared" si="69"/>
        <v>850</v>
      </c>
      <c r="J102" s="173">
        <f t="shared" si="69"/>
        <v>850</v>
      </c>
      <c r="K102" s="173">
        <f t="shared" ref="K102" si="70">SUM(K103:K105)</f>
        <v>850</v>
      </c>
      <c r="L102" s="173">
        <f t="shared" ref="L102" si="71">SUM(L103:L105)</f>
        <v>850</v>
      </c>
      <c r="M102" s="173">
        <f t="shared" si="69"/>
        <v>44</v>
      </c>
      <c r="N102" s="728">
        <f t="shared" si="56"/>
        <v>5.1764705882352942E-2</v>
      </c>
      <c r="O102" s="1"/>
    </row>
    <row r="103" spans="1:17" x14ac:dyDescent="0.25">
      <c r="A103" s="131" t="s">
        <v>103</v>
      </c>
      <c r="B103" s="150" t="s">
        <v>104</v>
      </c>
      <c r="C103" s="177">
        <v>100</v>
      </c>
      <c r="D103" s="177">
        <v>100</v>
      </c>
      <c r="E103" s="177">
        <v>100</v>
      </c>
      <c r="F103" s="177">
        <v>100</v>
      </c>
      <c r="G103" s="177">
        <v>100</v>
      </c>
      <c r="H103" s="177">
        <v>100</v>
      </c>
      <c r="I103" s="177">
        <v>100</v>
      </c>
      <c r="J103" s="177">
        <v>100</v>
      </c>
      <c r="K103" s="177">
        <v>100</v>
      </c>
      <c r="L103" s="177">
        <v>100</v>
      </c>
      <c r="M103" s="177">
        <v>0</v>
      </c>
      <c r="N103" s="728">
        <f t="shared" si="56"/>
        <v>0</v>
      </c>
      <c r="O103" s="1"/>
    </row>
    <row r="104" spans="1:17" x14ac:dyDescent="0.25">
      <c r="A104" s="166" t="s">
        <v>105</v>
      </c>
      <c r="B104" s="114" t="s">
        <v>106</v>
      </c>
      <c r="C104" s="180">
        <v>100</v>
      </c>
      <c r="D104" s="180">
        <v>100</v>
      </c>
      <c r="E104" s="180">
        <v>100</v>
      </c>
      <c r="F104" s="180">
        <v>100</v>
      </c>
      <c r="G104" s="180">
        <v>100</v>
      </c>
      <c r="H104" s="180">
        <v>100</v>
      </c>
      <c r="I104" s="180">
        <v>100</v>
      </c>
      <c r="J104" s="180">
        <v>100</v>
      </c>
      <c r="K104" s="180">
        <v>100</v>
      </c>
      <c r="L104" s="180">
        <v>100</v>
      </c>
      <c r="M104" s="180">
        <v>14</v>
      </c>
      <c r="N104" s="728">
        <f t="shared" si="56"/>
        <v>0.14000000000000001</v>
      </c>
      <c r="O104" s="1"/>
    </row>
    <row r="105" spans="1:17" ht="15.75" thickBot="1" x14ac:dyDescent="0.3">
      <c r="A105" s="720" t="s">
        <v>107</v>
      </c>
      <c r="B105" s="721" t="s">
        <v>108</v>
      </c>
      <c r="C105" s="208">
        <v>650</v>
      </c>
      <c r="D105" s="208">
        <v>650</v>
      </c>
      <c r="E105" s="208">
        <v>650</v>
      </c>
      <c r="F105" s="208">
        <v>650</v>
      </c>
      <c r="G105" s="208">
        <v>650</v>
      </c>
      <c r="H105" s="208">
        <v>650</v>
      </c>
      <c r="I105" s="208">
        <v>650</v>
      </c>
      <c r="J105" s="208">
        <v>650</v>
      </c>
      <c r="K105" s="208">
        <v>650</v>
      </c>
      <c r="L105" s="208">
        <v>650</v>
      </c>
      <c r="M105" s="208">
        <v>30</v>
      </c>
      <c r="N105" s="728">
        <f t="shared" si="56"/>
        <v>4.6153846153846156E-2</v>
      </c>
      <c r="O105" s="1"/>
    </row>
    <row r="106" spans="1:17" ht="15.75" thickBot="1" x14ac:dyDescent="0.3">
      <c r="A106" s="722" t="s">
        <v>110</v>
      </c>
      <c r="B106" s="105"/>
      <c r="C106" s="106">
        <f t="shared" ref="C106:M106" si="72">SUM(C107:C111)</f>
        <v>131700</v>
      </c>
      <c r="D106" s="106">
        <f t="shared" si="72"/>
        <v>131700</v>
      </c>
      <c r="E106" s="106">
        <f t="shared" si="72"/>
        <v>132000</v>
      </c>
      <c r="F106" s="106">
        <f t="shared" si="72"/>
        <v>132000</v>
      </c>
      <c r="G106" s="106">
        <f t="shared" si="72"/>
        <v>132000</v>
      </c>
      <c r="H106" s="106">
        <f t="shared" si="72"/>
        <v>132000</v>
      </c>
      <c r="I106" s="106">
        <f t="shared" si="72"/>
        <v>138000</v>
      </c>
      <c r="J106" s="106">
        <f t="shared" si="72"/>
        <v>138924</v>
      </c>
      <c r="K106" s="106">
        <f t="shared" ref="K106" si="73">SUM(K107:K111)</f>
        <v>141924</v>
      </c>
      <c r="L106" s="106">
        <f t="shared" ref="L106" si="74">SUM(L107:L111)</f>
        <v>149124</v>
      </c>
      <c r="M106" s="106">
        <f t="shared" si="72"/>
        <v>25572</v>
      </c>
      <c r="N106" s="728">
        <f t="shared" si="56"/>
        <v>0.17148145167779835</v>
      </c>
      <c r="O106" s="1"/>
    </row>
    <row r="107" spans="1:17" x14ac:dyDescent="0.25">
      <c r="A107" s="149" t="s">
        <v>111</v>
      </c>
      <c r="B107" s="150" t="s">
        <v>112</v>
      </c>
      <c r="C107" s="135">
        <v>40000</v>
      </c>
      <c r="D107" s="135">
        <v>40000</v>
      </c>
      <c r="E107" s="759">
        <f t="shared" ref="E107:L107" si="75">40000-2000</f>
        <v>38000</v>
      </c>
      <c r="F107" s="135">
        <f t="shared" si="75"/>
        <v>38000</v>
      </c>
      <c r="G107" s="135">
        <f t="shared" si="75"/>
        <v>38000</v>
      </c>
      <c r="H107" s="135">
        <f t="shared" si="75"/>
        <v>38000</v>
      </c>
      <c r="I107" s="135">
        <f t="shared" si="75"/>
        <v>38000</v>
      </c>
      <c r="J107" s="135">
        <f t="shared" si="75"/>
        <v>38000</v>
      </c>
      <c r="K107" s="135">
        <f t="shared" si="75"/>
        <v>38000</v>
      </c>
      <c r="L107" s="135">
        <f t="shared" si="75"/>
        <v>38000</v>
      </c>
      <c r="M107" s="135">
        <v>13413</v>
      </c>
      <c r="N107" s="728">
        <f t="shared" si="56"/>
        <v>0.35297368421052633</v>
      </c>
      <c r="O107" s="1"/>
    </row>
    <row r="108" spans="1:17" x14ac:dyDescent="0.25">
      <c r="A108" s="192" t="s">
        <v>113</v>
      </c>
      <c r="B108" s="193" t="s">
        <v>114</v>
      </c>
      <c r="C108" s="55">
        <v>61600</v>
      </c>
      <c r="D108" s="55">
        <v>61600</v>
      </c>
      <c r="E108" s="716">
        <f>61600+1700</f>
        <v>63300</v>
      </c>
      <c r="F108" s="55">
        <f>61600+1700</f>
        <v>63300</v>
      </c>
      <c r="G108" s="55">
        <f>61600+1700</f>
        <v>63300</v>
      </c>
      <c r="H108" s="55">
        <f>61600+1700</f>
        <v>63300</v>
      </c>
      <c r="I108" s="716">
        <f>61600+1700+2000+4000</f>
        <v>69300</v>
      </c>
      <c r="J108" s="55">
        <f>61600+1700+2000+4000</f>
        <v>69300</v>
      </c>
      <c r="K108" s="716">
        <f>61600+1700+2000+4000+3000</f>
        <v>72300</v>
      </c>
      <c r="L108" s="716">
        <f>61600+1700+2000+4000+3000+7200</f>
        <v>79500</v>
      </c>
      <c r="M108" s="55">
        <v>9309</v>
      </c>
      <c r="N108" s="728">
        <f t="shared" si="56"/>
        <v>0.11709433962264151</v>
      </c>
      <c r="O108" s="1"/>
    </row>
    <row r="109" spans="1:17" x14ac:dyDescent="0.25">
      <c r="A109" s="192" t="s">
        <v>115</v>
      </c>
      <c r="B109" s="84" t="s">
        <v>116</v>
      </c>
      <c r="C109" s="55">
        <v>5900</v>
      </c>
      <c r="D109" s="55">
        <v>5900</v>
      </c>
      <c r="E109" s="55">
        <v>5900</v>
      </c>
      <c r="F109" s="55">
        <v>5900</v>
      </c>
      <c r="G109" s="55">
        <v>5900</v>
      </c>
      <c r="H109" s="55">
        <v>5900</v>
      </c>
      <c r="I109" s="55">
        <v>5900</v>
      </c>
      <c r="J109" s="55">
        <v>5900</v>
      </c>
      <c r="K109" s="55">
        <v>5900</v>
      </c>
      <c r="L109" s="55">
        <v>5900</v>
      </c>
      <c r="M109" s="55">
        <v>456</v>
      </c>
      <c r="N109" s="728">
        <f t="shared" si="56"/>
        <v>7.7288135593220342E-2</v>
      </c>
      <c r="O109" s="1"/>
    </row>
    <row r="110" spans="1:17" x14ac:dyDescent="0.25">
      <c r="A110" s="192" t="s">
        <v>117</v>
      </c>
      <c r="B110" s="84" t="s">
        <v>118</v>
      </c>
      <c r="C110" s="55">
        <v>22400</v>
      </c>
      <c r="D110" s="55">
        <v>22400</v>
      </c>
      <c r="E110" s="55">
        <v>22400</v>
      </c>
      <c r="F110" s="55">
        <v>22400</v>
      </c>
      <c r="G110" s="55">
        <v>22400</v>
      </c>
      <c r="H110" s="55">
        <v>22400</v>
      </c>
      <c r="I110" s="55">
        <v>22400</v>
      </c>
      <c r="J110" s="55">
        <v>22400</v>
      </c>
      <c r="K110" s="55">
        <v>22400</v>
      </c>
      <c r="L110" s="55">
        <v>22400</v>
      </c>
      <c r="M110" s="55">
        <v>2294</v>
      </c>
      <c r="N110" s="728">
        <f t="shared" si="56"/>
        <v>0.10241071428571429</v>
      </c>
      <c r="O110" s="1"/>
    </row>
    <row r="111" spans="1:17" ht="15.75" thickBot="1" x14ac:dyDescent="0.3">
      <c r="A111" s="160" t="s">
        <v>119</v>
      </c>
      <c r="B111" s="161" t="s">
        <v>120</v>
      </c>
      <c r="C111" s="182">
        <v>1800</v>
      </c>
      <c r="D111" s="182">
        <v>1800</v>
      </c>
      <c r="E111" s="764">
        <f>1800+100+500</f>
        <v>2400</v>
      </c>
      <c r="F111" s="182">
        <f>1800+100+500</f>
        <v>2400</v>
      </c>
      <c r="G111" s="182">
        <f>1800+100+500</f>
        <v>2400</v>
      </c>
      <c r="H111" s="182">
        <f>1800+100+500</f>
        <v>2400</v>
      </c>
      <c r="I111" s="182">
        <f>1800+100+500</f>
        <v>2400</v>
      </c>
      <c r="J111" s="764">
        <f>1800+100+500+924</f>
        <v>3324</v>
      </c>
      <c r="K111" s="182">
        <f>1800+100+500+924</f>
        <v>3324</v>
      </c>
      <c r="L111" s="182">
        <f>1800+100+500+924</f>
        <v>3324</v>
      </c>
      <c r="M111" s="182">
        <v>100</v>
      </c>
      <c r="N111" s="728">
        <f t="shared" si="56"/>
        <v>3.0084235860409144E-2</v>
      </c>
      <c r="O111" s="1"/>
    </row>
    <row r="112" spans="1:17" ht="15.75" thickBot="1" x14ac:dyDescent="0.3">
      <c r="A112" s="125" t="s">
        <v>121</v>
      </c>
      <c r="B112" s="126"/>
      <c r="C112" s="106">
        <f t="shared" ref="C112:J112" si="76">SUM(C113:C120)</f>
        <v>394150</v>
      </c>
      <c r="D112" s="106">
        <f t="shared" si="76"/>
        <v>393973</v>
      </c>
      <c r="E112" s="106">
        <f t="shared" si="76"/>
        <v>402673</v>
      </c>
      <c r="F112" s="106">
        <f t="shared" si="76"/>
        <v>406536</v>
      </c>
      <c r="G112" s="106">
        <f t="shared" si="76"/>
        <v>411836</v>
      </c>
      <c r="H112" s="106">
        <f t="shared" si="76"/>
        <v>411836</v>
      </c>
      <c r="I112" s="106">
        <f t="shared" si="76"/>
        <v>413558</v>
      </c>
      <c r="J112" s="106">
        <f t="shared" si="76"/>
        <v>413558</v>
      </c>
      <c r="K112" s="106">
        <f t="shared" ref="K112" si="77">SUM(K113:K120)</f>
        <v>421185</v>
      </c>
      <c r="L112" s="106">
        <f t="shared" ref="L112" si="78">SUM(L113:L120)</f>
        <v>421185</v>
      </c>
      <c r="M112" s="106">
        <f>SUM(M113:M120)</f>
        <v>102642</v>
      </c>
      <c r="N112" s="728">
        <f t="shared" si="56"/>
        <v>0.24369813739805549</v>
      </c>
      <c r="O112" s="1"/>
      <c r="P112" s="27"/>
      <c r="Q112" s="27"/>
    </row>
    <row r="113" spans="1:24" x14ac:dyDescent="0.25">
      <c r="A113" s="196" t="s">
        <v>122</v>
      </c>
      <c r="B113" s="197" t="s">
        <v>123</v>
      </c>
      <c r="C113" s="201">
        <v>200400</v>
      </c>
      <c r="D113" s="715">
        <f>200400+3</f>
        <v>200403</v>
      </c>
      <c r="E113" s="715">
        <f>200400+3+5000</f>
        <v>205403</v>
      </c>
      <c r="F113" s="715">
        <f>200400+3+5000+3863</f>
        <v>209266</v>
      </c>
      <c r="G113" s="201">
        <f>200400+3+5000+3863</f>
        <v>209266</v>
      </c>
      <c r="H113" s="201">
        <f>200400+3+5000+3863</f>
        <v>209266</v>
      </c>
      <c r="I113" s="715">
        <f>200400+3+5000+3863+1722</f>
        <v>210988</v>
      </c>
      <c r="J113" s="201">
        <f>200400+3+5000+3863+1722</f>
        <v>210988</v>
      </c>
      <c r="K113" s="715">
        <f>200400+3+5000+3863+1722+7627</f>
        <v>218615</v>
      </c>
      <c r="L113" s="201">
        <f>200400+3+5000+3863+1722+7627</f>
        <v>218615</v>
      </c>
      <c r="M113" s="201">
        <v>56834</v>
      </c>
      <c r="N113" s="728">
        <f t="shared" si="56"/>
        <v>0.25997301191592526</v>
      </c>
      <c r="O113" s="1"/>
    </row>
    <row r="114" spans="1:24" x14ac:dyDescent="0.25">
      <c r="A114" s="578" t="s">
        <v>124</v>
      </c>
      <c r="B114" s="142" t="s">
        <v>340</v>
      </c>
      <c r="C114" s="56">
        <v>0</v>
      </c>
      <c r="D114" s="56">
        <v>0</v>
      </c>
      <c r="E114" s="56">
        <v>0</v>
      </c>
      <c r="F114" s="56">
        <v>0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0</v>
      </c>
      <c r="N114" s="728">
        <v>0</v>
      </c>
      <c r="O114" s="1"/>
    </row>
    <row r="115" spans="1:24" x14ac:dyDescent="0.25">
      <c r="A115" s="202" t="s">
        <v>125</v>
      </c>
      <c r="B115" s="203" t="s">
        <v>512</v>
      </c>
      <c r="C115" s="61">
        <v>6500</v>
      </c>
      <c r="D115" s="61">
        <v>6500</v>
      </c>
      <c r="E115" s="695">
        <f>6500+3700</f>
        <v>10200</v>
      </c>
      <c r="F115" s="61">
        <f>6500+3700</f>
        <v>10200</v>
      </c>
      <c r="G115" s="695">
        <f t="shared" ref="G115:L115" si="79">6500+3700+5300</f>
        <v>15500</v>
      </c>
      <c r="H115" s="61">
        <f t="shared" si="79"/>
        <v>15500</v>
      </c>
      <c r="I115" s="61">
        <f t="shared" si="79"/>
        <v>15500</v>
      </c>
      <c r="J115" s="61">
        <f t="shared" si="79"/>
        <v>15500</v>
      </c>
      <c r="K115" s="61">
        <f t="shared" si="79"/>
        <v>15500</v>
      </c>
      <c r="L115" s="61">
        <f t="shared" si="79"/>
        <v>15500</v>
      </c>
      <c r="M115" s="61">
        <v>1692</v>
      </c>
      <c r="N115" s="728">
        <f t="shared" si="56"/>
        <v>0.10916129032258065</v>
      </c>
      <c r="O115" s="1"/>
    </row>
    <row r="116" spans="1:24" x14ac:dyDescent="0.25">
      <c r="A116" s="202" t="s">
        <v>127</v>
      </c>
      <c r="B116" s="203" t="s">
        <v>128</v>
      </c>
      <c r="C116" s="61">
        <v>36200</v>
      </c>
      <c r="D116" s="61">
        <v>36200</v>
      </c>
      <c r="E116" s="61">
        <v>36200</v>
      </c>
      <c r="F116" s="61">
        <v>36200</v>
      </c>
      <c r="G116" s="61">
        <v>36200</v>
      </c>
      <c r="H116" s="61">
        <v>36200</v>
      </c>
      <c r="I116" s="61">
        <v>36200</v>
      </c>
      <c r="J116" s="61">
        <v>36200</v>
      </c>
      <c r="K116" s="61">
        <v>36200</v>
      </c>
      <c r="L116" s="61">
        <v>36200</v>
      </c>
      <c r="M116" s="61">
        <v>9225</v>
      </c>
      <c r="N116" s="728">
        <f t="shared" si="56"/>
        <v>0.25483425414364641</v>
      </c>
      <c r="O116" s="1"/>
    </row>
    <row r="117" spans="1:24" x14ac:dyDescent="0.25">
      <c r="A117" s="202" t="s">
        <v>129</v>
      </c>
      <c r="B117" s="203" t="s">
        <v>130</v>
      </c>
      <c r="C117" s="60">
        <v>53850</v>
      </c>
      <c r="D117" s="60">
        <v>53850</v>
      </c>
      <c r="E117" s="60">
        <v>53850</v>
      </c>
      <c r="F117" s="60">
        <v>53850</v>
      </c>
      <c r="G117" s="60">
        <v>53850</v>
      </c>
      <c r="H117" s="60">
        <v>53850</v>
      </c>
      <c r="I117" s="60">
        <v>53850</v>
      </c>
      <c r="J117" s="60">
        <v>53850</v>
      </c>
      <c r="K117" s="60">
        <v>53850</v>
      </c>
      <c r="L117" s="60">
        <v>53850</v>
      </c>
      <c r="M117" s="60">
        <v>10514</v>
      </c>
      <c r="N117" s="728">
        <f t="shared" si="56"/>
        <v>0.19524605385329619</v>
      </c>
      <c r="O117" s="1"/>
      <c r="P117" s="381"/>
      <c r="Q117" s="381"/>
      <c r="T117" s="475"/>
    </row>
    <row r="118" spans="1:24" x14ac:dyDescent="0.25">
      <c r="A118" s="202" t="s">
        <v>131</v>
      </c>
      <c r="B118" s="203" t="s">
        <v>195</v>
      </c>
      <c r="C118" s="60">
        <v>94600</v>
      </c>
      <c r="D118" s="694">
        <f t="shared" ref="D118:L118" si="80">94600-160</f>
        <v>94440</v>
      </c>
      <c r="E118" s="60">
        <f t="shared" si="80"/>
        <v>94440</v>
      </c>
      <c r="F118" s="60">
        <f t="shared" si="80"/>
        <v>94440</v>
      </c>
      <c r="G118" s="60">
        <f t="shared" si="80"/>
        <v>94440</v>
      </c>
      <c r="H118" s="60">
        <f t="shared" si="80"/>
        <v>94440</v>
      </c>
      <c r="I118" s="60">
        <f t="shared" si="80"/>
        <v>94440</v>
      </c>
      <c r="J118" s="60">
        <f t="shared" si="80"/>
        <v>94440</v>
      </c>
      <c r="K118" s="60">
        <f t="shared" si="80"/>
        <v>94440</v>
      </c>
      <c r="L118" s="60">
        <f t="shared" si="80"/>
        <v>94440</v>
      </c>
      <c r="M118" s="60">
        <v>23802</v>
      </c>
      <c r="N118" s="728">
        <f t="shared" si="56"/>
        <v>0.25203303684879286</v>
      </c>
      <c r="O118" s="27">
        <f>SUM(C116:C118)</f>
        <v>184650</v>
      </c>
      <c r="P118" s="27">
        <f>SUM(D116:D118)</f>
        <v>184490</v>
      </c>
      <c r="Q118" s="27">
        <f t="shared" ref="Q118" si="81">SUM(M116:M118)</f>
        <v>43541</v>
      </c>
    </row>
    <row r="119" spans="1:24" x14ac:dyDescent="0.25">
      <c r="A119" s="204" t="s">
        <v>132</v>
      </c>
      <c r="B119" s="203" t="s">
        <v>309</v>
      </c>
      <c r="C119" s="208">
        <v>1300</v>
      </c>
      <c r="D119" s="208">
        <v>1300</v>
      </c>
      <c r="E119" s="208">
        <v>1300</v>
      </c>
      <c r="F119" s="208">
        <v>1300</v>
      </c>
      <c r="G119" s="208">
        <v>1300</v>
      </c>
      <c r="H119" s="208">
        <v>1300</v>
      </c>
      <c r="I119" s="208">
        <v>1300</v>
      </c>
      <c r="J119" s="208">
        <v>1300</v>
      </c>
      <c r="K119" s="208">
        <v>1300</v>
      </c>
      <c r="L119" s="208">
        <v>1300</v>
      </c>
      <c r="M119" s="208">
        <v>242</v>
      </c>
      <c r="N119" s="728">
        <f t="shared" si="56"/>
        <v>0.18615384615384614</v>
      </c>
      <c r="O119" s="1"/>
    </row>
    <row r="120" spans="1:24" ht="15.75" thickBot="1" x14ac:dyDescent="0.3">
      <c r="A120" s="202" t="s">
        <v>133</v>
      </c>
      <c r="B120" s="203" t="s">
        <v>207</v>
      </c>
      <c r="C120" s="208">
        <v>1300</v>
      </c>
      <c r="D120" s="723">
        <f t="shared" ref="D120:L120" si="82">1300-20</f>
        <v>1280</v>
      </c>
      <c r="E120" s="208">
        <f t="shared" si="82"/>
        <v>1280</v>
      </c>
      <c r="F120" s="208">
        <f t="shared" si="82"/>
        <v>1280</v>
      </c>
      <c r="G120" s="208">
        <f t="shared" si="82"/>
        <v>1280</v>
      </c>
      <c r="H120" s="208">
        <f t="shared" si="82"/>
        <v>1280</v>
      </c>
      <c r="I120" s="208">
        <f t="shared" si="82"/>
        <v>1280</v>
      </c>
      <c r="J120" s="208">
        <f t="shared" si="82"/>
        <v>1280</v>
      </c>
      <c r="K120" s="208">
        <f t="shared" si="82"/>
        <v>1280</v>
      </c>
      <c r="L120" s="208">
        <f t="shared" si="82"/>
        <v>1280</v>
      </c>
      <c r="M120" s="208">
        <v>333</v>
      </c>
      <c r="N120" s="728">
        <f t="shared" si="56"/>
        <v>0.26015624999999998</v>
      </c>
      <c r="O120" s="1"/>
    </row>
    <row r="121" spans="1:24" ht="15.75" thickBot="1" x14ac:dyDescent="0.3">
      <c r="A121" s="104" t="s">
        <v>134</v>
      </c>
      <c r="B121" s="105"/>
      <c r="C121" s="108">
        <f t="shared" ref="C121:M121" si="83">SUM(C122:C126)</f>
        <v>482770</v>
      </c>
      <c r="D121" s="108">
        <f t="shared" si="83"/>
        <v>485270</v>
      </c>
      <c r="E121" s="108">
        <f t="shared" si="83"/>
        <v>485270</v>
      </c>
      <c r="F121" s="108">
        <f t="shared" si="83"/>
        <v>485270</v>
      </c>
      <c r="G121" s="108">
        <f t="shared" si="83"/>
        <v>485270</v>
      </c>
      <c r="H121" s="108">
        <f t="shared" si="83"/>
        <v>485270</v>
      </c>
      <c r="I121" s="108">
        <f t="shared" si="83"/>
        <v>485850</v>
      </c>
      <c r="J121" s="108">
        <f t="shared" si="83"/>
        <v>485850</v>
      </c>
      <c r="K121" s="108">
        <f t="shared" ref="K121" si="84">SUM(K122:K126)</f>
        <v>485850</v>
      </c>
      <c r="L121" s="108">
        <f t="shared" ref="L121" si="85">SUM(L122:L126)</f>
        <v>481850</v>
      </c>
      <c r="M121" s="108">
        <f t="shared" si="83"/>
        <v>133744</v>
      </c>
      <c r="N121" s="728">
        <f t="shared" si="56"/>
        <v>0.27756355712358616</v>
      </c>
      <c r="O121" s="1"/>
    </row>
    <row r="122" spans="1:24" x14ac:dyDescent="0.25">
      <c r="A122" s="192" t="s">
        <v>135</v>
      </c>
      <c r="B122" s="84" t="s">
        <v>220</v>
      </c>
      <c r="C122" s="55">
        <v>392070</v>
      </c>
      <c r="D122" s="716">
        <f t="shared" ref="D122:K122" si="86">392070-1998</f>
        <v>390072</v>
      </c>
      <c r="E122" s="55">
        <f t="shared" si="86"/>
        <v>390072</v>
      </c>
      <c r="F122" s="55">
        <f t="shared" si="86"/>
        <v>390072</v>
      </c>
      <c r="G122" s="55">
        <f t="shared" si="86"/>
        <v>390072</v>
      </c>
      <c r="H122" s="55">
        <f t="shared" si="86"/>
        <v>390072</v>
      </c>
      <c r="I122" s="55">
        <f t="shared" si="86"/>
        <v>390072</v>
      </c>
      <c r="J122" s="55">
        <f t="shared" si="86"/>
        <v>390072</v>
      </c>
      <c r="K122" s="55">
        <f t="shared" si="86"/>
        <v>390072</v>
      </c>
      <c r="L122" s="716">
        <f>392070-1998-4000</f>
        <v>386072</v>
      </c>
      <c r="M122" s="55">
        <v>98666</v>
      </c>
      <c r="N122" s="728">
        <f t="shared" si="56"/>
        <v>0.2555637290453594</v>
      </c>
      <c r="O122" s="1"/>
    </row>
    <row r="123" spans="1:24" x14ac:dyDescent="0.25">
      <c r="A123" s="192" t="s">
        <v>136</v>
      </c>
      <c r="B123" s="84" t="s">
        <v>137</v>
      </c>
      <c r="C123" s="55">
        <v>73400</v>
      </c>
      <c r="D123" s="716">
        <f t="shared" ref="D123:H123" si="87">73400+3781</f>
        <v>77181</v>
      </c>
      <c r="E123" s="55">
        <f t="shared" si="87"/>
        <v>77181</v>
      </c>
      <c r="F123" s="55">
        <f t="shared" si="87"/>
        <v>77181</v>
      </c>
      <c r="G123" s="55">
        <f t="shared" si="87"/>
        <v>77181</v>
      </c>
      <c r="H123" s="55">
        <f t="shared" si="87"/>
        <v>77181</v>
      </c>
      <c r="I123" s="716">
        <f>73400+3781+580</f>
        <v>77761</v>
      </c>
      <c r="J123" s="55">
        <f>73400+3781+580</f>
        <v>77761</v>
      </c>
      <c r="K123" s="55">
        <f>73400+3781+580</f>
        <v>77761</v>
      </c>
      <c r="L123" s="55">
        <f>73400+3781+580</f>
        <v>77761</v>
      </c>
      <c r="M123" s="55">
        <v>30032</v>
      </c>
      <c r="N123" s="728">
        <f t="shared" si="56"/>
        <v>0.3862090250896979</v>
      </c>
      <c r="O123" s="1"/>
    </row>
    <row r="124" spans="1:24" x14ac:dyDescent="0.25">
      <c r="A124" s="117" t="s">
        <v>138</v>
      </c>
      <c r="B124" s="114" t="s">
        <v>139</v>
      </c>
      <c r="C124" s="60">
        <v>16300</v>
      </c>
      <c r="D124" s="694">
        <f t="shared" ref="D124:L124" si="88">16300+717</f>
        <v>17017</v>
      </c>
      <c r="E124" s="60">
        <f t="shared" si="88"/>
        <v>17017</v>
      </c>
      <c r="F124" s="60">
        <f t="shared" si="88"/>
        <v>17017</v>
      </c>
      <c r="G124" s="60">
        <f t="shared" si="88"/>
        <v>17017</v>
      </c>
      <c r="H124" s="60">
        <f t="shared" si="88"/>
        <v>17017</v>
      </c>
      <c r="I124" s="60">
        <f t="shared" si="88"/>
        <v>17017</v>
      </c>
      <c r="J124" s="60">
        <f t="shared" si="88"/>
        <v>17017</v>
      </c>
      <c r="K124" s="60">
        <f t="shared" si="88"/>
        <v>17017</v>
      </c>
      <c r="L124" s="60">
        <f t="shared" si="88"/>
        <v>17017</v>
      </c>
      <c r="M124" s="60">
        <v>5046</v>
      </c>
      <c r="N124" s="728">
        <f t="shared" si="56"/>
        <v>0.29652700240935537</v>
      </c>
      <c r="O124" s="1"/>
    </row>
    <row r="125" spans="1:24" x14ac:dyDescent="0.25">
      <c r="A125" s="117" t="s">
        <v>140</v>
      </c>
      <c r="B125" s="114" t="s">
        <v>141</v>
      </c>
      <c r="C125" s="60">
        <v>500</v>
      </c>
      <c r="D125" s="60">
        <v>500</v>
      </c>
      <c r="E125" s="60">
        <v>500</v>
      </c>
      <c r="F125" s="60">
        <v>500</v>
      </c>
      <c r="G125" s="60">
        <v>500</v>
      </c>
      <c r="H125" s="60">
        <v>500</v>
      </c>
      <c r="I125" s="60">
        <v>500</v>
      </c>
      <c r="J125" s="60">
        <v>500</v>
      </c>
      <c r="K125" s="60">
        <v>500</v>
      </c>
      <c r="L125" s="60">
        <v>500</v>
      </c>
      <c r="M125" s="60">
        <v>0</v>
      </c>
      <c r="N125" s="728">
        <f t="shared" si="56"/>
        <v>0</v>
      </c>
      <c r="O125" s="1"/>
    </row>
    <row r="126" spans="1:24" ht="15.75" thickBot="1" x14ac:dyDescent="0.3">
      <c r="A126" s="160" t="s">
        <v>142</v>
      </c>
      <c r="B126" s="161" t="s">
        <v>143</v>
      </c>
      <c r="C126" s="182">
        <v>500</v>
      </c>
      <c r="D126" s="182">
        <v>500</v>
      </c>
      <c r="E126" s="182">
        <v>500</v>
      </c>
      <c r="F126" s="182">
        <v>500</v>
      </c>
      <c r="G126" s="182">
        <v>500</v>
      </c>
      <c r="H126" s="182">
        <v>500</v>
      </c>
      <c r="I126" s="182">
        <v>500</v>
      </c>
      <c r="J126" s="182">
        <v>500</v>
      </c>
      <c r="K126" s="182">
        <v>500</v>
      </c>
      <c r="L126" s="182">
        <v>500</v>
      </c>
      <c r="M126" s="182">
        <v>0</v>
      </c>
      <c r="N126" s="728">
        <f t="shared" si="56"/>
        <v>0</v>
      </c>
      <c r="O126" s="1"/>
      <c r="P126" s="27"/>
      <c r="Q126" s="27"/>
    </row>
    <row r="127" spans="1:24" ht="24.75" customHeight="1" thickBot="1" x14ac:dyDescent="0.3">
      <c r="A127" s="209" t="s">
        <v>144</v>
      </c>
      <c r="B127" s="172"/>
      <c r="C127" s="212">
        <f t="shared" ref="C127:M127" si="89">SUM(C77+C83+C85+C88+C92+C97+C102+C106+C112+C121)</f>
        <v>1919385</v>
      </c>
      <c r="D127" s="212">
        <f t="shared" si="89"/>
        <v>1922156</v>
      </c>
      <c r="E127" s="212">
        <f t="shared" si="89"/>
        <v>1939266</v>
      </c>
      <c r="F127" s="212">
        <f t="shared" si="89"/>
        <v>1943129</v>
      </c>
      <c r="G127" s="212">
        <f t="shared" si="89"/>
        <v>1943129</v>
      </c>
      <c r="H127" s="212">
        <f t="shared" si="89"/>
        <v>1943129</v>
      </c>
      <c r="I127" s="212">
        <f t="shared" si="89"/>
        <v>1951446</v>
      </c>
      <c r="J127" s="212">
        <f t="shared" si="89"/>
        <v>1952370</v>
      </c>
      <c r="K127" s="212">
        <f t="shared" ref="K127" si="90">SUM(K77+K83+K85+K88+K92+K97+K102+K106+K112+K121)</f>
        <v>2014202</v>
      </c>
      <c r="L127" s="212">
        <f t="shared" ref="L127" si="91">SUM(L77+L83+L85+L88+L92+L97+L102+L106+L112+L121)</f>
        <v>2015747</v>
      </c>
      <c r="M127" s="212">
        <f t="shared" si="89"/>
        <v>484741</v>
      </c>
      <c r="N127" s="728">
        <f t="shared" si="56"/>
        <v>0.24047710352539281</v>
      </c>
      <c r="O127" s="27">
        <f t="shared" ref="O127:T127" si="92">D127-C127</f>
        <v>2771</v>
      </c>
      <c r="P127" s="27">
        <f t="shared" si="92"/>
        <v>17110</v>
      </c>
      <c r="Q127" s="27">
        <f t="shared" si="92"/>
        <v>3863</v>
      </c>
      <c r="R127" s="27">
        <f t="shared" si="92"/>
        <v>0</v>
      </c>
      <c r="S127" s="27">
        <f t="shared" si="92"/>
        <v>0</v>
      </c>
      <c r="T127" s="27">
        <f t="shared" si="92"/>
        <v>8317</v>
      </c>
      <c r="U127" s="27">
        <f t="shared" ref="U127" si="93">J127-I127</f>
        <v>924</v>
      </c>
      <c r="V127" s="27">
        <f t="shared" ref="V127" si="94">K127-J127</f>
        <v>61832</v>
      </c>
      <c r="W127" s="27">
        <f t="shared" ref="W127" si="95">L127-K127</f>
        <v>1545</v>
      </c>
      <c r="X127" s="27"/>
    </row>
    <row r="128" spans="1:24" x14ac:dyDescent="0.25">
      <c r="A128" s="502" t="s">
        <v>124</v>
      </c>
      <c r="B128" s="213" t="s">
        <v>341</v>
      </c>
      <c r="C128" s="216">
        <f>C64</f>
        <v>720000</v>
      </c>
      <c r="D128" s="715">
        <f t="shared" ref="D128:M128" si="96">D64+D185</f>
        <v>722098</v>
      </c>
      <c r="E128" s="216">
        <f t="shared" si="96"/>
        <v>722098</v>
      </c>
      <c r="F128" s="715">
        <f t="shared" si="96"/>
        <v>711459</v>
      </c>
      <c r="G128" s="216">
        <f t="shared" si="96"/>
        <v>711459</v>
      </c>
      <c r="H128" s="216">
        <f t="shared" si="96"/>
        <v>711459</v>
      </c>
      <c r="I128" s="216">
        <f t="shared" si="96"/>
        <v>715098</v>
      </c>
      <c r="J128" s="216">
        <f t="shared" si="96"/>
        <v>715098</v>
      </c>
      <c r="K128" s="715">
        <f t="shared" ref="K128" si="97">K64+K185</f>
        <v>737900</v>
      </c>
      <c r="L128" s="216">
        <f>L64+L185</f>
        <v>737900</v>
      </c>
      <c r="M128" s="216">
        <f t="shared" si="96"/>
        <v>270167</v>
      </c>
      <c r="N128" s="728">
        <f t="shared" si="56"/>
        <v>0.36612955685052173</v>
      </c>
      <c r="O128" s="1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1:24" ht="15.75" thickBot="1" x14ac:dyDescent="0.3">
      <c r="A129" s="717" t="s">
        <v>124</v>
      </c>
      <c r="B129" s="718" t="s">
        <v>145</v>
      </c>
      <c r="C129" s="719">
        <f t="shared" ref="C129:M129" si="98">C66</f>
        <v>1500</v>
      </c>
      <c r="D129" s="719">
        <f t="shared" si="98"/>
        <v>1500</v>
      </c>
      <c r="E129" s="719">
        <f t="shared" si="98"/>
        <v>1500</v>
      </c>
      <c r="F129" s="719">
        <f t="shared" si="98"/>
        <v>1500</v>
      </c>
      <c r="G129" s="719">
        <f t="shared" si="98"/>
        <v>1500</v>
      </c>
      <c r="H129" s="719">
        <f t="shared" si="98"/>
        <v>1500</v>
      </c>
      <c r="I129" s="719">
        <f t="shared" si="98"/>
        <v>1500</v>
      </c>
      <c r="J129" s="719">
        <f t="shared" si="98"/>
        <v>1500</v>
      </c>
      <c r="K129" s="719">
        <f t="shared" ref="K129" si="99">K66</f>
        <v>1500</v>
      </c>
      <c r="L129" s="719">
        <f t="shared" ref="L129" si="100">L66</f>
        <v>1500</v>
      </c>
      <c r="M129" s="719">
        <f t="shared" si="98"/>
        <v>0</v>
      </c>
      <c r="N129" s="728">
        <f t="shared" si="56"/>
        <v>0</v>
      </c>
      <c r="O129" s="27">
        <f>SUM(G128:G129)</f>
        <v>712959</v>
      </c>
      <c r="P129" s="27">
        <f>SUM(M128:M129)</f>
        <v>270167</v>
      </c>
      <c r="Q129" s="27"/>
      <c r="R129" s="27"/>
      <c r="S129" s="27"/>
      <c r="T129" s="27"/>
      <c r="U129" s="27"/>
      <c r="V129" s="27"/>
      <c r="W129" s="27"/>
      <c r="X129" s="27"/>
    </row>
    <row r="130" spans="1:24" x14ac:dyDescent="0.25">
      <c r="A130" s="226" t="s">
        <v>125</v>
      </c>
      <c r="B130" s="227" t="s">
        <v>148</v>
      </c>
      <c r="C130" s="230">
        <v>34400</v>
      </c>
      <c r="D130" s="230">
        <v>34400</v>
      </c>
      <c r="E130" s="230">
        <v>34400</v>
      </c>
      <c r="F130" s="230">
        <v>34400</v>
      </c>
      <c r="G130" s="230">
        <v>34400</v>
      </c>
      <c r="H130" s="230">
        <v>34400</v>
      </c>
      <c r="I130" s="230">
        <v>34400</v>
      </c>
      <c r="J130" s="230">
        <v>34400</v>
      </c>
      <c r="K130" s="230">
        <v>34400</v>
      </c>
      <c r="L130" s="230">
        <v>34400</v>
      </c>
      <c r="M130" s="230">
        <v>11468</v>
      </c>
      <c r="N130" s="728">
        <f t="shared" si="56"/>
        <v>0.33337209302325582</v>
      </c>
      <c r="O130" s="27"/>
    </row>
    <row r="131" spans="1:24" x14ac:dyDescent="0.25">
      <c r="A131" s="226" t="s">
        <v>125</v>
      </c>
      <c r="B131" s="227" t="s">
        <v>661</v>
      </c>
      <c r="C131" s="230"/>
      <c r="D131" s="230"/>
      <c r="E131" s="230"/>
      <c r="F131" s="230"/>
      <c r="G131" s="230"/>
      <c r="H131" s="230"/>
      <c r="I131" s="230"/>
      <c r="J131" s="230">
        <v>0</v>
      </c>
      <c r="K131" s="705">
        <v>1525</v>
      </c>
      <c r="L131" s="230">
        <v>1525</v>
      </c>
      <c r="M131" s="230"/>
      <c r="N131" s="728"/>
      <c r="O131" s="27"/>
    </row>
    <row r="132" spans="1:24" ht="15.75" thickBot="1" x14ac:dyDescent="0.3">
      <c r="A132" s="217" t="s">
        <v>125</v>
      </c>
      <c r="B132" s="218" t="s">
        <v>149</v>
      </c>
      <c r="C132" s="221">
        <f t="shared" ref="C132:J132" si="101">C67</f>
        <v>3600</v>
      </c>
      <c r="D132" s="221">
        <f t="shared" si="101"/>
        <v>3600</v>
      </c>
      <c r="E132" s="221">
        <f t="shared" si="101"/>
        <v>3600</v>
      </c>
      <c r="F132" s="221">
        <f t="shared" si="101"/>
        <v>3600</v>
      </c>
      <c r="G132" s="221">
        <f t="shared" si="101"/>
        <v>3600</v>
      </c>
      <c r="H132" s="221">
        <f t="shared" si="101"/>
        <v>3600</v>
      </c>
      <c r="I132" s="221">
        <f t="shared" si="101"/>
        <v>3600</v>
      </c>
      <c r="J132" s="221">
        <f t="shared" si="101"/>
        <v>3600</v>
      </c>
      <c r="K132" s="221">
        <f t="shared" ref="K132" si="102">K67</f>
        <v>3600</v>
      </c>
      <c r="L132" s="221">
        <f t="shared" ref="L132" si="103">L67</f>
        <v>3600</v>
      </c>
      <c r="M132" s="221">
        <v>1092</v>
      </c>
      <c r="N132" s="728">
        <f t="shared" si="56"/>
        <v>0.30333333333333334</v>
      </c>
      <c r="O132" s="27">
        <f>SUM(G130:G132)</f>
        <v>38000</v>
      </c>
      <c r="P132" s="27">
        <f>SUM(M130:M132)</f>
        <v>12560</v>
      </c>
      <c r="Q132" s="27"/>
      <c r="R132" s="27"/>
      <c r="S132" s="27"/>
      <c r="T132" s="27"/>
      <c r="U132" s="27"/>
      <c r="V132" s="27"/>
      <c r="W132" s="27"/>
      <c r="X132" s="27"/>
    </row>
    <row r="133" spans="1:24" ht="15.75" thickBot="1" x14ac:dyDescent="0.3">
      <c r="A133" s="903" t="s">
        <v>150</v>
      </c>
      <c r="B133" s="904"/>
      <c r="C133" s="233">
        <f t="shared" ref="C133:M133" si="104">SUM(C128:C132)</f>
        <v>759500</v>
      </c>
      <c r="D133" s="233">
        <f t="shared" si="104"/>
        <v>761598</v>
      </c>
      <c r="E133" s="233">
        <f t="shared" si="104"/>
        <v>761598</v>
      </c>
      <c r="F133" s="233">
        <f t="shared" si="104"/>
        <v>750959</v>
      </c>
      <c r="G133" s="233">
        <f t="shared" si="104"/>
        <v>750959</v>
      </c>
      <c r="H133" s="233">
        <f t="shared" si="104"/>
        <v>750959</v>
      </c>
      <c r="I133" s="233">
        <f t="shared" si="104"/>
        <v>754598</v>
      </c>
      <c r="J133" s="233">
        <f t="shared" si="104"/>
        <v>754598</v>
      </c>
      <c r="K133" s="233">
        <f t="shared" ref="K133" si="105">SUM(K128:K132)</f>
        <v>778925</v>
      </c>
      <c r="L133" s="233">
        <f t="shared" ref="L133" si="106">SUM(L128:L132)</f>
        <v>778925</v>
      </c>
      <c r="M133" s="233">
        <f t="shared" si="104"/>
        <v>282727</v>
      </c>
      <c r="N133" s="728">
        <f t="shared" si="56"/>
        <v>0.36297076098469044</v>
      </c>
      <c r="O133" s="27">
        <f t="shared" ref="O133:T133" si="107">D133-C133</f>
        <v>2098</v>
      </c>
      <c r="P133" s="27">
        <f t="shared" si="107"/>
        <v>0</v>
      </c>
      <c r="Q133" s="27">
        <f t="shared" si="107"/>
        <v>-10639</v>
      </c>
      <c r="R133" s="27">
        <f t="shared" si="107"/>
        <v>0</v>
      </c>
      <c r="S133" s="27">
        <f t="shared" si="107"/>
        <v>0</v>
      </c>
      <c r="T133" s="27">
        <f t="shared" si="107"/>
        <v>3639</v>
      </c>
      <c r="U133" s="27">
        <f t="shared" ref="U133" si="108">J133-I133</f>
        <v>0</v>
      </c>
      <c r="V133" s="27">
        <f t="shared" ref="V133" si="109">K133-J133</f>
        <v>24327</v>
      </c>
      <c r="W133" s="27">
        <f t="shared" ref="W133" si="110">L133-K133</f>
        <v>0</v>
      </c>
      <c r="X133" s="27"/>
    </row>
    <row r="134" spans="1:24" x14ac:dyDescent="0.25">
      <c r="A134" s="234" t="s">
        <v>125</v>
      </c>
      <c r="B134" s="797" t="s">
        <v>151</v>
      </c>
      <c r="C134" s="238">
        <v>298000</v>
      </c>
      <c r="D134" s="238">
        <v>298000</v>
      </c>
      <c r="E134" s="238">
        <v>298000</v>
      </c>
      <c r="F134" s="238">
        <v>298000</v>
      </c>
      <c r="G134" s="238">
        <v>298000</v>
      </c>
      <c r="H134" s="238">
        <v>298000</v>
      </c>
      <c r="I134" s="238">
        <v>298000</v>
      </c>
      <c r="J134" s="238">
        <v>298000</v>
      </c>
      <c r="K134" s="238">
        <v>298000</v>
      </c>
      <c r="L134" s="238">
        <v>298000</v>
      </c>
      <c r="M134" s="238">
        <v>99332</v>
      </c>
      <c r="N134" s="728">
        <f t="shared" si="56"/>
        <v>0.33332885906040266</v>
      </c>
      <c r="O134" s="1"/>
    </row>
    <row r="135" spans="1:24" x14ac:dyDescent="0.25">
      <c r="A135" s="239" t="s">
        <v>125</v>
      </c>
      <c r="B135" s="240" t="s">
        <v>662</v>
      </c>
      <c r="C135" s="89"/>
      <c r="D135" s="89"/>
      <c r="E135" s="89"/>
      <c r="F135" s="89"/>
      <c r="G135" s="89"/>
      <c r="H135" s="89"/>
      <c r="I135" s="89"/>
      <c r="J135" s="89">
        <v>0</v>
      </c>
      <c r="K135" s="705">
        <v>11670</v>
      </c>
      <c r="L135" s="89">
        <v>11670</v>
      </c>
      <c r="M135" s="89">
        <v>0</v>
      </c>
      <c r="N135" s="728">
        <f t="shared" si="56"/>
        <v>0</v>
      </c>
      <c r="O135" s="1"/>
    </row>
    <row r="136" spans="1:24" ht="15.75" thickBot="1" x14ac:dyDescent="0.3">
      <c r="A136" s="239" t="s">
        <v>125</v>
      </c>
      <c r="B136" s="240" t="s">
        <v>152</v>
      </c>
      <c r="C136" s="89">
        <f t="shared" ref="C136:J136" si="111">C69</f>
        <v>13600</v>
      </c>
      <c r="D136" s="89">
        <f t="shared" si="111"/>
        <v>13600</v>
      </c>
      <c r="E136" s="89">
        <f t="shared" si="111"/>
        <v>13600</v>
      </c>
      <c r="F136" s="89">
        <f t="shared" si="111"/>
        <v>13600</v>
      </c>
      <c r="G136" s="89">
        <f t="shared" si="111"/>
        <v>13600</v>
      </c>
      <c r="H136" s="89">
        <f t="shared" si="111"/>
        <v>13600</v>
      </c>
      <c r="I136" s="89">
        <f t="shared" si="111"/>
        <v>13600</v>
      </c>
      <c r="J136" s="89">
        <f t="shared" si="111"/>
        <v>13600</v>
      </c>
      <c r="K136" s="89">
        <f t="shared" ref="K136" si="112">K69</f>
        <v>13600</v>
      </c>
      <c r="L136" s="89">
        <f t="shared" ref="L136" si="113">L69</f>
        <v>13600</v>
      </c>
      <c r="M136" s="89">
        <v>6775</v>
      </c>
      <c r="N136" s="728">
        <f t="shared" si="56"/>
        <v>0.49816176470588236</v>
      </c>
      <c r="O136" s="1"/>
    </row>
    <row r="137" spans="1:24" ht="15.75" thickBot="1" x14ac:dyDescent="0.3">
      <c r="A137" s="886" t="s">
        <v>153</v>
      </c>
      <c r="B137" s="887"/>
      <c r="C137" s="245">
        <f t="shared" ref="C137:M137" si="114">SUM(C134:C136)</f>
        <v>311600</v>
      </c>
      <c r="D137" s="245">
        <f t="shared" si="114"/>
        <v>311600</v>
      </c>
      <c r="E137" s="245">
        <f t="shared" si="114"/>
        <v>311600</v>
      </c>
      <c r="F137" s="245">
        <f t="shared" si="114"/>
        <v>311600</v>
      </c>
      <c r="G137" s="245">
        <f t="shared" si="114"/>
        <v>311600</v>
      </c>
      <c r="H137" s="245">
        <f t="shared" si="114"/>
        <v>311600</v>
      </c>
      <c r="I137" s="245">
        <f t="shared" si="114"/>
        <v>311600</v>
      </c>
      <c r="J137" s="245">
        <f t="shared" si="114"/>
        <v>311600</v>
      </c>
      <c r="K137" s="245">
        <f t="shared" ref="K137" si="115">SUM(K134:K136)</f>
        <v>323270</v>
      </c>
      <c r="L137" s="245">
        <f t="shared" ref="L137" si="116">SUM(L134:L136)</f>
        <v>323270</v>
      </c>
      <c r="M137" s="245">
        <f t="shared" si="114"/>
        <v>106107</v>
      </c>
      <c r="N137" s="728">
        <f t="shared" si="56"/>
        <v>0.32823027190893062</v>
      </c>
      <c r="O137" s="27">
        <f t="shared" ref="O137:T139" si="117">D137-C137</f>
        <v>0</v>
      </c>
      <c r="P137" s="27">
        <f t="shared" si="117"/>
        <v>0</v>
      </c>
      <c r="Q137" s="27">
        <f t="shared" si="117"/>
        <v>0</v>
      </c>
      <c r="R137" s="27">
        <f t="shared" si="117"/>
        <v>0</v>
      </c>
      <c r="S137" s="27">
        <f t="shared" si="117"/>
        <v>0</v>
      </c>
      <c r="T137" s="27">
        <f t="shared" si="117"/>
        <v>0</v>
      </c>
      <c r="U137" s="27">
        <f t="shared" ref="U137:U139" si="118">J137-I137</f>
        <v>0</v>
      </c>
      <c r="V137" s="27">
        <f t="shared" ref="V137:V139" si="119">K137-J137</f>
        <v>11670</v>
      </c>
      <c r="W137" s="27">
        <f t="shared" ref="W137:W139" si="120">L137-K137</f>
        <v>0</v>
      </c>
      <c r="X137" s="27"/>
    </row>
    <row r="138" spans="1:24" ht="22.5" customHeight="1" thickBot="1" x14ac:dyDescent="0.3">
      <c r="A138" s="872" t="s">
        <v>154</v>
      </c>
      <c r="B138" s="873"/>
      <c r="C138" s="248">
        <f t="shared" ref="C138:M138" si="121">C133+C137</f>
        <v>1071100</v>
      </c>
      <c r="D138" s="248">
        <f t="shared" si="121"/>
        <v>1073198</v>
      </c>
      <c r="E138" s="248">
        <f t="shared" si="121"/>
        <v>1073198</v>
      </c>
      <c r="F138" s="248">
        <f t="shared" si="121"/>
        <v>1062559</v>
      </c>
      <c r="G138" s="248">
        <f t="shared" si="121"/>
        <v>1062559</v>
      </c>
      <c r="H138" s="248">
        <f t="shared" si="121"/>
        <v>1062559</v>
      </c>
      <c r="I138" s="248">
        <f t="shared" si="121"/>
        <v>1066198</v>
      </c>
      <c r="J138" s="248">
        <f t="shared" si="121"/>
        <v>1066198</v>
      </c>
      <c r="K138" s="248">
        <f t="shared" ref="K138" si="122">K133+K137</f>
        <v>1102195</v>
      </c>
      <c r="L138" s="248">
        <f t="shared" ref="L138" si="123">L133+L137</f>
        <v>1102195</v>
      </c>
      <c r="M138" s="248">
        <f t="shared" si="121"/>
        <v>388834</v>
      </c>
      <c r="N138" s="728">
        <f t="shared" si="56"/>
        <v>0.35278149510749007</v>
      </c>
      <c r="O138" s="27">
        <f t="shared" si="117"/>
        <v>2098</v>
      </c>
      <c r="P138" s="27">
        <f t="shared" si="117"/>
        <v>0</v>
      </c>
      <c r="Q138" s="27">
        <f t="shared" si="117"/>
        <v>-10639</v>
      </c>
      <c r="R138" s="27">
        <f t="shared" si="117"/>
        <v>0</v>
      </c>
      <c r="S138" s="27">
        <f t="shared" si="117"/>
        <v>0</v>
      </c>
      <c r="T138" s="27">
        <f t="shared" si="117"/>
        <v>3639</v>
      </c>
      <c r="U138" s="27">
        <f t="shared" si="118"/>
        <v>0</v>
      </c>
      <c r="V138" s="27">
        <f t="shared" si="119"/>
        <v>35997</v>
      </c>
      <c r="W138" s="27">
        <f t="shared" si="120"/>
        <v>0</v>
      </c>
      <c r="X138" s="27"/>
    </row>
    <row r="139" spans="1:24" ht="27.75" customHeight="1" thickBot="1" x14ac:dyDescent="0.3">
      <c r="A139" s="249" t="s">
        <v>155</v>
      </c>
      <c r="B139" s="140"/>
      <c r="C139" s="252">
        <f t="shared" ref="C139:M139" si="124">C127+C138</f>
        <v>2990485</v>
      </c>
      <c r="D139" s="252">
        <f t="shared" si="124"/>
        <v>2995354</v>
      </c>
      <c r="E139" s="252">
        <f t="shared" si="124"/>
        <v>3012464</v>
      </c>
      <c r="F139" s="252">
        <f t="shared" si="124"/>
        <v>3005688</v>
      </c>
      <c r="G139" s="252">
        <f t="shared" si="124"/>
        <v>3005688</v>
      </c>
      <c r="H139" s="252">
        <f t="shared" si="124"/>
        <v>3005688</v>
      </c>
      <c r="I139" s="252">
        <f t="shared" si="124"/>
        <v>3017644</v>
      </c>
      <c r="J139" s="252">
        <f t="shared" si="124"/>
        <v>3018568</v>
      </c>
      <c r="K139" s="252">
        <f t="shared" ref="K139" si="125">K127+K138</f>
        <v>3116397</v>
      </c>
      <c r="L139" s="252">
        <f t="shared" ref="L139" si="126">L127+L138</f>
        <v>3117942</v>
      </c>
      <c r="M139" s="252">
        <f t="shared" si="124"/>
        <v>873575</v>
      </c>
      <c r="N139" s="728">
        <f t="shared" si="56"/>
        <v>0.28017679610461005</v>
      </c>
      <c r="O139" s="27">
        <f t="shared" si="117"/>
        <v>4869</v>
      </c>
      <c r="P139" s="27">
        <f t="shared" si="117"/>
        <v>17110</v>
      </c>
      <c r="Q139" s="27">
        <f t="shared" si="117"/>
        <v>-6776</v>
      </c>
      <c r="R139" s="27">
        <f t="shared" si="117"/>
        <v>0</v>
      </c>
      <c r="S139" s="27">
        <f t="shared" si="117"/>
        <v>0</v>
      </c>
      <c r="T139" s="27">
        <f t="shared" si="117"/>
        <v>11956</v>
      </c>
      <c r="U139" s="27">
        <f t="shared" si="118"/>
        <v>924</v>
      </c>
      <c r="V139" s="27">
        <f t="shared" si="119"/>
        <v>97829</v>
      </c>
      <c r="W139" s="27">
        <f t="shared" si="120"/>
        <v>1545</v>
      </c>
      <c r="X139" s="27"/>
    </row>
    <row r="140" spans="1:2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7">
        <f>K139-J139</f>
        <v>97829</v>
      </c>
      <c r="L140" s="1"/>
      <c r="M140" s="1"/>
      <c r="N140" s="728"/>
      <c r="O140" s="1"/>
    </row>
    <row r="141" spans="1:2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728"/>
      <c r="O141" s="1"/>
    </row>
    <row r="142" spans="1:24" ht="18.75" thickBot="1" x14ac:dyDescent="0.3">
      <c r="A142" s="874" t="s">
        <v>156</v>
      </c>
      <c r="B142" s="875"/>
      <c r="C142" s="875"/>
      <c r="D142" s="875"/>
      <c r="E142" s="875"/>
      <c r="F142" s="875"/>
      <c r="G142" s="875"/>
      <c r="H142" s="875"/>
      <c r="I142" s="875"/>
      <c r="J142" s="875"/>
      <c r="K142" s="875"/>
      <c r="L142" s="875"/>
      <c r="M142" s="875"/>
      <c r="N142" s="728"/>
      <c r="O142" s="1"/>
    </row>
    <row r="143" spans="1:24" ht="38.25" customHeight="1" thickBot="1" x14ac:dyDescent="0.3">
      <c r="A143" s="876" t="s">
        <v>1</v>
      </c>
      <c r="B143" s="877"/>
      <c r="C143" s="387" t="s">
        <v>467</v>
      </c>
      <c r="D143" s="387" t="s">
        <v>465</v>
      </c>
      <c r="E143" s="387" t="s">
        <v>483</v>
      </c>
      <c r="F143" s="387" t="s">
        <v>500</v>
      </c>
      <c r="G143" s="387" t="s">
        <v>533</v>
      </c>
      <c r="H143" s="387" t="s">
        <v>578</v>
      </c>
      <c r="I143" s="387" t="s">
        <v>610</v>
      </c>
      <c r="J143" s="387" t="s">
        <v>579</v>
      </c>
      <c r="K143" s="387" t="s">
        <v>646</v>
      </c>
      <c r="L143" s="387" t="s">
        <v>637</v>
      </c>
      <c r="M143" s="387" t="s">
        <v>633</v>
      </c>
      <c r="N143" s="728"/>
      <c r="O143" s="1"/>
    </row>
    <row r="144" spans="1:24" ht="16.5" thickBot="1" x14ac:dyDescent="0.3">
      <c r="A144" s="878" t="s">
        <v>157</v>
      </c>
      <c r="B144" s="879"/>
      <c r="C144" s="253">
        <f t="shared" ref="C144:M144" si="127">SUM(C145:C156)</f>
        <v>2593450</v>
      </c>
      <c r="D144" s="253">
        <f t="shared" si="127"/>
        <v>2523450</v>
      </c>
      <c r="E144" s="253">
        <f t="shared" si="127"/>
        <v>2511270</v>
      </c>
      <c r="F144" s="253">
        <f t="shared" si="127"/>
        <v>2511270</v>
      </c>
      <c r="G144" s="253">
        <f t="shared" si="127"/>
        <v>2541070</v>
      </c>
      <c r="H144" s="253">
        <f t="shared" si="127"/>
        <v>2541070</v>
      </c>
      <c r="I144" s="253">
        <f t="shared" si="127"/>
        <v>2541070</v>
      </c>
      <c r="J144" s="253">
        <f t="shared" si="127"/>
        <v>2541070</v>
      </c>
      <c r="K144" s="253">
        <f t="shared" ref="K144" si="128">SUM(K145:K156)</f>
        <v>2541070</v>
      </c>
      <c r="L144" s="253">
        <f t="shared" si="127"/>
        <v>2614470</v>
      </c>
      <c r="M144" s="253">
        <f t="shared" si="127"/>
        <v>0</v>
      </c>
      <c r="N144" s="728">
        <f t="shared" si="56"/>
        <v>0</v>
      </c>
      <c r="O144" s="27">
        <f>D144-C144</f>
        <v>-70000</v>
      </c>
      <c r="P144" s="27">
        <f>E144-D144</f>
        <v>-12180</v>
      </c>
      <c r="Q144" s="27">
        <f>F144-E144</f>
        <v>0</v>
      </c>
      <c r="R144" s="27">
        <f>G144-F144</f>
        <v>29800</v>
      </c>
      <c r="S144" s="27">
        <f t="shared" ref="S144:W144" si="129">H144-G144</f>
        <v>0</v>
      </c>
      <c r="T144" s="27">
        <f t="shared" si="129"/>
        <v>0</v>
      </c>
      <c r="U144" s="27">
        <f t="shared" si="129"/>
        <v>0</v>
      </c>
      <c r="V144" s="27">
        <f t="shared" si="129"/>
        <v>0</v>
      </c>
      <c r="W144" s="27">
        <f t="shared" si="129"/>
        <v>73400</v>
      </c>
    </row>
    <row r="145" spans="1:23" ht="15.75" thickBot="1" x14ac:dyDescent="0.3">
      <c r="A145" s="77">
        <v>233</v>
      </c>
      <c r="B145" s="311" t="s">
        <v>158</v>
      </c>
      <c r="C145" s="255">
        <v>3000</v>
      </c>
      <c r="D145" s="255">
        <v>3000</v>
      </c>
      <c r="E145" s="255">
        <v>3000</v>
      </c>
      <c r="F145" s="255">
        <v>3000</v>
      </c>
      <c r="G145" s="255">
        <v>3000</v>
      </c>
      <c r="H145" s="255">
        <v>3000</v>
      </c>
      <c r="I145" s="255">
        <v>3000</v>
      </c>
      <c r="J145" s="255">
        <v>3000</v>
      </c>
      <c r="K145" s="255">
        <v>3000</v>
      </c>
      <c r="L145" s="255">
        <v>3000</v>
      </c>
      <c r="M145" s="255">
        <v>0</v>
      </c>
      <c r="N145" s="728">
        <f t="shared" si="56"/>
        <v>0</v>
      </c>
      <c r="O145" s="1"/>
    </row>
    <row r="146" spans="1:23" x14ac:dyDescent="0.25">
      <c r="A146" s="261">
        <v>322</v>
      </c>
      <c r="B146" s="264" t="s">
        <v>356</v>
      </c>
      <c r="C146" s="260">
        <v>145000</v>
      </c>
      <c r="D146" s="260">
        <v>145000</v>
      </c>
      <c r="E146" s="260">
        <v>145000</v>
      </c>
      <c r="F146" s="260">
        <v>145000</v>
      </c>
      <c r="G146" s="260">
        <v>145000</v>
      </c>
      <c r="H146" s="260">
        <v>145000</v>
      </c>
      <c r="I146" s="260">
        <v>145000</v>
      </c>
      <c r="J146" s="260">
        <v>145000</v>
      </c>
      <c r="K146" s="260">
        <v>145000</v>
      </c>
      <c r="L146" s="260">
        <v>145000</v>
      </c>
      <c r="M146" s="699">
        <v>0</v>
      </c>
      <c r="N146" s="728">
        <f t="shared" si="56"/>
        <v>0</v>
      </c>
      <c r="O146" s="1"/>
    </row>
    <row r="147" spans="1:23" x14ac:dyDescent="0.25">
      <c r="A147" s="261">
        <v>322</v>
      </c>
      <c r="B147" s="76" t="s">
        <v>355</v>
      </c>
      <c r="C147" s="263">
        <v>430000</v>
      </c>
      <c r="D147" s="263">
        <v>430000</v>
      </c>
      <c r="E147" s="263">
        <v>430000</v>
      </c>
      <c r="F147" s="263">
        <v>430000</v>
      </c>
      <c r="G147" s="263">
        <v>430000</v>
      </c>
      <c r="H147" s="263">
        <v>430000</v>
      </c>
      <c r="I147" s="263">
        <v>430000</v>
      </c>
      <c r="J147" s="263">
        <v>430000</v>
      </c>
      <c r="K147" s="263">
        <v>430000</v>
      </c>
      <c r="L147" s="263">
        <v>430000</v>
      </c>
      <c r="M147" s="263">
        <v>0</v>
      </c>
      <c r="N147" s="728">
        <f t="shared" si="56"/>
        <v>0</v>
      </c>
      <c r="O147" s="1"/>
    </row>
    <row r="148" spans="1:23" x14ac:dyDescent="0.25">
      <c r="A148" s="261">
        <v>322</v>
      </c>
      <c r="B148" s="84" t="s">
        <v>348</v>
      </c>
      <c r="C148" s="263">
        <v>138200</v>
      </c>
      <c r="D148" s="263">
        <v>138200</v>
      </c>
      <c r="E148" s="263">
        <v>138200</v>
      </c>
      <c r="F148" s="263">
        <v>138200</v>
      </c>
      <c r="G148" s="263">
        <v>138200</v>
      </c>
      <c r="H148" s="263">
        <v>138200</v>
      </c>
      <c r="I148" s="263">
        <v>138200</v>
      </c>
      <c r="J148" s="263">
        <v>138200</v>
      </c>
      <c r="K148" s="263">
        <v>138200</v>
      </c>
      <c r="L148" s="263">
        <v>138200</v>
      </c>
      <c r="M148" s="260">
        <v>0</v>
      </c>
      <c r="N148" s="728">
        <f t="shared" si="56"/>
        <v>0</v>
      </c>
      <c r="O148" s="1"/>
    </row>
    <row r="149" spans="1:23" x14ac:dyDescent="0.25">
      <c r="A149" s="261">
        <v>322</v>
      </c>
      <c r="B149" s="76" t="s">
        <v>353</v>
      </c>
      <c r="C149" s="263">
        <v>1146000</v>
      </c>
      <c r="D149" s="263">
        <v>1146000</v>
      </c>
      <c r="E149" s="263">
        <v>1146000</v>
      </c>
      <c r="F149" s="263">
        <v>1146000</v>
      </c>
      <c r="G149" s="263">
        <v>1146000</v>
      </c>
      <c r="H149" s="263">
        <v>1146000</v>
      </c>
      <c r="I149" s="263">
        <v>1146000</v>
      </c>
      <c r="J149" s="263">
        <v>1146000</v>
      </c>
      <c r="K149" s="263">
        <v>1146000</v>
      </c>
      <c r="L149" s="263">
        <v>1146000</v>
      </c>
      <c r="M149" s="260">
        <v>0</v>
      </c>
      <c r="N149" s="728">
        <f t="shared" si="56"/>
        <v>0</v>
      </c>
      <c r="O149" s="1"/>
    </row>
    <row r="150" spans="1:23" x14ac:dyDescent="0.25">
      <c r="A150" s="258">
        <v>322</v>
      </c>
      <c r="B150" s="72" t="s">
        <v>352</v>
      </c>
      <c r="C150" s="260">
        <v>379400</v>
      </c>
      <c r="D150" s="260">
        <v>379400</v>
      </c>
      <c r="E150" s="763">
        <f t="shared" ref="E150:L150" si="130">379400+680</f>
        <v>380080</v>
      </c>
      <c r="F150" s="260">
        <f t="shared" si="130"/>
        <v>380080</v>
      </c>
      <c r="G150" s="260">
        <f t="shared" si="130"/>
        <v>380080</v>
      </c>
      <c r="H150" s="260">
        <f t="shared" si="130"/>
        <v>380080</v>
      </c>
      <c r="I150" s="260">
        <f t="shared" si="130"/>
        <v>380080</v>
      </c>
      <c r="J150" s="260">
        <f t="shared" si="130"/>
        <v>380080</v>
      </c>
      <c r="K150" s="260">
        <f t="shared" si="130"/>
        <v>380080</v>
      </c>
      <c r="L150" s="260">
        <f t="shared" si="130"/>
        <v>380080</v>
      </c>
      <c r="M150" s="260">
        <v>0</v>
      </c>
      <c r="N150" s="728">
        <f t="shared" si="56"/>
        <v>0</v>
      </c>
      <c r="O150" s="1"/>
    </row>
    <row r="151" spans="1:23" x14ac:dyDescent="0.25">
      <c r="A151" s="258">
        <v>322</v>
      </c>
      <c r="B151" s="72" t="s">
        <v>351</v>
      </c>
      <c r="C151" s="257">
        <v>50000</v>
      </c>
      <c r="D151" s="257">
        <v>50000</v>
      </c>
      <c r="E151" s="257">
        <v>50000</v>
      </c>
      <c r="F151" s="257">
        <v>50000</v>
      </c>
      <c r="G151" s="257">
        <v>50000</v>
      </c>
      <c r="H151" s="257">
        <v>50000</v>
      </c>
      <c r="I151" s="257">
        <v>50000</v>
      </c>
      <c r="J151" s="257">
        <v>50000</v>
      </c>
      <c r="K151" s="257">
        <v>50000</v>
      </c>
      <c r="L151" s="257">
        <v>50000</v>
      </c>
      <c r="M151" s="260">
        <v>0</v>
      </c>
      <c r="N151" s="728">
        <f t="shared" si="56"/>
        <v>0</v>
      </c>
      <c r="O151" s="1"/>
    </row>
    <row r="152" spans="1:23" x14ac:dyDescent="0.25">
      <c r="A152" s="258">
        <v>322</v>
      </c>
      <c r="B152" s="114" t="s">
        <v>349</v>
      </c>
      <c r="C152" s="257">
        <v>196500</v>
      </c>
      <c r="D152" s="257">
        <v>196500</v>
      </c>
      <c r="E152" s="688">
        <f t="shared" ref="E152:L152" si="131">196500-12860</f>
        <v>183640</v>
      </c>
      <c r="F152" s="257">
        <f t="shared" si="131"/>
        <v>183640</v>
      </c>
      <c r="G152" s="257">
        <f t="shared" si="131"/>
        <v>183640</v>
      </c>
      <c r="H152" s="257">
        <f t="shared" si="131"/>
        <v>183640</v>
      </c>
      <c r="I152" s="257">
        <f t="shared" si="131"/>
        <v>183640</v>
      </c>
      <c r="J152" s="257">
        <f t="shared" si="131"/>
        <v>183640</v>
      </c>
      <c r="K152" s="257">
        <f t="shared" si="131"/>
        <v>183640</v>
      </c>
      <c r="L152" s="257">
        <f t="shared" si="131"/>
        <v>183640</v>
      </c>
      <c r="M152" s="260">
        <v>0</v>
      </c>
      <c r="N152" s="728">
        <f t="shared" si="56"/>
        <v>0</v>
      </c>
      <c r="O152" s="1"/>
    </row>
    <row r="153" spans="1:23" x14ac:dyDescent="0.25">
      <c r="A153" s="258">
        <v>322</v>
      </c>
      <c r="B153" s="114" t="s">
        <v>635</v>
      </c>
      <c r="C153" s="257">
        <v>0</v>
      </c>
      <c r="D153" s="257">
        <v>0</v>
      </c>
      <c r="E153" s="257">
        <v>0</v>
      </c>
      <c r="F153" s="257">
        <v>0</v>
      </c>
      <c r="G153" s="688">
        <v>29800</v>
      </c>
      <c r="H153" s="257">
        <v>29800</v>
      </c>
      <c r="I153" s="257">
        <v>29800</v>
      </c>
      <c r="J153" s="257">
        <v>29800</v>
      </c>
      <c r="K153" s="257">
        <v>29800</v>
      </c>
      <c r="L153" s="257">
        <v>29800</v>
      </c>
      <c r="M153" s="260">
        <v>0</v>
      </c>
      <c r="N153" s="728">
        <f t="shared" ref="N153:N198" si="132">M153/L153</f>
        <v>0</v>
      </c>
      <c r="O153" s="1"/>
    </row>
    <row r="154" spans="1:23" x14ac:dyDescent="0.25">
      <c r="A154" s="258">
        <v>322</v>
      </c>
      <c r="B154" s="264" t="s">
        <v>286</v>
      </c>
      <c r="C154" s="257">
        <v>70000</v>
      </c>
      <c r="D154" s="688">
        <f t="shared" ref="D154:L154" si="133">70000-70000</f>
        <v>0</v>
      </c>
      <c r="E154" s="257">
        <f t="shared" si="133"/>
        <v>0</v>
      </c>
      <c r="F154" s="257">
        <f t="shared" si="133"/>
        <v>0</v>
      </c>
      <c r="G154" s="257">
        <f t="shared" si="133"/>
        <v>0</v>
      </c>
      <c r="H154" s="257">
        <f t="shared" si="133"/>
        <v>0</v>
      </c>
      <c r="I154" s="257">
        <f t="shared" si="133"/>
        <v>0</v>
      </c>
      <c r="J154" s="257">
        <f t="shared" si="133"/>
        <v>0</v>
      </c>
      <c r="K154" s="257">
        <f t="shared" si="133"/>
        <v>0</v>
      </c>
      <c r="L154" s="257">
        <f t="shared" si="133"/>
        <v>0</v>
      </c>
      <c r="M154" s="260">
        <v>0</v>
      </c>
      <c r="N154" s="728">
        <v>0</v>
      </c>
      <c r="O154" s="1"/>
    </row>
    <row r="155" spans="1:23" x14ac:dyDescent="0.25">
      <c r="A155" s="506">
        <v>322</v>
      </c>
      <c r="B155" s="522" t="s">
        <v>638</v>
      </c>
      <c r="C155" s="257">
        <v>0</v>
      </c>
      <c r="D155" s="257">
        <v>0</v>
      </c>
      <c r="E155" s="257">
        <v>0</v>
      </c>
      <c r="F155" s="257">
        <v>0</v>
      </c>
      <c r="G155" s="257">
        <v>0</v>
      </c>
      <c r="H155" s="257">
        <v>0</v>
      </c>
      <c r="I155" s="257">
        <v>0</v>
      </c>
      <c r="J155" s="257">
        <v>0</v>
      </c>
      <c r="K155" s="257">
        <v>0</v>
      </c>
      <c r="L155" s="688">
        <v>73400</v>
      </c>
      <c r="M155" s="260">
        <v>0</v>
      </c>
      <c r="N155" s="728">
        <f t="shared" si="132"/>
        <v>0</v>
      </c>
      <c r="O155" s="1"/>
    </row>
    <row r="156" spans="1:23" ht="15.75" thickBot="1" x14ac:dyDescent="0.3">
      <c r="A156" s="506">
        <v>322</v>
      </c>
      <c r="B156" s="522" t="s">
        <v>287</v>
      </c>
      <c r="C156" s="257">
        <f t="shared" ref="C156:L156" si="134">140750-105400</f>
        <v>35350</v>
      </c>
      <c r="D156" s="257">
        <f t="shared" si="134"/>
        <v>35350</v>
      </c>
      <c r="E156" s="257">
        <f t="shared" si="134"/>
        <v>35350</v>
      </c>
      <c r="F156" s="257">
        <f t="shared" si="134"/>
        <v>35350</v>
      </c>
      <c r="G156" s="257">
        <f t="shared" si="134"/>
        <v>35350</v>
      </c>
      <c r="H156" s="257">
        <f t="shared" si="134"/>
        <v>35350</v>
      </c>
      <c r="I156" s="257">
        <f t="shared" si="134"/>
        <v>35350</v>
      </c>
      <c r="J156" s="257">
        <f t="shared" si="134"/>
        <v>35350</v>
      </c>
      <c r="K156" s="257">
        <f t="shared" si="134"/>
        <v>35350</v>
      </c>
      <c r="L156" s="257">
        <f t="shared" si="134"/>
        <v>35350</v>
      </c>
      <c r="M156" s="260">
        <v>0</v>
      </c>
      <c r="N156" s="728">
        <f t="shared" si="132"/>
        <v>0</v>
      </c>
      <c r="O156" s="27">
        <f>SUM(J146:J156)</f>
        <v>2538070</v>
      </c>
      <c r="P156" s="27">
        <f>SUM(M146:M156)</f>
        <v>0</v>
      </c>
      <c r="Q156" s="27"/>
    </row>
    <row r="157" spans="1:23" ht="16.5" thickBot="1" x14ac:dyDescent="0.3">
      <c r="A157" s="878" t="s">
        <v>161</v>
      </c>
      <c r="B157" s="879"/>
      <c r="C157" s="253">
        <f t="shared" ref="C157:M157" si="135">SUM(C158:C176)</f>
        <v>3144736</v>
      </c>
      <c r="D157" s="253">
        <f t="shared" si="135"/>
        <v>3137146</v>
      </c>
      <c r="E157" s="253">
        <f t="shared" si="135"/>
        <v>3124966</v>
      </c>
      <c r="F157" s="253">
        <f t="shared" si="135"/>
        <v>3124966</v>
      </c>
      <c r="G157" s="253">
        <f t="shared" si="135"/>
        <v>3154766</v>
      </c>
      <c r="H157" s="253">
        <f t="shared" si="135"/>
        <v>3154766</v>
      </c>
      <c r="I157" s="253">
        <f t="shared" si="135"/>
        <v>3154766</v>
      </c>
      <c r="J157" s="253">
        <f t="shared" si="135"/>
        <v>3154766</v>
      </c>
      <c r="K157" s="253">
        <f t="shared" ref="K157" si="136">SUM(K158:K176)</f>
        <v>3154766</v>
      </c>
      <c r="L157" s="253">
        <f t="shared" si="135"/>
        <v>3228166</v>
      </c>
      <c r="M157" s="253">
        <f t="shared" si="135"/>
        <v>66353</v>
      </c>
      <c r="N157" s="728">
        <f t="shared" si="132"/>
        <v>2.0554395282027009E-2</v>
      </c>
      <c r="O157" s="27">
        <f>D157-C157</f>
        <v>-7590</v>
      </c>
      <c r="P157" s="27">
        <f>E157-D157</f>
        <v>-12180</v>
      </c>
      <c r="Q157" s="27">
        <f>F157-E157</f>
        <v>0</v>
      </c>
      <c r="R157" s="27">
        <f>G157-F157</f>
        <v>29800</v>
      </c>
      <c r="S157" s="27">
        <f t="shared" ref="S157:W157" si="137">H157-G157</f>
        <v>0</v>
      </c>
      <c r="T157" s="27">
        <f t="shared" si="137"/>
        <v>0</v>
      </c>
      <c r="U157" s="27">
        <f t="shared" si="137"/>
        <v>0</v>
      </c>
      <c r="V157" s="27">
        <f t="shared" si="137"/>
        <v>0</v>
      </c>
      <c r="W157" s="27">
        <f t="shared" si="137"/>
        <v>73400</v>
      </c>
    </row>
    <row r="158" spans="1:23" x14ac:dyDescent="0.25">
      <c r="A158" s="710" t="s">
        <v>82</v>
      </c>
      <c r="B158" s="711" t="s">
        <v>200</v>
      </c>
      <c r="C158" s="268">
        <v>30000</v>
      </c>
      <c r="D158" s="268">
        <v>30000</v>
      </c>
      <c r="E158" s="268">
        <v>30000</v>
      </c>
      <c r="F158" s="268">
        <v>30000</v>
      </c>
      <c r="G158" s="268">
        <v>30000</v>
      </c>
      <c r="H158" s="268">
        <v>30000</v>
      </c>
      <c r="I158" s="268">
        <v>30000</v>
      </c>
      <c r="J158" s="268">
        <v>30000</v>
      </c>
      <c r="K158" s="268">
        <v>30000</v>
      </c>
      <c r="L158" s="268">
        <v>30000</v>
      </c>
      <c r="M158" s="268">
        <v>7280</v>
      </c>
      <c r="N158" s="728">
        <f t="shared" si="132"/>
        <v>0.24266666666666667</v>
      </c>
      <c r="O158" s="27"/>
    </row>
    <row r="159" spans="1:23" x14ac:dyDescent="0.25">
      <c r="A159" s="275" t="s">
        <v>82</v>
      </c>
      <c r="B159" s="265" t="s">
        <v>163</v>
      </c>
      <c r="C159" s="276">
        <v>1500</v>
      </c>
      <c r="D159" s="276">
        <v>1500</v>
      </c>
      <c r="E159" s="276">
        <v>1500</v>
      </c>
      <c r="F159" s="276">
        <v>1500</v>
      </c>
      <c r="G159" s="276">
        <v>1500</v>
      </c>
      <c r="H159" s="276">
        <v>1500</v>
      </c>
      <c r="I159" s="276">
        <v>1500</v>
      </c>
      <c r="J159" s="276">
        <v>1500</v>
      </c>
      <c r="K159" s="276">
        <v>1500</v>
      </c>
      <c r="L159" s="276">
        <v>1500</v>
      </c>
      <c r="M159" s="276">
        <v>0</v>
      </c>
      <c r="N159" s="728">
        <f t="shared" si="132"/>
        <v>0</v>
      </c>
      <c r="O159" s="1"/>
    </row>
    <row r="160" spans="1:23" x14ac:dyDescent="0.25">
      <c r="A160" s="280" t="s">
        <v>87</v>
      </c>
      <c r="B160" s="556" t="s">
        <v>332</v>
      </c>
      <c r="C160" s="282">
        <v>151200</v>
      </c>
      <c r="D160" s="282">
        <v>151200</v>
      </c>
      <c r="E160" s="282">
        <v>151200</v>
      </c>
      <c r="F160" s="282">
        <v>151200</v>
      </c>
      <c r="G160" s="282">
        <v>151200</v>
      </c>
      <c r="H160" s="282">
        <v>151200</v>
      </c>
      <c r="I160" s="282">
        <v>151200</v>
      </c>
      <c r="J160" s="282">
        <v>151200</v>
      </c>
      <c r="K160" s="282">
        <v>151200</v>
      </c>
      <c r="L160" s="282">
        <v>151200</v>
      </c>
      <c r="M160" s="276">
        <v>0</v>
      </c>
      <c r="N160" s="728">
        <f t="shared" si="132"/>
        <v>0</v>
      </c>
      <c r="O160" s="1"/>
    </row>
    <row r="161" spans="1:15" x14ac:dyDescent="0.25">
      <c r="A161" s="280" t="s">
        <v>89</v>
      </c>
      <c r="B161" s="281" t="s">
        <v>333</v>
      </c>
      <c r="C161" s="270">
        <v>100000</v>
      </c>
      <c r="D161" s="270">
        <v>100000</v>
      </c>
      <c r="E161" s="270">
        <v>100000</v>
      </c>
      <c r="F161" s="270">
        <v>100000</v>
      </c>
      <c r="G161" s="270">
        <v>100000</v>
      </c>
      <c r="H161" s="270">
        <v>100000</v>
      </c>
      <c r="I161" s="270">
        <v>100000</v>
      </c>
      <c r="J161" s="270">
        <v>100000</v>
      </c>
      <c r="K161" s="270">
        <v>100000</v>
      </c>
      <c r="L161" s="270">
        <v>100000</v>
      </c>
      <c r="M161" s="276">
        <v>0</v>
      </c>
      <c r="N161" s="728">
        <f t="shared" si="132"/>
        <v>0</v>
      </c>
      <c r="O161" s="1"/>
    </row>
    <row r="162" spans="1:15" x14ac:dyDescent="0.25">
      <c r="A162" s="706" t="s">
        <v>93</v>
      </c>
      <c r="B162" s="707" t="s">
        <v>350</v>
      </c>
      <c r="C162" s="270">
        <v>196500</v>
      </c>
      <c r="D162" s="270">
        <v>196500</v>
      </c>
      <c r="E162" s="753">
        <f t="shared" ref="E162:L162" si="138">196500-12860</f>
        <v>183640</v>
      </c>
      <c r="F162" s="270">
        <f t="shared" si="138"/>
        <v>183640</v>
      </c>
      <c r="G162" s="270">
        <f t="shared" si="138"/>
        <v>183640</v>
      </c>
      <c r="H162" s="270">
        <f t="shared" si="138"/>
        <v>183640</v>
      </c>
      <c r="I162" s="270">
        <f t="shared" si="138"/>
        <v>183640</v>
      </c>
      <c r="J162" s="270">
        <f t="shared" si="138"/>
        <v>183640</v>
      </c>
      <c r="K162" s="270">
        <f t="shared" si="138"/>
        <v>183640</v>
      </c>
      <c r="L162" s="270">
        <f t="shared" si="138"/>
        <v>183640</v>
      </c>
      <c r="M162" s="276">
        <v>0</v>
      </c>
      <c r="N162" s="728">
        <f t="shared" si="132"/>
        <v>0</v>
      </c>
      <c r="O162" s="1"/>
    </row>
    <row r="163" spans="1:15" x14ac:dyDescent="0.25">
      <c r="A163" s="706" t="s">
        <v>164</v>
      </c>
      <c r="B163" s="708" t="s">
        <v>165</v>
      </c>
      <c r="C163" s="270">
        <v>23000</v>
      </c>
      <c r="D163" s="270">
        <v>23000</v>
      </c>
      <c r="E163" s="270">
        <v>23000</v>
      </c>
      <c r="F163" s="270">
        <v>23000</v>
      </c>
      <c r="G163" s="270">
        <v>23000</v>
      </c>
      <c r="H163" s="270">
        <v>23000</v>
      </c>
      <c r="I163" s="270">
        <v>23000</v>
      </c>
      <c r="J163" s="270">
        <v>23000</v>
      </c>
      <c r="K163" s="270">
        <v>23000</v>
      </c>
      <c r="L163" s="270">
        <v>23000</v>
      </c>
      <c r="M163" s="276">
        <v>0</v>
      </c>
      <c r="N163" s="728">
        <f t="shared" si="132"/>
        <v>0</v>
      </c>
      <c r="O163" s="1"/>
    </row>
    <row r="164" spans="1:15" x14ac:dyDescent="0.25">
      <c r="A164" s="287" t="s">
        <v>96</v>
      </c>
      <c r="B164" s="285" t="s">
        <v>475</v>
      </c>
      <c r="C164" s="270">
        <v>10000</v>
      </c>
      <c r="D164" s="270">
        <v>10000</v>
      </c>
      <c r="E164" s="753">
        <f t="shared" ref="E164:L164" si="139">10000-5700</f>
        <v>4300</v>
      </c>
      <c r="F164" s="270">
        <f t="shared" si="139"/>
        <v>4300</v>
      </c>
      <c r="G164" s="270">
        <f t="shared" si="139"/>
        <v>4300</v>
      </c>
      <c r="H164" s="270">
        <f t="shared" si="139"/>
        <v>4300</v>
      </c>
      <c r="I164" s="270">
        <f t="shared" si="139"/>
        <v>4300</v>
      </c>
      <c r="J164" s="270">
        <f t="shared" si="139"/>
        <v>4300</v>
      </c>
      <c r="K164" s="270">
        <f t="shared" si="139"/>
        <v>4300</v>
      </c>
      <c r="L164" s="270">
        <f t="shared" si="139"/>
        <v>4300</v>
      </c>
      <c r="M164" s="276">
        <v>0</v>
      </c>
      <c r="N164" s="728">
        <f t="shared" si="132"/>
        <v>0</v>
      </c>
      <c r="O164" s="27"/>
    </row>
    <row r="165" spans="1:15" x14ac:dyDescent="0.25">
      <c r="A165" s="284" t="s">
        <v>96</v>
      </c>
      <c r="B165" s="493" t="s">
        <v>357</v>
      </c>
      <c r="C165" s="270">
        <v>221836</v>
      </c>
      <c r="D165" s="270">
        <v>221836</v>
      </c>
      <c r="E165" s="753">
        <f>221836-34376</f>
        <v>187460</v>
      </c>
      <c r="F165" s="270">
        <f>221836-34376</f>
        <v>187460</v>
      </c>
      <c r="G165" s="753">
        <f>221836-34376-55000-300</f>
        <v>132160</v>
      </c>
      <c r="H165" s="270">
        <f>221836-34376-55000-300</f>
        <v>132160</v>
      </c>
      <c r="I165" s="270">
        <f>221836-34376-55000-300</f>
        <v>132160</v>
      </c>
      <c r="J165" s="270">
        <f>221836-34376-55000-300</f>
        <v>132160</v>
      </c>
      <c r="K165" s="270">
        <f>221836-34376-55000-300</f>
        <v>132160</v>
      </c>
      <c r="L165" s="753">
        <f>221836-34376-55000-300-8200</f>
        <v>123960</v>
      </c>
      <c r="M165" s="276">
        <v>0</v>
      </c>
      <c r="N165" s="728">
        <f t="shared" si="132"/>
        <v>0</v>
      </c>
      <c r="O165" s="1"/>
    </row>
    <row r="166" spans="1:15" x14ac:dyDescent="0.25">
      <c r="A166" s="287" t="s">
        <v>301</v>
      </c>
      <c r="B166" s="530" t="s">
        <v>476</v>
      </c>
      <c r="C166" s="276">
        <v>216000</v>
      </c>
      <c r="D166" s="276">
        <v>216000</v>
      </c>
      <c r="E166" s="276">
        <v>216000</v>
      </c>
      <c r="F166" s="276">
        <v>216000</v>
      </c>
      <c r="G166" s="276">
        <v>216000</v>
      </c>
      <c r="H166" s="276">
        <v>216000</v>
      </c>
      <c r="I166" s="276">
        <v>216000</v>
      </c>
      <c r="J166" s="276">
        <v>216000</v>
      </c>
      <c r="K166" s="276">
        <v>216000</v>
      </c>
      <c r="L166" s="276">
        <v>216000</v>
      </c>
      <c r="M166" s="276">
        <v>0</v>
      </c>
      <c r="N166" s="728">
        <f t="shared" si="132"/>
        <v>0</v>
      </c>
      <c r="O166" s="1"/>
    </row>
    <row r="167" spans="1:15" x14ac:dyDescent="0.25">
      <c r="A167" s="287" t="s">
        <v>98</v>
      </c>
      <c r="B167" s="492" t="s">
        <v>274</v>
      </c>
      <c r="C167" s="276">
        <v>112000</v>
      </c>
      <c r="D167" s="276">
        <v>112000</v>
      </c>
      <c r="E167" s="276">
        <v>112000</v>
      </c>
      <c r="F167" s="276">
        <v>112000</v>
      </c>
      <c r="G167" s="742">
        <f t="shared" ref="G167:L167" si="140">112000+300</f>
        <v>112300</v>
      </c>
      <c r="H167" s="276">
        <f t="shared" si="140"/>
        <v>112300</v>
      </c>
      <c r="I167" s="276">
        <f t="shared" si="140"/>
        <v>112300</v>
      </c>
      <c r="J167" s="276">
        <f t="shared" si="140"/>
        <v>112300</v>
      </c>
      <c r="K167" s="276">
        <f t="shared" si="140"/>
        <v>112300</v>
      </c>
      <c r="L167" s="276">
        <f t="shared" si="140"/>
        <v>112300</v>
      </c>
      <c r="M167" s="276">
        <v>0</v>
      </c>
      <c r="N167" s="728">
        <f t="shared" si="132"/>
        <v>0</v>
      </c>
      <c r="O167" s="27"/>
    </row>
    <row r="168" spans="1:15" x14ac:dyDescent="0.25">
      <c r="A168" s="289" t="s">
        <v>111</v>
      </c>
      <c r="B168" s="290" t="s">
        <v>337</v>
      </c>
      <c r="C168" s="282">
        <v>55000</v>
      </c>
      <c r="D168" s="282">
        <v>55000</v>
      </c>
      <c r="E168" s="282">
        <v>55000</v>
      </c>
      <c r="F168" s="282">
        <v>55000</v>
      </c>
      <c r="G168" s="709">
        <f>55000-1800</f>
        <v>53200</v>
      </c>
      <c r="H168" s="282">
        <f>55000-1800</f>
        <v>53200</v>
      </c>
      <c r="I168" s="282">
        <f>55000-1800</f>
        <v>53200</v>
      </c>
      <c r="J168" s="709">
        <f>55000-1800-520</f>
        <v>52680</v>
      </c>
      <c r="K168" s="282">
        <f>55000-1800-520</f>
        <v>52680</v>
      </c>
      <c r="L168" s="282">
        <f>55000-1800-520</f>
        <v>52680</v>
      </c>
      <c r="M168" s="276">
        <v>0</v>
      </c>
      <c r="N168" s="728">
        <f t="shared" si="132"/>
        <v>0</v>
      </c>
      <c r="O168" s="27"/>
    </row>
    <row r="169" spans="1:15" x14ac:dyDescent="0.25">
      <c r="A169" s="289" t="s">
        <v>111</v>
      </c>
      <c r="B169" s="290" t="s">
        <v>477</v>
      </c>
      <c r="C169" s="282">
        <v>196100</v>
      </c>
      <c r="D169" s="709">
        <f>196100-7590</f>
        <v>188510</v>
      </c>
      <c r="E169" s="282">
        <f>196100-7590</f>
        <v>188510</v>
      </c>
      <c r="F169" s="282">
        <f>196100-7590</f>
        <v>188510</v>
      </c>
      <c r="G169" s="709">
        <f t="shared" ref="G169:L169" si="141">196100-7590+1800+55000</f>
        <v>245310</v>
      </c>
      <c r="H169" s="282">
        <f t="shared" si="141"/>
        <v>245310</v>
      </c>
      <c r="I169" s="282">
        <f t="shared" si="141"/>
        <v>245310</v>
      </c>
      <c r="J169" s="282">
        <f t="shared" si="141"/>
        <v>245310</v>
      </c>
      <c r="K169" s="282">
        <f t="shared" si="141"/>
        <v>245310</v>
      </c>
      <c r="L169" s="282">
        <f t="shared" si="141"/>
        <v>245310</v>
      </c>
      <c r="M169" s="276">
        <v>59073</v>
      </c>
      <c r="N169" s="728">
        <f t="shared" si="132"/>
        <v>0.24080958786841139</v>
      </c>
      <c r="O169" s="1"/>
    </row>
    <row r="170" spans="1:15" x14ac:dyDescent="0.25">
      <c r="A170" s="284" t="s">
        <v>111</v>
      </c>
      <c r="B170" s="283" t="s">
        <v>585</v>
      </c>
      <c r="C170" s="270">
        <v>30000</v>
      </c>
      <c r="D170" s="270">
        <v>30000</v>
      </c>
      <c r="E170" s="270">
        <v>30000</v>
      </c>
      <c r="F170" s="270">
        <v>30000</v>
      </c>
      <c r="G170" s="753">
        <f>30000+29800</f>
        <v>59800</v>
      </c>
      <c r="H170" s="270">
        <f>30000+29800</f>
        <v>59800</v>
      </c>
      <c r="I170" s="270">
        <f>30000+29800</f>
        <v>59800</v>
      </c>
      <c r="J170" s="753">
        <f>30000+29800+520</f>
        <v>60320</v>
      </c>
      <c r="K170" s="270">
        <f>30000+29800+520</f>
        <v>60320</v>
      </c>
      <c r="L170" s="270">
        <f>30000+29800+520</f>
        <v>60320</v>
      </c>
      <c r="M170" s="276">
        <v>0</v>
      </c>
      <c r="N170" s="728">
        <f t="shared" si="132"/>
        <v>0</v>
      </c>
      <c r="O170" s="1"/>
    </row>
    <row r="171" spans="1:15" x14ac:dyDescent="0.25">
      <c r="A171" s="289" t="s">
        <v>113</v>
      </c>
      <c r="B171" s="290" t="s">
        <v>329</v>
      </c>
      <c r="C171" s="282">
        <v>15000</v>
      </c>
      <c r="D171" s="282">
        <v>15000</v>
      </c>
      <c r="E171" s="282">
        <v>15000</v>
      </c>
      <c r="F171" s="282">
        <v>15000</v>
      </c>
      <c r="G171" s="282">
        <v>15000</v>
      </c>
      <c r="H171" s="282">
        <v>15000</v>
      </c>
      <c r="I171" s="282">
        <v>15000</v>
      </c>
      <c r="J171" s="282">
        <v>15000</v>
      </c>
      <c r="K171" s="282">
        <v>15000</v>
      </c>
      <c r="L171" s="282">
        <v>15000</v>
      </c>
      <c r="M171" s="276">
        <v>0</v>
      </c>
      <c r="N171" s="728">
        <f t="shared" si="132"/>
        <v>0</v>
      </c>
      <c r="O171" s="1"/>
    </row>
    <row r="172" spans="1:15" x14ac:dyDescent="0.25">
      <c r="A172" s="289" t="s">
        <v>113</v>
      </c>
      <c r="B172" s="283" t="s">
        <v>302</v>
      </c>
      <c r="C172" s="282">
        <v>0</v>
      </c>
      <c r="D172" s="282">
        <v>0</v>
      </c>
      <c r="E172" s="282">
        <v>0</v>
      </c>
      <c r="F172" s="282">
        <v>0</v>
      </c>
      <c r="G172" s="282">
        <v>0</v>
      </c>
      <c r="H172" s="282">
        <v>0</v>
      </c>
      <c r="I172" s="282">
        <v>0</v>
      </c>
      <c r="J172" s="282">
        <v>0</v>
      </c>
      <c r="K172" s="282">
        <v>0</v>
      </c>
      <c r="L172" s="282">
        <v>0</v>
      </c>
      <c r="M172" s="276">
        <v>0</v>
      </c>
      <c r="N172" s="728">
        <v>0</v>
      </c>
      <c r="O172" s="1"/>
    </row>
    <row r="173" spans="1:15" x14ac:dyDescent="0.25">
      <c r="A173" s="284" t="s">
        <v>113</v>
      </c>
      <c r="B173" s="283" t="s">
        <v>325</v>
      </c>
      <c r="C173" s="270">
        <v>412400</v>
      </c>
      <c r="D173" s="270">
        <v>412400</v>
      </c>
      <c r="E173" s="753">
        <f t="shared" ref="E173:L173" si="142">412400+40756</f>
        <v>453156</v>
      </c>
      <c r="F173" s="270">
        <f t="shared" si="142"/>
        <v>453156</v>
      </c>
      <c r="G173" s="270">
        <f t="shared" si="142"/>
        <v>453156</v>
      </c>
      <c r="H173" s="270">
        <f t="shared" si="142"/>
        <v>453156</v>
      </c>
      <c r="I173" s="270">
        <f t="shared" si="142"/>
        <v>453156</v>
      </c>
      <c r="J173" s="270">
        <f t="shared" si="142"/>
        <v>453156</v>
      </c>
      <c r="K173" s="270">
        <f t="shared" si="142"/>
        <v>453156</v>
      </c>
      <c r="L173" s="270">
        <f t="shared" si="142"/>
        <v>453156</v>
      </c>
      <c r="M173" s="276">
        <v>0</v>
      </c>
      <c r="N173" s="728">
        <f t="shared" si="132"/>
        <v>0</v>
      </c>
      <c r="O173" s="27"/>
    </row>
    <row r="174" spans="1:15" ht="15.75" customHeight="1" x14ac:dyDescent="0.25">
      <c r="A174" s="292" t="s">
        <v>122</v>
      </c>
      <c r="B174" s="265" t="s">
        <v>478</v>
      </c>
      <c r="C174" s="276">
        <v>245000</v>
      </c>
      <c r="D174" s="276">
        <v>245000</v>
      </c>
      <c r="E174" s="276">
        <v>245000</v>
      </c>
      <c r="F174" s="276">
        <v>245000</v>
      </c>
      <c r="G174" s="276">
        <v>245000</v>
      </c>
      <c r="H174" s="276">
        <v>245000</v>
      </c>
      <c r="I174" s="276">
        <v>245000</v>
      </c>
      <c r="J174" s="276">
        <v>245000</v>
      </c>
      <c r="K174" s="276">
        <v>245000</v>
      </c>
      <c r="L174" s="276">
        <v>245000</v>
      </c>
      <c r="M174" s="276">
        <v>0</v>
      </c>
      <c r="N174" s="728">
        <f t="shared" si="132"/>
        <v>0</v>
      </c>
      <c r="O174" s="1"/>
    </row>
    <row r="175" spans="1:15" x14ac:dyDescent="0.25">
      <c r="A175" s="288" t="s">
        <v>124</v>
      </c>
      <c r="B175" s="473" t="s">
        <v>623</v>
      </c>
      <c r="C175" s="279">
        <v>0</v>
      </c>
      <c r="D175" s="279">
        <v>0</v>
      </c>
      <c r="E175" s="279">
        <v>0</v>
      </c>
      <c r="F175" s="279">
        <v>0</v>
      </c>
      <c r="G175" s="279">
        <v>0</v>
      </c>
      <c r="H175" s="279">
        <v>0</v>
      </c>
      <c r="I175" s="279">
        <v>0</v>
      </c>
      <c r="J175" s="279">
        <v>0</v>
      </c>
      <c r="K175" s="279">
        <v>0</v>
      </c>
      <c r="L175" s="790">
        <v>81600</v>
      </c>
      <c r="M175" s="279">
        <v>0</v>
      </c>
      <c r="N175" s="728">
        <f t="shared" si="132"/>
        <v>0</v>
      </c>
      <c r="O175" s="1"/>
    </row>
    <row r="176" spans="1:15" ht="15" customHeight="1" thickBot="1" x14ac:dyDescent="0.3">
      <c r="A176" s="286" t="s">
        <v>124</v>
      </c>
      <c r="B176" s="712" t="s">
        <v>292</v>
      </c>
      <c r="C176" s="273">
        <v>1129200</v>
      </c>
      <c r="D176" s="273">
        <v>1129200</v>
      </c>
      <c r="E176" s="273">
        <v>1129200</v>
      </c>
      <c r="F176" s="273">
        <v>1129200</v>
      </c>
      <c r="G176" s="273">
        <v>1129200</v>
      </c>
      <c r="H176" s="273">
        <v>1129200</v>
      </c>
      <c r="I176" s="273">
        <v>1129200</v>
      </c>
      <c r="J176" s="273">
        <v>1129200</v>
      </c>
      <c r="K176" s="273">
        <v>1129200</v>
      </c>
      <c r="L176" s="273">
        <v>1129200</v>
      </c>
      <c r="M176" s="273">
        <v>0</v>
      </c>
      <c r="N176" s="728">
        <f t="shared" si="132"/>
        <v>0</v>
      </c>
      <c r="O176" s="1"/>
    </row>
    <row r="177" spans="1:25" x14ac:dyDescent="0.25">
      <c r="A177" s="294"/>
      <c r="B177" s="295"/>
      <c r="C177" s="296"/>
      <c r="D177" s="296"/>
      <c r="E177" s="296"/>
      <c r="F177" s="296"/>
      <c r="G177" s="296"/>
      <c r="H177" s="296"/>
      <c r="I177" s="296"/>
      <c r="J177" s="296"/>
      <c r="K177" s="296"/>
      <c r="L177" s="296"/>
      <c r="M177" s="296"/>
      <c r="N177" s="728"/>
      <c r="O177" s="1"/>
    </row>
    <row r="178" spans="1:25" x14ac:dyDescent="0.25">
      <c r="A178" s="297"/>
      <c r="B178" s="298"/>
      <c r="C178" s="299"/>
      <c r="D178" s="299"/>
      <c r="E178" s="299"/>
      <c r="F178" s="299"/>
      <c r="G178" s="299"/>
      <c r="H178" s="299"/>
      <c r="I178" s="299"/>
      <c r="J178" s="299"/>
      <c r="K178" s="299"/>
      <c r="L178" s="299"/>
      <c r="M178" s="299"/>
      <c r="N178" s="728"/>
      <c r="O178" s="1"/>
    </row>
    <row r="179" spans="1:25" ht="18.75" thickBot="1" x14ac:dyDescent="0.3">
      <c r="A179" s="880" t="s">
        <v>168</v>
      </c>
      <c r="B179" s="881"/>
      <c r="C179" s="881"/>
      <c r="D179" s="881"/>
      <c r="E179" s="881"/>
      <c r="F179" s="881"/>
      <c r="G179" s="881"/>
      <c r="H179" s="881"/>
      <c r="I179" s="881"/>
      <c r="J179" s="881"/>
      <c r="K179" s="881"/>
      <c r="L179" s="881"/>
      <c r="M179" s="881"/>
      <c r="N179" s="728"/>
      <c r="O179" s="1"/>
    </row>
    <row r="180" spans="1:25" ht="18" customHeight="1" thickBot="1" x14ac:dyDescent="0.3">
      <c r="A180" s="876" t="s">
        <v>1</v>
      </c>
      <c r="B180" s="877"/>
      <c r="C180" s="387" t="s">
        <v>467</v>
      </c>
      <c r="D180" s="387" t="s">
        <v>465</v>
      </c>
      <c r="E180" s="387" t="s">
        <v>483</v>
      </c>
      <c r="F180" s="387" t="s">
        <v>500</v>
      </c>
      <c r="G180" s="387" t="s">
        <v>533</v>
      </c>
      <c r="H180" s="387" t="s">
        <v>578</v>
      </c>
      <c r="I180" s="387" t="s">
        <v>610</v>
      </c>
      <c r="J180" s="387" t="s">
        <v>579</v>
      </c>
      <c r="K180" s="387" t="s">
        <v>646</v>
      </c>
      <c r="L180" s="387" t="s">
        <v>637</v>
      </c>
      <c r="M180" s="387" t="s">
        <v>633</v>
      </c>
      <c r="N180" s="728"/>
      <c r="O180" s="1"/>
    </row>
    <row r="181" spans="1:25" ht="15.6" customHeight="1" thickBot="1" x14ac:dyDescent="0.3">
      <c r="A181" s="410" t="s">
        <v>169</v>
      </c>
      <c r="B181" s="411"/>
      <c r="C181" s="412">
        <f>SUM(C182:C193)</f>
        <v>571286</v>
      </c>
      <c r="D181" s="412">
        <f>SUM(D182:D193)</f>
        <v>638913</v>
      </c>
      <c r="E181" s="412">
        <f>SUM(E182:E193)</f>
        <v>638913</v>
      </c>
      <c r="F181" s="412">
        <f>SUM(F182:F193)</f>
        <v>638913</v>
      </c>
      <c r="G181" s="412">
        <f t="shared" ref="G181:L181" si="143">SUM(G182:G194)</f>
        <v>692938</v>
      </c>
      <c r="H181" s="412">
        <f t="shared" si="143"/>
        <v>692938</v>
      </c>
      <c r="I181" s="412">
        <f t="shared" si="143"/>
        <v>692938</v>
      </c>
      <c r="J181" s="412">
        <f t="shared" si="143"/>
        <v>692938</v>
      </c>
      <c r="K181" s="412">
        <f t="shared" si="143"/>
        <v>692938</v>
      </c>
      <c r="L181" s="412">
        <f t="shared" si="143"/>
        <v>692938</v>
      </c>
      <c r="M181" s="412">
        <f>SUM(M182:M193)</f>
        <v>87903</v>
      </c>
      <c r="N181" s="728">
        <f t="shared" si="132"/>
        <v>0.12685550511012531</v>
      </c>
      <c r="O181" s="27">
        <f>D181-C181</f>
        <v>67627</v>
      </c>
      <c r="P181" s="27">
        <f>E181-D181</f>
        <v>0</v>
      </c>
      <c r="Q181" s="27">
        <f t="shared" ref="Q181:R181" si="144">F181-E181</f>
        <v>0</v>
      </c>
      <c r="R181" s="27">
        <f t="shared" si="144"/>
        <v>54025</v>
      </c>
      <c r="S181" s="27">
        <f t="shared" ref="S181" si="145">H181-G181</f>
        <v>0</v>
      </c>
      <c r="T181" s="27">
        <f t="shared" ref="T181" si="146">I181-H181</f>
        <v>0</v>
      </c>
      <c r="U181" s="27">
        <f t="shared" ref="U181" si="147">J181-I181</f>
        <v>0</v>
      </c>
      <c r="V181" s="27">
        <f t="shared" ref="V181" si="148">K181-J181</f>
        <v>0</v>
      </c>
      <c r="W181" s="27">
        <f t="shared" ref="W181" si="149">L181-K181</f>
        <v>0</v>
      </c>
      <c r="X181" s="27"/>
      <c r="Y181" s="27"/>
    </row>
    <row r="182" spans="1:25" x14ac:dyDescent="0.25">
      <c r="A182" s="378">
        <v>453</v>
      </c>
      <c r="B182" s="379" t="s">
        <v>255</v>
      </c>
      <c r="C182" s="380">
        <f>10000+4000</f>
        <v>14000</v>
      </c>
      <c r="D182" s="704">
        <f t="shared" ref="D182:L182" si="150">10000+4000+3781-160</f>
        <v>17621</v>
      </c>
      <c r="E182" s="380">
        <f t="shared" si="150"/>
        <v>17621</v>
      </c>
      <c r="F182" s="380">
        <f t="shared" si="150"/>
        <v>17621</v>
      </c>
      <c r="G182" s="380">
        <f t="shared" si="150"/>
        <v>17621</v>
      </c>
      <c r="H182" s="380">
        <f t="shared" si="150"/>
        <v>17621</v>
      </c>
      <c r="I182" s="380">
        <f t="shared" si="150"/>
        <v>17621</v>
      </c>
      <c r="J182" s="380">
        <f t="shared" si="150"/>
        <v>17621</v>
      </c>
      <c r="K182" s="380">
        <f t="shared" si="150"/>
        <v>17621</v>
      </c>
      <c r="L182" s="380">
        <f t="shared" si="150"/>
        <v>17621</v>
      </c>
      <c r="M182" s="380">
        <v>15790</v>
      </c>
      <c r="N182" s="728">
        <f t="shared" si="132"/>
        <v>0.8960898927416151</v>
      </c>
    </row>
    <row r="183" spans="1:25" x14ac:dyDescent="0.25">
      <c r="A183" s="403">
        <v>453</v>
      </c>
      <c r="B183" s="404" t="s">
        <v>254</v>
      </c>
      <c r="C183" s="64">
        <v>2000</v>
      </c>
      <c r="D183" s="64">
        <v>2000</v>
      </c>
      <c r="E183" s="64">
        <v>2000</v>
      </c>
      <c r="F183" s="64">
        <v>2000</v>
      </c>
      <c r="G183" s="64">
        <v>2000</v>
      </c>
      <c r="H183" s="64">
        <v>2000</v>
      </c>
      <c r="I183" s="64">
        <v>2000</v>
      </c>
      <c r="J183" s="64">
        <v>2000</v>
      </c>
      <c r="K183" s="64">
        <v>2000</v>
      </c>
      <c r="L183" s="64">
        <v>2000</v>
      </c>
      <c r="M183" s="64">
        <v>165</v>
      </c>
      <c r="N183" s="728">
        <f t="shared" si="132"/>
        <v>8.2500000000000004E-2</v>
      </c>
      <c r="O183" s="27"/>
    </row>
    <row r="184" spans="1:25" x14ac:dyDescent="0.25">
      <c r="A184" s="700">
        <v>453</v>
      </c>
      <c r="B184" s="377" t="s">
        <v>256</v>
      </c>
      <c r="C184" s="701">
        <v>2500</v>
      </c>
      <c r="D184" s="702">
        <f t="shared" ref="D184:L184" si="151">2500-2500</f>
        <v>0</v>
      </c>
      <c r="E184" s="701">
        <f t="shared" si="151"/>
        <v>0</v>
      </c>
      <c r="F184" s="701">
        <f t="shared" si="151"/>
        <v>0</v>
      </c>
      <c r="G184" s="701">
        <f t="shared" si="151"/>
        <v>0</v>
      </c>
      <c r="H184" s="701">
        <f t="shared" si="151"/>
        <v>0</v>
      </c>
      <c r="I184" s="701">
        <f t="shared" si="151"/>
        <v>0</v>
      </c>
      <c r="J184" s="701">
        <f t="shared" si="151"/>
        <v>0</v>
      </c>
      <c r="K184" s="701">
        <f t="shared" si="151"/>
        <v>0</v>
      </c>
      <c r="L184" s="701">
        <f t="shared" si="151"/>
        <v>0</v>
      </c>
      <c r="M184" s="484">
        <v>0</v>
      </c>
      <c r="N184" s="728">
        <v>0</v>
      </c>
      <c r="O184" s="27"/>
    </row>
    <row r="185" spans="1:25" x14ac:dyDescent="0.25">
      <c r="A185" s="798">
        <v>453</v>
      </c>
      <c r="B185" s="799" t="s">
        <v>472</v>
      </c>
      <c r="C185" s="800">
        <v>0</v>
      </c>
      <c r="D185" s="689">
        <v>3211</v>
      </c>
      <c r="E185" s="800">
        <v>3211</v>
      </c>
      <c r="F185" s="800">
        <v>3211</v>
      </c>
      <c r="G185" s="800">
        <v>3211</v>
      </c>
      <c r="H185" s="800">
        <v>3211</v>
      </c>
      <c r="I185" s="800">
        <v>3211</v>
      </c>
      <c r="J185" s="800">
        <v>3211</v>
      </c>
      <c r="K185" s="800">
        <v>3211</v>
      </c>
      <c r="L185" s="800">
        <v>3211</v>
      </c>
      <c r="M185" s="800">
        <v>3211</v>
      </c>
      <c r="N185" s="728">
        <f t="shared" si="132"/>
        <v>1</v>
      </c>
      <c r="O185" s="27"/>
    </row>
    <row r="186" spans="1:25" x14ac:dyDescent="0.25">
      <c r="A186" s="403">
        <v>453</v>
      </c>
      <c r="B186" s="404" t="s">
        <v>289</v>
      </c>
      <c r="C186" s="64">
        <v>1500</v>
      </c>
      <c r="D186" s="689">
        <f t="shared" ref="D186:L186" si="152">1500+502</f>
        <v>2002</v>
      </c>
      <c r="E186" s="64">
        <f t="shared" si="152"/>
        <v>2002</v>
      </c>
      <c r="F186" s="64">
        <f t="shared" si="152"/>
        <v>2002</v>
      </c>
      <c r="G186" s="64">
        <f t="shared" si="152"/>
        <v>2002</v>
      </c>
      <c r="H186" s="64">
        <f t="shared" si="152"/>
        <v>2002</v>
      </c>
      <c r="I186" s="64">
        <f t="shared" si="152"/>
        <v>2002</v>
      </c>
      <c r="J186" s="64">
        <f t="shared" si="152"/>
        <v>2002</v>
      </c>
      <c r="K186" s="64">
        <f t="shared" si="152"/>
        <v>2002</v>
      </c>
      <c r="L186" s="64">
        <f t="shared" si="152"/>
        <v>2002</v>
      </c>
      <c r="M186" s="64">
        <v>2002</v>
      </c>
      <c r="N186" s="728">
        <f t="shared" si="132"/>
        <v>1</v>
      </c>
      <c r="O186" s="27"/>
    </row>
    <row r="187" spans="1:25" ht="15.75" thickBot="1" x14ac:dyDescent="0.3">
      <c r="A187" s="303">
        <v>453</v>
      </c>
      <c r="B187" s="304" t="s">
        <v>473</v>
      </c>
      <c r="C187" s="305">
        <v>0</v>
      </c>
      <c r="D187" s="690">
        <f>383</f>
        <v>383</v>
      </c>
      <c r="E187" s="305">
        <f>383</f>
        <v>383</v>
      </c>
      <c r="F187" s="305">
        <f>383</f>
        <v>383</v>
      </c>
      <c r="G187" s="305">
        <f>383</f>
        <v>383</v>
      </c>
      <c r="H187" s="305">
        <f>383</f>
        <v>383</v>
      </c>
      <c r="I187" s="305">
        <f>383</f>
        <v>383</v>
      </c>
      <c r="J187" s="305">
        <f>383</f>
        <v>383</v>
      </c>
      <c r="K187" s="305">
        <f>383</f>
        <v>383</v>
      </c>
      <c r="L187" s="305">
        <f>383</f>
        <v>383</v>
      </c>
      <c r="M187" s="305">
        <v>382</v>
      </c>
      <c r="N187" s="728">
        <f t="shared" si="132"/>
        <v>0.99738903394255873</v>
      </c>
      <c r="O187" s="426">
        <f>SUM(L182:L187)</f>
        <v>25217</v>
      </c>
      <c r="P187" s="703">
        <f>SUM(M182:M187)</f>
        <v>21550</v>
      </c>
      <c r="Q187" s="703"/>
    </row>
    <row r="188" spans="1:25" x14ac:dyDescent="0.25">
      <c r="A188" s="378">
        <v>453</v>
      </c>
      <c r="B188" s="379" t="s">
        <v>241</v>
      </c>
      <c r="C188" s="380">
        <v>886</v>
      </c>
      <c r="D188" s="380">
        <v>886</v>
      </c>
      <c r="E188" s="380">
        <v>886</v>
      </c>
      <c r="F188" s="380">
        <v>886</v>
      </c>
      <c r="G188" s="380">
        <v>886</v>
      </c>
      <c r="H188" s="380">
        <v>886</v>
      </c>
      <c r="I188" s="380">
        <v>886</v>
      </c>
      <c r="J188" s="380">
        <v>886</v>
      </c>
      <c r="K188" s="380">
        <v>886</v>
      </c>
      <c r="L188" s="380">
        <v>886</v>
      </c>
      <c r="M188" s="380">
        <v>0</v>
      </c>
      <c r="N188" s="728">
        <f t="shared" si="132"/>
        <v>0</v>
      </c>
      <c r="O188" s="703"/>
      <c r="P188" s="703"/>
      <c r="Q188" s="703"/>
    </row>
    <row r="189" spans="1:25" x14ac:dyDescent="0.25">
      <c r="A189" s="471">
        <v>453</v>
      </c>
      <c r="B189" s="482" t="s">
        <v>291</v>
      </c>
      <c r="C189" s="472">
        <f>105400</f>
        <v>105400</v>
      </c>
      <c r="D189" s="691">
        <f t="shared" ref="D189:L189" si="153">105400-7590</f>
        <v>97810</v>
      </c>
      <c r="E189" s="472">
        <f t="shared" si="153"/>
        <v>97810</v>
      </c>
      <c r="F189" s="472">
        <f t="shared" si="153"/>
        <v>97810</v>
      </c>
      <c r="G189" s="472">
        <f t="shared" si="153"/>
        <v>97810</v>
      </c>
      <c r="H189" s="472">
        <f t="shared" si="153"/>
        <v>97810</v>
      </c>
      <c r="I189" s="472">
        <f t="shared" si="153"/>
        <v>97810</v>
      </c>
      <c r="J189" s="472">
        <f t="shared" si="153"/>
        <v>97810</v>
      </c>
      <c r="K189" s="472">
        <f t="shared" si="153"/>
        <v>97810</v>
      </c>
      <c r="L189" s="472">
        <f t="shared" si="153"/>
        <v>97810</v>
      </c>
      <c r="M189" s="472">
        <v>40511</v>
      </c>
      <c r="N189" s="728">
        <f t="shared" si="132"/>
        <v>0.41418055413556898</v>
      </c>
      <c r="O189" s="703"/>
      <c r="P189" s="27"/>
      <c r="Q189" s="27"/>
    </row>
    <row r="190" spans="1:25" x14ac:dyDescent="0.25">
      <c r="A190" s="403">
        <v>453</v>
      </c>
      <c r="B190" s="404" t="s">
        <v>293</v>
      </c>
      <c r="C190" s="64">
        <v>0</v>
      </c>
      <c r="D190" s="689">
        <f t="shared" ref="D190:L190" si="154">70000</f>
        <v>70000</v>
      </c>
      <c r="E190" s="64">
        <f t="shared" si="154"/>
        <v>70000</v>
      </c>
      <c r="F190" s="64">
        <f t="shared" si="154"/>
        <v>70000</v>
      </c>
      <c r="G190" s="64">
        <f t="shared" si="154"/>
        <v>70000</v>
      </c>
      <c r="H190" s="64">
        <f t="shared" si="154"/>
        <v>70000</v>
      </c>
      <c r="I190" s="64">
        <f t="shared" si="154"/>
        <v>70000</v>
      </c>
      <c r="J190" s="64">
        <f t="shared" si="154"/>
        <v>70000</v>
      </c>
      <c r="K190" s="64">
        <f t="shared" si="154"/>
        <v>70000</v>
      </c>
      <c r="L190" s="64">
        <f t="shared" si="154"/>
        <v>70000</v>
      </c>
      <c r="M190" s="524">
        <v>0</v>
      </c>
      <c r="N190" s="728">
        <f t="shared" si="132"/>
        <v>0</v>
      </c>
      <c r="O190" s="27"/>
    </row>
    <row r="191" spans="1:25" ht="15.75" thickBot="1" x14ac:dyDescent="0.3">
      <c r="A191" s="483">
        <v>453</v>
      </c>
      <c r="B191" s="377" t="s">
        <v>304</v>
      </c>
      <c r="C191" s="484">
        <v>100000</v>
      </c>
      <c r="D191" s="484">
        <v>100000</v>
      </c>
      <c r="E191" s="484">
        <v>100000</v>
      </c>
      <c r="F191" s="484">
        <v>100000</v>
      </c>
      <c r="G191" s="484">
        <v>100000</v>
      </c>
      <c r="H191" s="484">
        <v>100000</v>
      </c>
      <c r="I191" s="484">
        <v>100000</v>
      </c>
      <c r="J191" s="484">
        <v>100000</v>
      </c>
      <c r="K191" s="484">
        <v>100000</v>
      </c>
      <c r="L191" s="484">
        <v>100000</v>
      </c>
      <c r="M191" s="484">
        <v>0</v>
      </c>
      <c r="N191" s="728">
        <f t="shared" si="132"/>
        <v>0</v>
      </c>
      <c r="O191" s="27">
        <f>SUM(L188:L191)</f>
        <v>268696</v>
      </c>
      <c r="P191" s="426">
        <f>SUM(M188:M191)</f>
        <v>40511</v>
      </c>
      <c r="Q191" s="426"/>
    </row>
    <row r="192" spans="1:25" x14ac:dyDescent="0.25">
      <c r="A192" s="378">
        <v>454</v>
      </c>
      <c r="B192" s="379" t="s">
        <v>474</v>
      </c>
      <c r="C192" s="380">
        <v>0</v>
      </c>
      <c r="D192" s="380">
        <v>0</v>
      </c>
      <c r="E192" s="380">
        <v>0</v>
      </c>
      <c r="F192" s="380">
        <v>0</v>
      </c>
      <c r="G192" s="380">
        <v>0</v>
      </c>
      <c r="H192" s="380">
        <v>0</v>
      </c>
      <c r="I192" s="380">
        <v>0</v>
      </c>
      <c r="J192" s="380">
        <v>0</v>
      </c>
      <c r="K192" s="380">
        <v>0</v>
      </c>
      <c r="L192" s="380">
        <v>0</v>
      </c>
      <c r="M192" s="380">
        <v>0</v>
      </c>
      <c r="N192" s="728">
        <v>0</v>
      </c>
      <c r="O192" s="426"/>
      <c r="P192" s="27"/>
      <c r="Q192" s="27"/>
    </row>
    <row r="193" spans="1:23" ht="15.75" thickBot="1" x14ac:dyDescent="0.3">
      <c r="A193" s="303">
        <v>454</v>
      </c>
      <c r="B193" s="304" t="s">
        <v>266</v>
      </c>
      <c r="C193" s="305">
        <f t="shared" ref="C193:L193" si="155">152000+193000</f>
        <v>345000</v>
      </c>
      <c r="D193" s="305">
        <f t="shared" si="155"/>
        <v>345000</v>
      </c>
      <c r="E193" s="305">
        <f t="shared" si="155"/>
        <v>345000</v>
      </c>
      <c r="F193" s="305">
        <f t="shared" si="155"/>
        <v>345000</v>
      </c>
      <c r="G193" s="305">
        <f t="shared" si="155"/>
        <v>345000</v>
      </c>
      <c r="H193" s="305">
        <f t="shared" si="155"/>
        <v>345000</v>
      </c>
      <c r="I193" s="305">
        <f t="shared" si="155"/>
        <v>345000</v>
      </c>
      <c r="J193" s="305">
        <f t="shared" si="155"/>
        <v>345000</v>
      </c>
      <c r="K193" s="305">
        <f t="shared" si="155"/>
        <v>345000</v>
      </c>
      <c r="L193" s="305">
        <f t="shared" si="155"/>
        <v>345000</v>
      </c>
      <c r="M193" s="305">
        <v>25842</v>
      </c>
      <c r="N193" s="728">
        <f t="shared" si="132"/>
        <v>7.4904347826086959E-2</v>
      </c>
      <c r="O193" s="27">
        <f>SUM(L192:L193)</f>
        <v>345000</v>
      </c>
      <c r="P193" s="27">
        <f>SUM(M192:M193)</f>
        <v>25842</v>
      </c>
      <c r="Q193" s="27"/>
    </row>
    <row r="194" spans="1:23" ht="15.75" thickBot="1" x14ac:dyDescent="0.3">
      <c r="A194" s="770">
        <v>456</v>
      </c>
      <c r="B194" s="772" t="s">
        <v>535</v>
      </c>
      <c r="C194" s="771">
        <v>0</v>
      </c>
      <c r="D194" s="771">
        <v>0</v>
      </c>
      <c r="E194" s="771">
        <v>0</v>
      </c>
      <c r="F194" s="771">
        <v>0</v>
      </c>
      <c r="G194" s="773">
        <v>54025</v>
      </c>
      <c r="H194" s="771">
        <v>54025</v>
      </c>
      <c r="I194" s="771">
        <v>54025</v>
      </c>
      <c r="J194" s="771">
        <v>54025</v>
      </c>
      <c r="K194" s="771">
        <v>54025</v>
      </c>
      <c r="L194" s="771">
        <v>54025</v>
      </c>
      <c r="M194" s="771">
        <v>0</v>
      </c>
      <c r="N194" s="728">
        <f t="shared" si="132"/>
        <v>0</v>
      </c>
      <c r="O194" s="27"/>
      <c r="P194" s="27"/>
      <c r="Q194" s="27"/>
    </row>
    <row r="195" spans="1:23" ht="16.5" thickBot="1" x14ac:dyDescent="0.3">
      <c r="A195" s="410" t="s">
        <v>171</v>
      </c>
      <c r="B195" s="411"/>
      <c r="C195" s="412">
        <f t="shared" ref="C195:M195" si="156">SUM(C196:C198)</f>
        <v>1090</v>
      </c>
      <c r="D195" s="412">
        <f t="shared" si="156"/>
        <v>1110</v>
      </c>
      <c r="E195" s="412">
        <f t="shared" si="156"/>
        <v>1110</v>
      </c>
      <c r="F195" s="412">
        <f t="shared" si="156"/>
        <v>1110</v>
      </c>
      <c r="G195" s="412">
        <f t="shared" si="156"/>
        <v>55135</v>
      </c>
      <c r="H195" s="412">
        <f t="shared" si="156"/>
        <v>55135</v>
      </c>
      <c r="I195" s="412">
        <f t="shared" si="156"/>
        <v>55135</v>
      </c>
      <c r="J195" s="412">
        <f t="shared" si="156"/>
        <v>55135</v>
      </c>
      <c r="K195" s="412">
        <f t="shared" ref="K195" si="157">SUM(K196:K198)</f>
        <v>55135</v>
      </c>
      <c r="L195" s="412">
        <f t="shared" ref="L195" si="158">SUM(L196:L198)</f>
        <v>55135</v>
      </c>
      <c r="M195" s="412">
        <f t="shared" si="156"/>
        <v>363</v>
      </c>
      <c r="N195" s="728">
        <f t="shared" si="132"/>
        <v>6.5838396662736918E-3</v>
      </c>
      <c r="O195" s="27">
        <f>D195-C195</f>
        <v>20</v>
      </c>
      <c r="P195" s="27">
        <f t="shared" ref="P195:W195" si="159">E195-D195</f>
        <v>0</v>
      </c>
      <c r="Q195" s="27">
        <f t="shared" si="159"/>
        <v>0</v>
      </c>
      <c r="R195" s="27">
        <f t="shared" si="159"/>
        <v>54025</v>
      </c>
      <c r="S195" s="27">
        <f t="shared" si="159"/>
        <v>0</v>
      </c>
      <c r="T195" s="27">
        <f t="shared" si="159"/>
        <v>0</v>
      </c>
      <c r="U195" s="27">
        <f t="shared" si="159"/>
        <v>0</v>
      </c>
      <c r="V195" s="27">
        <f t="shared" si="159"/>
        <v>0</v>
      </c>
      <c r="W195" s="27">
        <f t="shared" si="159"/>
        <v>0</v>
      </c>
    </row>
    <row r="196" spans="1:23" x14ac:dyDescent="0.25">
      <c r="A196" s="308">
        <v>819</v>
      </c>
      <c r="B196" s="307" t="s">
        <v>244</v>
      </c>
      <c r="C196" s="56">
        <v>0</v>
      </c>
      <c r="D196" s="705">
        <v>20</v>
      </c>
      <c r="E196" s="56">
        <v>20</v>
      </c>
      <c r="F196" s="56">
        <v>20</v>
      </c>
      <c r="G196" s="56">
        <v>20</v>
      </c>
      <c r="H196" s="56">
        <v>20</v>
      </c>
      <c r="I196" s="56">
        <v>20</v>
      </c>
      <c r="J196" s="56">
        <v>20</v>
      </c>
      <c r="K196" s="56">
        <v>20</v>
      </c>
      <c r="L196" s="56">
        <v>20</v>
      </c>
      <c r="M196" s="56">
        <v>5</v>
      </c>
      <c r="N196" s="728">
        <f t="shared" si="132"/>
        <v>0.25</v>
      </c>
      <c r="O196" s="27"/>
      <c r="P196" s="27"/>
      <c r="Q196" s="27"/>
      <c r="S196" s="426"/>
    </row>
    <row r="197" spans="1:23" x14ac:dyDescent="0.25">
      <c r="A197" s="308">
        <v>819</v>
      </c>
      <c r="B197" s="377" t="s">
        <v>535</v>
      </c>
      <c r="C197" s="56">
        <v>0</v>
      </c>
      <c r="D197" s="56">
        <v>0</v>
      </c>
      <c r="E197" s="56">
        <v>0</v>
      </c>
      <c r="F197" s="56">
        <v>0</v>
      </c>
      <c r="G197" s="705">
        <v>54025</v>
      </c>
      <c r="H197" s="56">
        <v>54025</v>
      </c>
      <c r="I197" s="56">
        <v>54025</v>
      </c>
      <c r="J197" s="56">
        <v>54025</v>
      </c>
      <c r="K197" s="56">
        <v>54025</v>
      </c>
      <c r="L197" s="56">
        <v>54025</v>
      </c>
      <c r="M197" s="56">
        <v>0</v>
      </c>
      <c r="N197" s="728">
        <f t="shared" si="132"/>
        <v>0</v>
      </c>
      <c r="O197" s="27">
        <f>SUM(L196:L197)</f>
        <v>54045</v>
      </c>
      <c r="P197" s="27">
        <f>SUM(M196:M197)</f>
        <v>5</v>
      </c>
      <c r="Q197" s="27"/>
      <c r="S197" s="426"/>
    </row>
    <row r="198" spans="1:23" ht="15.75" thickBot="1" x14ac:dyDescent="0.3">
      <c r="A198" s="310">
        <v>821</v>
      </c>
      <c r="B198" s="311" t="s">
        <v>173</v>
      </c>
      <c r="C198" s="124">
        <v>1090</v>
      </c>
      <c r="D198" s="124">
        <v>1090</v>
      </c>
      <c r="E198" s="124">
        <v>1090</v>
      </c>
      <c r="F198" s="124">
        <v>1090</v>
      </c>
      <c r="G198" s="124">
        <v>1090</v>
      </c>
      <c r="H198" s="124">
        <v>1090</v>
      </c>
      <c r="I198" s="124">
        <v>1090</v>
      </c>
      <c r="J198" s="124">
        <v>1090</v>
      </c>
      <c r="K198" s="124">
        <v>1090</v>
      </c>
      <c r="L198" s="124">
        <v>1090</v>
      </c>
      <c r="M198" s="124">
        <v>358</v>
      </c>
      <c r="N198" s="728">
        <f t="shared" si="132"/>
        <v>0.32844036697247708</v>
      </c>
      <c r="O198" s="27"/>
    </row>
    <row r="199" spans="1:23" ht="14.25" customHeight="1" x14ac:dyDescent="0.25">
      <c r="A199" s="297"/>
      <c r="B199" s="312"/>
      <c r="C199" s="157"/>
      <c r="D199" s="157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"/>
    </row>
    <row r="200" spans="1:23" ht="15.75" x14ac:dyDescent="0.25">
      <c r="A200" s="101"/>
      <c r="B200" s="295"/>
      <c r="C200" s="295"/>
      <c r="D200" s="295"/>
      <c r="E200" s="295"/>
      <c r="F200" s="295"/>
      <c r="G200" s="295"/>
      <c r="H200" s="295"/>
      <c r="I200" s="295"/>
      <c r="J200" s="295"/>
      <c r="K200" s="295"/>
      <c r="L200" s="295"/>
      <c r="M200" s="295"/>
      <c r="N200" s="295"/>
      <c r="O200" s="1"/>
    </row>
    <row r="201" spans="1:23" ht="18.75" thickBot="1" x14ac:dyDescent="0.3">
      <c r="A201" s="882" t="s">
        <v>174</v>
      </c>
      <c r="B201" s="883"/>
      <c r="C201" s="883"/>
      <c r="D201" s="883"/>
      <c r="E201" s="883"/>
      <c r="F201" s="883"/>
      <c r="G201" s="883"/>
      <c r="H201" s="883"/>
      <c r="I201" s="883"/>
      <c r="J201" s="883"/>
      <c r="K201" s="883"/>
      <c r="L201" s="883"/>
      <c r="M201" s="883"/>
      <c r="N201" s="729"/>
      <c r="O201" s="295"/>
    </row>
    <row r="202" spans="1:23" ht="26.25" thickBot="1" x14ac:dyDescent="0.3">
      <c r="A202" s="876" t="s">
        <v>1</v>
      </c>
      <c r="B202" s="877"/>
      <c r="C202" s="387" t="s">
        <v>467</v>
      </c>
      <c r="D202" s="387" t="s">
        <v>465</v>
      </c>
      <c r="E202" s="387" t="s">
        <v>483</v>
      </c>
      <c r="F202" s="387" t="s">
        <v>500</v>
      </c>
      <c r="G202" s="387" t="s">
        <v>533</v>
      </c>
      <c r="H202" s="387" t="s">
        <v>578</v>
      </c>
      <c r="I202" s="387" t="s">
        <v>610</v>
      </c>
      <c r="J202" s="387" t="s">
        <v>579</v>
      </c>
      <c r="K202" s="387" t="s">
        <v>646</v>
      </c>
      <c r="L202" s="387" t="s">
        <v>637</v>
      </c>
      <c r="M202" s="387" t="s">
        <v>633</v>
      </c>
      <c r="N202" s="730"/>
      <c r="O202" s="1"/>
    </row>
    <row r="203" spans="1:23" ht="15.75" x14ac:dyDescent="0.25">
      <c r="A203" s="313" t="s">
        <v>175</v>
      </c>
      <c r="B203" s="29"/>
      <c r="C203" s="314">
        <f t="shared" ref="C203:M203" si="160">C72</f>
        <v>2971575</v>
      </c>
      <c r="D203" s="314">
        <f t="shared" si="160"/>
        <v>2971247</v>
      </c>
      <c r="E203" s="314">
        <f t="shared" si="160"/>
        <v>2988357</v>
      </c>
      <c r="F203" s="314">
        <f t="shared" si="160"/>
        <v>2981581</v>
      </c>
      <c r="G203" s="314">
        <f t="shared" si="160"/>
        <v>2981581</v>
      </c>
      <c r="H203" s="314">
        <f t="shared" si="160"/>
        <v>2981581</v>
      </c>
      <c r="I203" s="314">
        <f t="shared" si="160"/>
        <v>2993537</v>
      </c>
      <c r="J203" s="314">
        <f t="shared" si="160"/>
        <v>2994461</v>
      </c>
      <c r="K203" s="314">
        <f t="shared" ref="K203" si="161">K72</f>
        <v>3092290</v>
      </c>
      <c r="L203" s="314">
        <f t="shared" si="160"/>
        <v>3093835</v>
      </c>
      <c r="M203" s="314">
        <f t="shared" si="160"/>
        <v>1095687</v>
      </c>
      <c r="N203" s="726"/>
    </row>
    <row r="204" spans="1:23" ht="15.75" x14ac:dyDescent="0.25">
      <c r="A204" s="315" t="s">
        <v>176</v>
      </c>
      <c r="B204" s="316"/>
      <c r="C204" s="317">
        <f t="shared" ref="C204:M204" si="162">C139</f>
        <v>2990485</v>
      </c>
      <c r="D204" s="317">
        <f t="shared" si="162"/>
        <v>2995354</v>
      </c>
      <c r="E204" s="317">
        <f t="shared" si="162"/>
        <v>3012464</v>
      </c>
      <c r="F204" s="317">
        <f t="shared" si="162"/>
        <v>3005688</v>
      </c>
      <c r="G204" s="317">
        <f t="shared" si="162"/>
        <v>3005688</v>
      </c>
      <c r="H204" s="317">
        <f t="shared" si="162"/>
        <v>3005688</v>
      </c>
      <c r="I204" s="317">
        <f t="shared" si="162"/>
        <v>3017644</v>
      </c>
      <c r="J204" s="317">
        <f t="shared" si="162"/>
        <v>3018568</v>
      </c>
      <c r="K204" s="317">
        <f t="shared" ref="K204" si="163">K139</f>
        <v>3116397</v>
      </c>
      <c r="L204" s="317">
        <f t="shared" si="162"/>
        <v>3117942</v>
      </c>
      <c r="M204" s="317">
        <f t="shared" si="162"/>
        <v>873575</v>
      </c>
      <c r="N204" s="726"/>
    </row>
    <row r="205" spans="1:23" ht="15.75" x14ac:dyDescent="0.25">
      <c r="A205" s="884" t="s">
        <v>177</v>
      </c>
      <c r="B205" s="885"/>
      <c r="C205" s="318">
        <f t="shared" ref="C205:M205" si="164">C203-C204</f>
        <v>-18910</v>
      </c>
      <c r="D205" s="318">
        <f t="shared" si="164"/>
        <v>-24107</v>
      </c>
      <c r="E205" s="318">
        <f t="shared" si="164"/>
        <v>-24107</v>
      </c>
      <c r="F205" s="318">
        <f t="shared" si="164"/>
        <v>-24107</v>
      </c>
      <c r="G205" s="318">
        <f t="shared" si="164"/>
        <v>-24107</v>
      </c>
      <c r="H205" s="318">
        <f t="shared" si="164"/>
        <v>-24107</v>
      </c>
      <c r="I205" s="318">
        <f t="shared" si="164"/>
        <v>-24107</v>
      </c>
      <c r="J205" s="318">
        <f t="shared" si="164"/>
        <v>-24107</v>
      </c>
      <c r="K205" s="318">
        <f t="shared" ref="K205" si="165">K203-K204</f>
        <v>-24107</v>
      </c>
      <c r="L205" s="318">
        <f t="shared" ref="L205" si="166">L203-L204</f>
        <v>-24107</v>
      </c>
      <c r="M205" s="318">
        <f t="shared" si="164"/>
        <v>222112</v>
      </c>
      <c r="N205" s="731"/>
      <c r="O205" s="1"/>
      <c r="P205" s="27">
        <f>D205-D198</f>
        <v>-25197</v>
      </c>
      <c r="Q205" s="27"/>
      <c r="R205" s="27"/>
    </row>
    <row r="206" spans="1:23" ht="13.9" customHeight="1" x14ac:dyDescent="0.25">
      <c r="A206" s="315" t="s">
        <v>178</v>
      </c>
      <c r="B206" s="18"/>
      <c r="C206" s="317">
        <f t="shared" ref="C206:M206" si="167">C144</f>
        <v>2593450</v>
      </c>
      <c r="D206" s="317">
        <f t="shared" si="167"/>
        <v>2523450</v>
      </c>
      <c r="E206" s="317">
        <f t="shared" si="167"/>
        <v>2511270</v>
      </c>
      <c r="F206" s="317">
        <f t="shared" si="167"/>
        <v>2511270</v>
      </c>
      <c r="G206" s="317">
        <f t="shared" si="167"/>
        <v>2541070</v>
      </c>
      <c r="H206" s="317">
        <f t="shared" si="167"/>
        <v>2541070</v>
      </c>
      <c r="I206" s="317">
        <f t="shared" si="167"/>
        <v>2541070</v>
      </c>
      <c r="J206" s="317">
        <f t="shared" si="167"/>
        <v>2541070</v>
      </c>
      <c r="K206" s="317">
        <f t="shared" ref="K206" si="168">K144</f>
        <v>2541070</v>
      </c>
      <c r="L206" s="317">
        <f t="shared" si="167"/>
        <v>2614470</v>
      </c>
      <c r="M206" s="317">
        <f t="shared" si="167"/>
        <v>0</v>
      </c>
      <c r="N206" s="726"/>
      <c r="O206" s="27">
        <f>C205-C198</f>
        <v>-20000</v>
      </c>
    </row>
    <row r="207" spans="1:23" ht="16.149999999999999" customHeight="1" x14ac:dyDescent="0.25">
      <c r="A207" s="315" t="s">
        <v>179</v>
      </c>
      <c r="B207" s="18"/>
      <c r="C207" s="20">
        <f t="shared" ref="C207:M207" si="169">C157</f>
        <v>3144736</v>
      </c>
      <c r="D207" s="20">
        <f t="shared" si="169"/>
        <v>3137146</v>
      </c>
      <c r="E207" s="20">
        <f t="shared" si="169"/>
        <v>3124966</v>
      </c>
      <c r="F207" s="20">
        <f t="shared" si="169"/>
        <v>3124966</v>
      </c>
      <c r="G207" s="20">
        <f t="shared" si="169"/>
        <v>3154766</v>
      </c>
      <c r="H207" s="20">
        <f t="shared" si="169"/>
        <v>3154766</v>
      </c>
      <c r="I207" s="20">
        <f t="shared" si="169"/>
        <v>3154766</v>
      </c>
      <c r="J207" s="20">
        <f t="shared" si="169"/>
        <v>3154766</v>
      </c>
      <c r="K207" s="20">
        <f t="shared" ref="K207" si="170">K157</f>
        <v>3154766</v>
      </c>
      <c r="L207" s="20">
        <f t="shared" si="169"/>
        <v>3228166</v>
      </c>
      <c r="M207" s="20">
        <f t="shared" si="169"/>
        <v>66353</v>
      </c>
      <c r="N207" s="703"/>
      <c r="O207" s="1"/>
    </row>
    <row r="208" spans="1:23" ht="15.75" x14ac:dyDescent="0.25">
      <c r="A208" s="884" t="s">
        <v>180</v>
      </c>
      <c r="B208" s="885"/>
      <c r="C208" s="318">
        <f t="shared" ref="C208:M208" si="171">C206-C207</f>
        <v>-551286</v>
      </c>
      <c r="D208" s="318">
        <f t="shared" si="171"/>
        <v>-613696</v>
      </c>
      <c r="E208" s="318">
        <f t="shared" si="171"/>
        <v>-613696</v>
      </c>
      <c r="F208" s="318">
        <f t="shared" si="171"/>
        <v>-613696</v>
      </c>
      <c r="G208" s="318">
        <f t="shared" si="171"/>
        <v>-613696</v>
      </c>
      <c r="H208" s="318">
        <f t="shared" si="171"/>
        <v>-613696</v>
      </c>
      <c r="I208" s="318">
        <f t="shared" si="171"/>
        <v>-613696</v>
      </c>
      <c r="J208" s="318">
        <f t="shared" si="171"/>
        <v>-613696</v>
      </c>
      <c r="K208" s="318">
        <f t="shared" ref="K208" si="172">K206-K207</f>
        <v>-613696</v>
      </c>
      <c r="L208" s="318">
        <f t="shared" ref="L208" si="173">L206-L207</f>
        <v>-613696</v>
      </c>
      <c r="M208" s="318">
        <f t="shared" si="171"/>
        <v>-66353</v>
      </c>
      <c r="N208" s="731"/>
      <c r="O208" s="1"/>
      <c r="P208" s="703"/>
      <c r="Q208" s="703"/>
    </row>
    <row r="209" spans="1:25" ht="15.75" x14ac:dyDescent="0.25">
      <c r="A209" s="319" t="s">
        <v>181</v>
      </c>
      <c r="B209" s="320"/>
      <c r="C209" s="321">
        <f t="shared" ref="C209:M209" si="174">C181</f>
        <v>571286</v>
      </c>
      <c r="D209" s="321">
        <f t="shared" si="174"/>
        <v>638913</v>
      </c>
      <c r="E209" s="321">
        <f t="shared" si="174"/>
        <v>638913</v>
      </c>
      <c r="F209" s="321">
        <f t="shared" si="174"/>
        <v>638913</v>
      </c>
      <c r="G209" s="321">
        <f t="shared" si="174"/>
        <v>692938</v>
      </c>
      <c r="H209" s="321">
        <f t="shared" si="174"/>
        <v>692938</v>
      </c>
      <c r="I209" s="321">
        <f t="shared" si="174"/>
        <v>692938</v>
      </c>
      <c r="J209" s="321">
        <f t="shared" si="174"/>
        <v>692938</v>
      </c>
      <c r="K209" s="321">
        <f t="shared" ref="K209" si="175">K181</f>
        <v>692938</v>
      </c>
      <c r="L209" s="321">
        <f t="shared" ref="L209" si="176">L181</f>
        <v>692938</v>
      </c>
      <c r="M209" s="321">
        <f t="shared" si="174"/>
        <v>87903</v>
      </c>
      <c r="N209" s="726"/>
      <c r="O209" s="703"/>
    </row>
    <row r="210" spans="1:25" ht="15.75" x14ac:dyDescent="0.25">
      <c r="A210" s="319" t="s">
        <v>182</v>
      </c>
      <c r="B210" s="320"/>
      <c r="C210" s="321">
        <f t="shared" ref="C210:M210" si="177">C195</f>
        <v>1090</v>
      </c>
      <c r="D210" s="321">
        <f t="shared" si="177"/>
        <v>1110</v>
      </c>
      <c r="E210" s="321">
        <f t="shared" si="177"/>
        <v>1110</v>
      </c>
      <c r="F210" s="321">
        <f t="shared" si="177"/>
        <v>1110</v>
      </c>
      <c r="G210" s="321">
        <f t="shared" si="177"/>
        <v>55135</v>
      </c>
      <c r="H210" s="321">
        <f t="shared" si="177"/>
        <v>55135</v>
      </c>
      <c r="I210" s="321">
        <f t="shared" si="177"/>
        <v>55135</v>
      </c>
      <c r="J210" s="321">
        <f t="shared" si="177"/>
        <v>55135</v>
      </c>
      <c r="K210" s="321">
        <f t="shared" ref="K210" si="178">K195</f>
        <v>55135</v>
      </c>
      <c r="L210" s="321">
        <f t="shared" ref="L210" si="179">L195</f>
        <v>55135</v>
      </c>
      <c r="M210" s="321">
        <f t="shared" si="177"/>
        <v>363</v>
      </c>
      <c r="N210" s="726"/>
      <c r="O210" s="1"/>
    </row>
    <row r="211" spans="1:25" ht="30" customHeight="1" thickBot="1" x14ac:dyDescent="0.3">
      <c r="A211" s="870" t="s">
        <v>183</v>
      </c>
      <c r="B211" s="871"/>
      <c r="C211" s="322">
        <f t="shared" ref="C211:M211" si="180">C209-C210</f>
        <v>570196</v>
      </c>
      <c r="D211" s="322">
        <f t="shared" si="180"/>
        <v>637803</v>
      </c>
      <c r="E211" s="322">
        <f t="shared" si="180"/>
        <v>637803</v>
      </c>
      <c r="F211" s="322">
        <f t="shared" si="180"/>
        <v>637803</v>
      </c>
      <c r="G211" s="322">
        <f t="shared" si="180"/>
        <v>637803</v>
      </c>
      <c r="H211" s="322">
        <f t="shared" si="180"/>
        <v>637803</v>
      </c>
      <c r="I211" s="322">
        <f t="shared" si="180"/>
        <v>637803</v>
      </c>
      <c r="J211" s="322">
        <f t="shared" si="180"/>
        <v>637803</v>
      </c>
      <c r="K211" s="322">
        <f t="shared" ref="K211" si="181">K209-K210</f>
        <v>637803</v>
      </c>
      <c r="L211" s="322">
        <f t="shared" ref="L211" si="182">L209-L210</f>
        <v>637803</v>
      </c>
      <c r="M211" s="322">
        <f t="shared" si="180"/>
        <v>87540</v>
      </c>
      <c r="N211" s="731"/>
      <c r="O211" s="1"/>
    </row>
    <row r="212" spans="1:25" ht="16.5" thickBot="1" x14ac:dyDescent="0.3">
      <c r="A212" s="323" t="s">
        <v>184</v>
      </c>
      <c r="B212" s="324"/>
      <c r="C212" s="325">
        <f t="shared" ref="C212:M212" si="183">C205+C208+C211</f>
        <v>0</v>
      </c>
      <c r="D212" s="325">
        <f t="shared" si="183"/>
        <v>0</v>
      </c>
      <c r="E212" s="325">
        <f t="shared" si="183"/>
        <v>0</v>
      </c>
      <c r="F212" s="325">
        <f t="shared" si="183"/>
        <v>0</v>
      </c>
      <c r="G212" s="325">
        <f t="shared" si="183"/>
        <v>0</v>
      </c>
      <c r="H212" s="325">
        <f t="shared" si="183"/>
        <v>0</v>
      </c>
      <c r="I212" s="325">
        <f t="shared" si="183"/>
        <v>0</v>
      </c>
      <c r="J212" s="325">
        <f t="shared" si="183"/>
        <v>0</v>
      </c>
      <c r="K212" s="325">
        <f t="shared" ref="K212" si="184">K205+K208+K211</f>
        <v>0</v>
      </c>
      <c r="L212" s="325">
        <f t="shared" ref="L212" si="185">L205+L208+L211</f>
        <v>0</v>
      </c>
      <c r="M212" s="325">
        <f t="shared" si="183"/>
        <v>243299</v>
      </c>
      <c r="N212" s="731"/>
      <c r="O212" s="1"/>
    </row>
    <row r="213" spans="1:2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00"/>
      <c r="O213" s="1"/>
    </row>
    <row r="214" spans="1:25" x14ac:dyDescent="0.25">
      <c r="A214" s="1"/>
      <c r="B214" s="487" t="s">
        <v>267</v>
      </c>
      <c r="C214" s="488">
        <f t="shared" ref="C214:M215" si="186">C203+C206+C209</f>
        <v>6136311</v>
      </c>
      <c r="D214" s="488">
        <f t="shared" si="186"/>
        <v>6133610</v>
      </c>
      <c r="E214" s="488">
        <f t="shared" si="186"/>
        <v>6138540</v>
      </c>
      <c r="F214" s="488">
        <f t="shared" si="186"/>
        <v>6131764</v>
      </c>
      <c r="G214" s="488">
        <f t="shared" si="186"/>
        <v>6215589</v>
      </c>
      <c r="H214" s="488">
        <f t="shared" si="186"/>
        <v>6215589</v>
      </c>
      <c r="I214" s="488">
        <f t="shared" si="186"/>
        <v>6227545</v>
      </c>
      <c r="J214" s="488">
        <f t="shared" si="186"/>
        <v>6228469</v>
      </c>
      <c r="K214" s="488">
        <f t="shared" ref="K214" si="187">K203+K206+K209</f>
        <v>6326298</v>
      </c>
      <c r="L214" s="488">
        <f t="shared" ref="L214" si="188">L203+L206+L209</f>
        <v>6401243</v>
      </c>
      <c r="M214" s="488">
        <f t="shared" si="186"/>
        <v>1183590</v>
      </c>
      <c r="N214" s="732"/>
      <c r="O214" s="488">
        <f t="shared" ref="O214:W215" si="189">D214-C214</f>
        <v>-2701</v>
      </c>
      <c r="P214" s="488">
        <f t="shared" si="189"/>
        <v>4930</v>
      </c>
      <c r="Q214" s="488">
        <f t="shared" si="189"/>
        <v>-6776</v>
      </c>
      <c r="R214" s="488">
        <f t="shared" si="189"/>
        <v>83825</v>
      </c>
      <c r="S214" s="488">
        <f t="shared" si="189"/>
        <v>0</v>
      </c>
      <c r="T214" s="488">
        <f t="shared" si="189"/>
        <v>11956</v>
      </c>
      <c r="U214" s="488">
        <f t="shared" si="189"/>
        <v>924</v>
      </c>
      <c r="V214" s="488">
        <f t="shared" si="189"/>
        <v>97829</v>
      </c>
      <c r="W214" s="488">
        <f t="shared" si="189"/>
        <v>74945</v>
      </c>
      <c r="X214" s="488"/>
      <c r="Y214" s="488"/>
    </row>
    <row r="215" spans="1:25" x14ac:dyDescent="0.25">
      <c r="A215" s="1"/>
      <c r="B215" s="487" t="s">
        <v>268</v>
      </c>
      <c r="C215" s="488">
        <f t="shared" si="186"/>
        <v>6136311</v>
      </c>
      <c r="D215" s="488">
        <f t="shared" si="186"/>
        <v>6133610</v>
      </c>
      <c r="E215" s="488">
        <f t="shared" si="186"/>
        <v>6138540</v>
      </c>
      <c r="F215" s="488">
        <f t="shared" si="186"/>
        <v>6131764</v>
      </c>
      <c r="G215" s="488">
        <f t="shared" si="186"/>
        <v>6215589</v>
      </c>
      <c r="H215" s="488">
        <f t="shared" si="186"/>
        <v>6215589</v>
      </c>
      <c r="I215" s="488">
        <f t="shared" si="186"/>
        <v>6227545</v>
      </c>
      <c r="J215" s="488">
        <f t="shared" si="186"/>
        <v>6228469</v>
      </c>
      <c r="K215" s="488">
        <f t="shared" ref="K215" si="190">K204+K207+K210</f>
        <v>6326298</v>
      </c>
      <c r="L215" s="488">
        <f t="shared" ref="L215" si="191">L204+L207+L210</f>
        <v>6401243</v>
      </c>
      <c r="M215" s="488">
        <f t="shared" si="186"/>
        <v>940291</v>
      </c>
      <c r="N215" s="732"/>
      <c r="O215" s="488">
        <f t="shared" si="189"/>
        <v>-2701</v>
      </c>
      <c r="P215" s="488">
        <f t="shared" si="189"/>
        <v>4930</v>
      </c>
      <c r="Q215" s="488">
        <f t="shared" si="189"/>
        <v>-6776</v>
      </c>
      <c r="R215" s="488">
        <f t="shared" si="189"/>
        <v>83825</v>
      </c>
      <c r="S215" s="488">
        <f t="shared" si="189"/>
        <v>0</v>
      </c>
      <c r="T215" s="488">
        <f t="shared" si="189"/>
        <v>11956</v>
      </c>
      <c r="U215" s="488">
        <f t="shared" si="189"/>
        <v>924</v>
      </c>
      <c r="V215" s="488">
        <f t="shared" si="189"/>
        <v>97829</v>
      </c>
      <c r="W215" s="488">
        <f t="shared" si="189"/>
        <v>74945</v>
      </c>
      <c r="X215" s="488"/>
      <c r="Y215" s="488"/>
    </row>
    <row r="216" spans="1:25" x14ac:dyDescent="0.25">
      <c r="A216" s="1"/>
      <c r="B216" s="487"/>
      <c r="C216" s="488"/>
      <c r="D216" s="488"/>
      <c r="E216" s="488"/>
      <c r="F216" s="488"/>
      <c r="G216" s="488"/>
      <c r="H216" s="488"/>
      <c r="I216" s="488"/>
      <c r="J216" s="488"/>
      <c r="K216" s="488"/>
      <c r="L216" s="488"/>
      <c r="M216" s="488"/>
      <c r="N216" s="732"/>
      <c r="O216" s="488"/>
      <c r="P216" s="488"/>
      <c r="Q216" s="488"/>
      <c r="R216" s="488"/>
      <c r="S216" s="488"/>
      <c r="T216" s="488"/>
      <c r="U216" s="488"/>
      <c r="V216" s="488"/>
      <c r="W216" s="488">
        <f>SUM(U215:W215)</f>
        <v>173698</v>
      </c>
      <c r="X216" s="488"/>
      <c r="Y216" s="488"/>
    </row>
    <row r="217" spans="1:25" ht="11.45" customHeight="1" x14ac:dyDescent="0.25">
      <c r="A217" s="1"/>
      <c r="B217" s="487" t="s">
        <v>269</v>
      </c>
      <c r="C217" s="488">
        <f t="shared" ref="C217:M217" si="192">C214-C71</f>
        <v>6117611</v>
      </c>
      <c r="D217" s="488">
        <f t="shared" si="192"/>
        <v>6114910</v>
      </c>
      <c r="E217" s="488">
        <f t="shared" si="192"/>
        <v>6119840</v>
      </c>
      <c r="F217" s="488">
        <f t="shared" si="192"/>
        <v>6113064</v>
      </c>
      <c r="G217" s="488">
        <f t="shared" si="192"/>
        <v>6196889</v>
      </c>
      <c r="H217" s="488">
        <f t="shared" si="192"/>
        <v>6196889</v>
      </c>
      <c r="I217" s="488">
        <f t="shared" si="192"/>
        <v>6208845</v>
      </c>
      <c r="J217" s="488">
        <f t="shared" si="192"/>
        <v>6209769</v>
      </c>
      <c r="K217" s="488">
        <f t="shared" ref="K217" si="193">K214-K71</f>
        <v>6307598</v>
      </c>
      <c r="L217" s="488">
        <f t="shared" si="192"/>
        <v>6382543</v>
      </c>
      <c r="M217" s="488">
        <f t="shared" si="192"/>
        <v>1175723</v>
      </c>
      <c r="N217" s="732"/>
      <c r="O217" s="488">
        <f t="shared" ref="O217:W218" si="194">D217-C217</f>
        <v>-2701</v>
      </c>
      <c r="P217" s="488">
        <f t="shared" si="194"/>
        <v>4930</v>
      </c>
      <c r="Q217" s="488">
        <f t="shared" si="194"/>
        <v>-6776</v>
      </c>
      <c r="R217" s="488">
        <f t="shared" si="194"/>
        <v>83825</v>
      </c>
      <c r="S217" s="488">
        <f t="shared" si="194"/>
        <v>0</v>
      </c>
      <c r="T217" s="488">
        <f t="shared" si="194"/>
        <v>11956</v>
      </c>
      <c r="U217" s="488">
        <f t="shared" si="194"/>
        <v>924</v>
      </c>
      <c r="V217" s="488">
        <f t="shared" si="194"/>
        <v>97829</v>
      </c>
      <c r="W217" s="488">
        <f t="shared" si="194"/>
        <v>74945</v>
      </c>
      <c r="X217" s="488"/>
      <c r="Y217" s="488"/>
    </row>
    <row r="218" spans="1:25" x14ac:dyDescent="0.25">
      <c r="A218" s="1"/>
      <c r="B218" s="487" t="s">
        <v>270</v>
      </c>
      <c r="C218" s="488">
        <f t="shared" ref="C218:M218" si="195">C215-C138</f>
        <v>5065211</v>
      </c>
      <c r="D218" s="488">
        <f t="shared" si="195"/>
        <v>5060412</v>
      </c>
      <c r="E218" s="488">
        <f t="shared" si="195"/>
        <v>5065342</v>
      </c>
      <c r="F218" s="488">
        <f t="shared" si="195"/>
        <v>5069205</v>
      </c>
      <c r="G218" s="488">
        <f t="shared" si="195"/>
        <v>5153030</v>
      </c>
      <c r="H218" s="488">
        <f t="shared" si="195"/>
        <v>5153030</v>
      </c>
      <c r="I218" s="488">
        <f t="shared" si="195"/>
        <v>5161347</v>
      </c>
      <c r="J218" s="488">
        <f t="shared" si="195"/>
        <v>5162271</v>
      </c>
      <c r="K218" s="488">
        <f t="shared" ref="K218" si="196">K215-K138</f>
        <v>5224103</v>
      </c>
      <c r="L218" s="488">
        <f t="shared" si="195"/>
        <v>5299048</v>
      </c>
      <c r="M218" s="488">
        <f t="shared" si="195"/>
        <v>551457</v>
      </c>
      <c r="N218" s="732"/>
      <c r="O218" s="488">
        <f t="shared" si="194"/>
        <v>-4799</v>
      </c>
      <c r="P218" s="488">
        <f t="shared" si="194"/>
        <v>4930</v>
      </c>
      <c r="Q218" s="488">
        <f t="shared" si="194"/>
        <v>3863</v>
      </c>
      <c r="R218" s="488">
        <f t="shared" si="194"/>
        <v>83825</v>
      </c>
      <c r="S218" s="488">
        <f t="shared" si="194"/>
        <v>0</v>
      </c>
      <c r="T218" s="488">
        <f t="shared" si="194"/>
        <v>8317</v>
      </c>
      <c r="U218" s="488">
        <f t="shared" si="194"/>
        <v>924</v>
      </c>
      <c r="V218" s="488">
        <f t="shared" si="194"/>
        <v>61832</v>
      </c>
      <c r="W218" s="488">
        <f t="shared" si="194"/>
        <v>74945</v>
      </c>
      <c r="X218" s="488"/>
      <c r="Y218" s="488"/>
    </row>
    <row r="219" spans="1:25" x14ac:dyDescent="0.25">
      <c r="A219" s="1"/>
      <c r="B219" s="487"/>
      <c r="C219" s="488"/>
      <c r="D219" s="488"/>
      <c r="E219" s="488"/>
      <c r="F219" s="488"/>
      <c r="G219" s="488"/>
      <c r="H219" s="488"/>
      <c r="I219" s="488"/>
      <c r="J219" s="488"/>
      <c r="K219" s="488"/>
      <c r="L219" s="488"/>
      <c r="M219" s="488"/>
      <c r="N219" s="732"/>
      <c r="O219" s="488"/>
      <c r="P219" s="488"/>
      <c r="Q219" s="488"/>
      <c r="R219" s="488"/>
      <c r="W219" s="426">
        <f>SUM(U218:W218)</f>
        <v>137701</v>
      </c>
    </row>
    <row r="220" spans="1:25" x14ac:dyDescent="0.25">
      <c r="A220" s="1"/>
      <c r="B220" s="485" t="s">
        <v>271</v>
      </c>
      <c r="C220" s="486">
        <f t="shared" ref="C220:M221" si="197">C214-C217</f>
        <v>18700</v>
      </c>
      <c r="D220" s="486">
        <f t="shared" si="197"/>
        <v>18700</v>
      </c>
      <c r="E220" s="486">
        <f t="shared" si="197"/>
        <v>18700</v>
      </c>
      <c r="F220" s="486">
        <f t="shared" si="197"/>
        <v>18700</v>
      </c>
      <c r="G220" s="486">
        <f t="shared" si="197"/>
        <v>18700</v>
      </c>
      <c r="H220" s="486">
        <f t="shared" si="197"/>
        <v>18700</v>
      </c>
      <c r="I220" s="486">
        <f t="shared" si="197"/>
        <v>18700</v>
      </c>
      <c r="J220" s="486">
        <f t="shared" si="197"/>
        <v>18700</v>
      </c>
      <c r="K220" s="486">
        <f t="shared" ref="K220" si="198">K214-K217</f>
        <v>18700</v>
      </c>
      <c r="L220" s="486">
        <f t="shared" ref="L220" si="199">L214-L217</f>
        <v>18700</v>
      </c>
      <c r="M220" s="486">
        <f t="shared" si="197"/>
        <v>7867</v>
      </c>
      <c r="N220" s="733"/>
      <c r="O220" s="488">
        <f t="shared" ref="O220:W221" si="200">D220-C220</f>
        <v>0</v>
      </c>
      <c r="P220" s="488">
        <f t="shared" si="200"/>
        <v>0</v>
      </c>
      <c r="Q220" s="488">
        <f t="shared" si="200"/>
        <v>0</v>
      </c>
      <c r="R220" s="488">
        <f t="shared" si="200"/>
        <v>0</v>
      </c>
      <c r="S220" s="488">
        <f t="shared" si="200"/>
        <v>0</v>
      </c>
      <c r="T220" s="488">
        <f t="shared" si="200"/>
        <v>0</v>
      </c>
      <c r="U220" s="488">
        <f t="shared" si="200"/>
        <v>0</v>
      </c>
      <c r="V220" s="488">
        <f t="shared" si="200"/>
        <v>0</v>
      </c>
      <c r="W220" s="488">
        <f t="shared" si="200"/>
        <v>0</v>
      </c>
      <c r="X220" s="488"/>
      <c r="Y220" s="488"/>
    </row>
    <row r="221" spans="1:25" x14ac:dyDescent="0.25">
      <c r="A221" s="100"/>
      <c r="B221" s="485" t="s">
        <v>272</v>
      </c>
      <c r="C221" s="486">
        <f t="shared" si="197"/>
        <v>1071100</v>
      </c>
      <c r="D221" s="486">
        <f t="shared" si="197"/>
        <v>1073198</v>
      </c>
      <c r="E221" s="486">
        <f t="shared" si="197"/>
        <v>1073198</v>
      </c>
      <c r="F221" s="486">
        <f t="shared" si="197"/>
        <v>1062559</v>
      </c>
      <c r="G221" s="486">
        <f t="shared" si="197"/>
        <v>1062559</v>
      </c>
      <c r="H221" s="486">
        <f t="shared" si="197"/>
        <v>1062559</v>
      </c>
      <c r="I221" s="486">
        <f t="shared" si="197"/>
        <v>1066198</v>
      </c>
      <c r="J221" s="486">
        <f t="shared" si="197"/>
        <v>1066198</v>
      </c>
      <c r="K221" s="486">
        <f t="shared" ref="K221" si="201">K215-K218</f>
        <v>1102195</v>
      </c>
      <c r="L221" s="486">
        <f t="shared" ref="L221" si="202">L215-L218</f>
        <v>1102195</v>
      </c>
      <c r="M221" s="486">
        <f t="shared" si="197"/>
        <v>388834</v>
      </c>
      <c r="N221" s="486"/>
      <c r="O221" s="488">
        <f t="shared" si="200"/>
        <v>2098</v>
      </c>
      <c r="P221" s="488">
        <f t="shared" si="200"/>
        <v>0</v>
      </c>
      <c r="Q221" s="488">
        <f t="shared" si="200"/>
        <v>-10639</v>
      </c>
      <c r="R221" s="488">
        <f t="shared" si="200"/>
        <v>0</v>
      </c>
      <c r="S221" s="488">
        <f t="shared" si="200"/>
        <v>0</v>
      </c>
      <c r="T221" s="488">
        <f t="shared" si="200"/>
        <v>3639</v>
      </c>
      <c r="U221" s="488">
        <f t="shared" si="200"/>
        <v>0</v>
      </c>
      <c r="V221" s="488">
        <f t="shared" si="200"/>
        <v>35997</v>
      </c>
      <c r="W221" s="488">
        <f t="shared" si="200"/>
        <v>0</v>
      </c>
      <c r="X221" s="488"/>
      <c r="Y221" s="488"/>
    </row>
    <row r="222" spans="1:25" x14ac:dyDescent="0.25">
      <c r="A222" s="1"/>
      <c r="B222" s="489"/>
      <c r="C222" s="486">
        <f t="shared" ref="C222:M222" si="203">C221-C220+C212</f>
        <v>1052400</v>
      </c>
      <c r="D222" s="486">
        <f t="shared" si="203"/>
        <v>1054498</v>
      </c>
      <c r="E222" s="486">
        <f t="shared" si="203"/>
        <v>1054498</v>
      </c>
      <c r="F222" s="486">
        <f t="shared" si="203"/>
        <v>1043859</v>
      </c>
      <c r="G222" s="486">
        <f t="shared" si="203"/>
        <v>1043859</v>
      </c>
      <c r="H222" s="486">
        <f t="shared" si="203"/>
        <v>1043859</v>
      </c>
      <c r="I222" s="486">
        <f t="shared" si="203"/>
        <v>1047498</v>
      </c>
      <c r="J222" s="486">
        <f t="shared" si="203"/>
        <v>1047498</v>
      </c>
      <c r="K222" s="486">
        <f t="shared" ref="K222" si="204">K221-K220+K212</f>
        <v>1083495</v>
      </c>
      <c r="L222" s="486">
        <f t="shared" ref="L222" si="205">L221-L220+L212</f>
        <v>1083495</v>
      </c>
      <c r="M222" s="486">
        <f t="shared" si="203"/>
        <v>624266</v>
      </c>
      <c r="N222" s="486"/>
      <c r="O222" s="489"/>
      <c r="P222" s="489"/>
    </row>
    <row r="223" spans="1:25" x14ac:dyDescent="0.25">
      <c r="A223" s="1"/>
      <c r="B223" s="327" t="s">
        <v>185</v>
      </c>
      <c r="C223" s="469"/>
      <c r="D223" s="327"/>
      <c r="E223" s="327"/>
      <c r="F223" s="327"/>
      <c r="G223" s="327"/>
      <c r="H223" s="327"/>
      <c r="I223" s="327"/>
      <c r="J223" s="327"/>
      <c r="K223" s="327"/>
      <c r="L223" s="327"/>
      <c r="M223" s="327"/>
      <c r="N223" s="327"/>
      <c r="O223" s="1"/>
    </row>
    <row r="224" spans="1:25" x14ac:dyDescent="0.25">
      <c r="A224" s="1"/>
      <c r="B224" s="327" t="s">
        <v>295</v>
      </c>
      <c r="C224" s="523"/>
      <c r="D224" s="327"/>
      <c r="E224" s="327"/>
      <c r="F224" s="327"/>
      <c r="G224" s="327"/>
      <c r="H224" s="327"/>
      <c r="I224" s="327"/>
      <c r="J224" s="327"/>
      <c r="K224" s="327"/>
      <c r="L224" s="327"/>
      <c r="M224" s="327"/>
      <c r="N224" s="327"/>
      <c r="O224" s="1"/>
    </row>
    <row r="225" spans="1:15" x14ac:dyDescent="0.25">
      <c r="A225" s="1"/>
      <c r="B225" s="327"/>
      <c r="C225" s="327"/>
      <c r="D225" s="327"/>
      <c r="E225" s="327"/>
      <c r="F225" s="327"/>
      <c r="G225" s="327"/>
      <c r="H225" s="327"/>
      <c r="I225" s="327"/>
      <c r="J225" s="327"/>
      <c r="K225" s="327"/>
      <c r="L225" s="327"/>
      <c r="M225" s="327"/>
      <c r="N225" s="327"/>
      <c r="O225" s="1"/>
    </row>
    <row r="226" spans="1:15" x14ac:dyDescent="0.25">
      <c r="A226" s="1"/>
      <c r="B226" s="327"/>
      <c r="C226" s="327"/>
      <c r="D226" s="327"/>
      <c r="E226" s="327"/>
      <c r="F226" s="327"/>
      <c r="G226" s="327"/>
      <c r="H226" s="327"/>
      <c r="I226" s="327"/>
      <c r="J226" s="327"/>
      <c r="K226" s="327"/>
      <c r="L226" s="327"/>
      <c r="M226" s="327"/>
      <c r="N226" s="327"/>
      <c r="O226" s="1"/>
    </row>
    <row r="227" spans="1:15" x14ac:dyDescent="0.25">
      <c r="A227" s="1"/>
      <c r="C227" s="327"/>
      <c r="D227" s="327"/>
      <c r="E227" s="327"/>
      <c r="F227" s="327"/>
      <c r="G227" s="327"/>
      <c r="H227" s="327"/>
      <c r="I227" s="327"/>
      <c r="J227" s="327"/>
      <c r="K227" s="327"/>
      <c r="L227" s="327"/>
      <c r="M227" s="327"/>
      <c r="N227" s="327"/>
      <c r="O227" s="1"/>
    </row>
    <row r="228" spans="1:15" x14ac:dyDescent="0.25">
      <c r="A228" s="1"/>
      <c r="B228" s="328" t="s">
        <v>666</v>
      </c>
      <c r="C228" s="327"/>
      <c r="D228" s="327"/>
      <c r="E228" s="327"/>
      <c r="F228" s="327"/>
      <c r="G228" s="327"/>
      <c r="H228" s="327"/>
      <c r="I228" s="327"/>
      <c r="J228" s="327"/>
      <c r="K228" s="327"/>
      <c r="L228" s="327"/>
      <c r="M228" s="327"/>
      <c r="N228" s="327"/>
      <c r="O228" s="1"/>
    </row>
    <row r="229" spans="1:15" x14ac:dyDescent="0.25">
      <c r="A229" s="1"/>
      <c r="C229" s="327"/>
      <c r="D229" s="327"/>
      <c r="E229" s="327"/>
      <c r="F229" s="327"/>
      <c r="G229" s="327"/>
      <c r="H229" s="327"/>
      <c r="I229" s="327"/>
      <c r="J229" s="327"/>
      <c r="K229" s="327"/>
      <c r="L229" s="327"/>
      <c r="M229" s="327"/>
      <c r="N229" s="327"/>
      <c r="O229" s="1"/>
    </row>
    <row r="230" spans="1:15" x14ac:dyDescent="0.25">
      <c r="A230" s="1"/>
      <c r="B230" s="327" t="s">
        <v>667</v>
      </c>
      <c r="C230" s="327"/>
      <c r="D230" s="327"/>
      <c r="E230" s="327"/>
      <c r="F230" s="327"/>
      <c r="G230" s="327"/>
      <c r="H230" s="327"/>
      <c r="I230" s="327"/>
      <c r="J230" s="327"/>
      <c r="K230" s="327"/>
      <c r="L230" s="327"/>
      <c r="M230" s="327"/>
      <c r="N230" s="327"/>
      <c r="O230" s="1"/>
    </row>
    <row r="231" spans="1:15" x14ac:dyDescent="0.25">
      <c r="A231" s="1"/>
      <c r="B231" s="327" t="s">
        <v>668</v>
      </c>
      <c r="C231" s="327"/>
      <c r="D231" s="327"/>
      <c r="E231" s="327"/>
      <c r="F231" s="327"/>
      <c r="G231" s="327"/>
      <c r="H231" s="327"/>
      <c r="I231" s="327"/>
      <c r="J231" s="327"/>
      <c r="K231" s="327"/>
      <c r="L231" s="327"/>
      <c r="M231" s="327"/>
      <c r="N231" s="327"/>
      <c r="O231" s="1"/>
    </row>
    <row r="232" spans="1:15" x14ac:dyDescent="0.25">
      <c r="A232" s="1"/>
      <c r="B232" s="327"/>
      <c r="C232" s="327"/>
      <c r="D232" s="327"/>
      <c r="E232" s="327"/>
      <c r="F232" s="327"/>
      <c r="G232" s="327"/>
      <c r="H232" s="327"/>
      <c r="I232" s="327"/>
      <c r="J232" s="327"/>
      <c r="K232" s="327"/>
      <c r="L232" s="327"/>
      <c r="M232" s="327"/>
      <c r="N232" s="327"/>
      <c r="O232" s="1"/>
    </row>
    <row r="233" spans="1:15" x14ac:dyDescent="0.25">
      <c r="A233" s="1"/>
      <c r="B233" s="329" t="s">
        <v>361</v>
      </c>
      <c r="C233" s="327"/>
      <c r="D233" s="327"/>
      <c r="E233" s="327"/>
      <c r="F233" s="327"/>
      <c r="G233" s="327"/>
      <c r="H233" s="327"/>
      <c r="I233" s="327"/>
      <c r="J233" s="327"/>
      <c r="K233" s="327"/>
      <c r="L233" s="327"/>
      <c r="M233" s="327"/>
      <c r="N233" s="327"/>
      <c r="O233" s="1"/>
    </row>
    <row r="234" spans="1:15" x14ac:dyDescent="0.25">
      <c r="A234" s="1"/>
      <c r="B234" s="329" t="s">
        <v>362</v>
      </c>
      <c r="C234" s="327"/>
      <c r="D234" s="327"/>
      <c r="E234" s="327"/>
      <c r="F234" s="327"/>
      <c r="G234" s="327"/>
      <c r="H234" s="327"/>
      <c r="I234" s="327"/>
      <c r="J234" s="327"/>
      <c r="K234" s="327"/>
      <c r="L234" s="327"/>
      <c r="M234" s="327"/>
      <c r="N234" s="327"/>
      <c r="O234" s="1"/>
    </row>
    <row r="235" spans="1:15" x14ac:dyDescent="0.25">
      <c r="A235" s="1"/>
      <c r="B235" s="329"/>
      <c r="C235" s="327"/>
      <c r="D235" s="327"/>
      <c r="E235" s="327"/>
      <c r="F235" s="327"/>
      <c r="G235" s="327"/>
      <c r="H235" s="327"/>
      <c r="I235" s="327"/>
      <c r="J235" s="327"/>
      <c r="K235" s="327"/>
      <c r="L235" s="327"/>
      <c r="M235" s="327"/>
      <c r="N235" s="327"/>
      <c r="O235" s="1"/>
    </row>
    <row r="236" spans="1:15" x14ac:dyDescent="0.25">
      <c r="A236" s="1"/>
      <c r="B236" s="329" t="s">
        <v>532</v>
      </c>
      <c r="C236" s="327"/>
      <c r="D236" s="327"/>
      <c r="E236" s="327"/>
      <c r="F236" s="327"/>
      <c r="G236" s="327"/>
      <c r="H236" s="327"/>
      <c r="I236" s="327"/>
      <c r="J236" s="327"/>
      <c r="K236" s="327"/>
      <c r="L236" s="327"/>
      <c r="M236" s="327"/>
      <c r="N236" s="327"/>
      <c r="O236" s="1"/>
    </row>
    <row r="237" spans="1:15" x14ac:dyDescent="0.25">
      <c r="A237" s="1"/>
      <c r="B237" s="329" t="s">
        <v>614</v>
      </c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x14ac:dyDescent="0.25">
      <c r="A238" s="1"/>
      <c r="B238" s="329" t="s">
        <v>615</v>
      </c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x14ac:dyDescent="0.25">
      <c r="A239" s="1"/>
      <c r="B239" s="329" t="s">
        <v>669</v>
      </c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x14ac:dyDescent="0.25">
      <c r="A240" s="1"/>
      <c r="B240" s="326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5:15" x14ac:dyDescent="0.25">
      <c r="O241" s="1"/>
    </row>
  </sheetData>
  <mergeCells count="24">
    <mergeCell ref="A211:B211"/>
    <mergeCell ref="A138:B138"/>
    <mergeCell ref="A142:M142"/>
    <mergeCell ref="A143:B143"/>
    <mergeCell ref="A144:B144"/>
    <mergeCell ref="A157:B157"/>
    <mergeCell ref="A179:M179"/>
    <mergeCell ref="A180:B180"/>
    <mergeCell ref="A201:M201"/>
    <mergeCell ref="A202:B202"/>
    <mergeCell ref="A205:B205"/>
    <mergeCell ref="A208:B208"/>
    <mergeCell ref="A137:B137"/>
    <mergeCell ref="A1:M1"/>
    <mergeCell ref="A2:B2"/>
    <mergeCell ref="A3:B3"/>
    <mergeCell ref="A11:B11"/>
    <mergeCell ref="A68:B68"/>
    <mergeCell ref="A70:B70"/>
    <mergeCell ref="A71:B71"/>
    <mergeCell ref="A75:M75"/>
    <mergeCell ref="A76:B76"/>
    <mergeCell ref="A92:B92"/>
    <mergeCell ref="A133:B133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headerFooter>
    <oddHeader xml:space="preserve">&amp;CRozpočet obce Heľpa na rok 2025
4. zmena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14</vt:i4>
      </vt:variant>
    </vt:vector>
  </HeadingPairs>
  <TitlesOfParts>
    <vt:vector size="14" baseType="lpstr">
      <vt:lpstr>zmena 8</vt:lpstr>
      <vt:lpstr>úpravy OZ</vt:lpstr>
      <vt:lpstr>Plán investícií 25</vt:lpstr>
      <vt:lpstr>úpravy ST</vt:lpstr>
      <vt:lpstr>opatrenia</vt:lpstr>
      <vt:lpstr>zmena 7 </vt:lpstr>
      <vt:lpstr>zmena 6</vt:lpstr>
      <vt:lpstr>zmena 5</vt:lpstr>
      <vt:lpstr>zmena 4</vt:lpstr>
      <vt:lpstr>zmena 3</vt:lpstr>
      <vt:lpstr>zmena 2</vt:lpstr>
      <vt:lpstr>zmena 1</vt:lpstr>
      <vt:lpstr>R2025</vt:lpstr>
      <vt:lpstr>VR25-27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2026-02-05T11:41:07Z</dcterms:modified>
</cp:coreProperties>
</file>