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664088E8-834F-4AFE-9A32-0FC184EBF1F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VR25-27" sheetId="1" r:id="rId1"/>
    <sheet name="Plán investícií 25" sheetId="8" r:id="rId2"/>
  </sheets>
  <calcPr calcId="191029"/>
</workbook>
</file>

<file path=xl/calcChain.xml><?xml version="1.0" encoding="utf-8"?>
<calcChain xmlns="http://schemas.openxmlformats.org/spreadsheetml/2006/main">
  <c r="L243" i="1" l="1"/>
  <c r="C11" i="8"/>
  <c r="C13" i="8"/>
  <c r="F11" i="8"/>
  <c r="F13" i="8"/>
  <c r="G11" i="8"/>
  <c r="P31" i="1" l="1"/>
  <c r="Q31" i="1"/>
  <c r="R31" i="1"/>
  <c r="S31" i="1"/>
  <c r="T31" i="1"/>
  <c r="U31" i="1"/>
  <c r="O31" i="1"/>
  <c r="P16" i="1"/>
  <c r="Q16" i="1"/>
  <c r="R16" i="1"/>
  <c r="S16" i="1"/>
  <c r="T16" i="1"/>
  <c r="U16" i="1"/>
  <c r="O16" i="1"/>
  <c r="P10" i="1"/>
  <c r="Q10" i="1"/>
  <c r="R10" i="1"/>
  <c r="S10" i="1"/>
  <c r="T10" i="1"/>
  <c r="U10" i="1"/>
  <c r="O10" i="1"/>
  <c r="G26" i="8"/>
  <c r="L21" i="8" l="1"/>
  <c r="G20" i="8" l="1"/>
  <c r="C20" i="8"/>
  <c r="F20" i="8"/>
  <c r="M11" i="8"/>
  <c r="G22" i="8"/>
  <c r="H22" i="8"/>
  <c r="I22" i="8"/>
  <c r="C12" i="8" l="1"/>
  <c r="C16" i="8"/>
  <c r="D28" i="8"/>
  <c r="F14" i="8"/>
  <c r="F12" i="8"/>
  <c r="C19" i="8"/>
  <c r="M19" i="8" s="1"/>
  <c r="F19" i="8"/>
  <c r="C14" i="8" l="1"/>
  <c r="M16" i="8" s="1"/>
  <c r="K234" i="1" l="1"/>
  <c r="K203" i="1"/>
  <c r="K151" i="1"/>
  <c r="J151" i="1"/>
  <c r="O141" i="1"/>
  <c r="P141" i="1"/>
  <c r="Q141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P236" i="1" l="1"/>
  <c r="Q236" i="1"/>
  <c r="L181" i="1"/>
  <c r="L4" i="8" l="1"/>
  <c r="J28" i="8"/>
  <c r="G27" i="8"/>
  <c r="G24" i="8"/>
  <c r="F18" i="8"/>
  <c r="F16" i="8"/>
  <c r="C21" i="8"/>
  <c r="D21" i="8"/>
  <c r="J16" i="8" l="1"/>
  <c r="K16" i="8" s="1"/>
  <c r="F22" i="8"/>
  <c r="G25" i="8"/>
  <c r="L19" i="8"/>
  <c r="J7" i="8" l="1"/>
  <c r="K7" i="8" s="1"/>
  <c r="D29" i="8" l="1"/>
  <c r="J29" i="8" s="1"/>
  <c r="D14" i="8"/>
  <c r="D22" i="8" s="1"/>
  <c r="L237" i="1"/>
  <c r="J15" i="8" l="1"/>
  <c r="K15" i="8" s="1"/>
  <c r="J18" i="8"/>
  <c r="K18" i="8" s="1"/>
  <c r="C5" i="8"/>
  <c r="L7" i="8" l="1"/>
  <c r="I250" i="1"/>
  <c r="I267" i="1" s="1"/>
  <c r="I229" i="1"/>
  <c r="I266" i="1" s="1"/>
  <c r="I188" i="1"/>
  <c r="I264" i="1" s="1"/>
  <c r="I169" i="1"/>
  <c r="I263" i="1" s="1"/>
  <c r="I151" i="1"/>
  <c r="I152" i="1"/>
  <c r="I153" i="1"/>
  <c r="I154" i="1"/>
  <c r="I157" i="1"/>
  <c r="I161" i="1"/>
  <c r="I162" i="1" s="1"/>
  <c r="I135" i="1"/>
  <c r="I129" i="1"/>
  <c r="I124" i="1"/>
  <c r="I119" i="1"/>
  <c r="I114" i="1"/>
  <c r="I110" i="1"/>
  <c r="I107" i="1"/>
  <c r="I105" i="1"/>
  <c r="I99" i="1"/>
  <c r="I92" i="1"/>
  <c r="I89" i="1"/>
  <c r="I42" i="1"/>
  <c r="I40" i="1"/>
  <c r="I93" i="1" l="1"/>
  <c r="I265" i="1"/>
  <c r="I158" i="1"/>
  <c r="I163" i="1" s="1"/>
  <c r="I268" i="1"/>
  <c r="I150" i="1"/>
  <c r="I164" i="1" l="1"/>
  <c r="I261" i="1" s="1"/>
  <c r="I272" i="1" s="1"/>
  <c r="I275" i="1" s="1"/>
  <c r="I278" i="1" s="1"/>
  <c r="I34" i="1"/>
  <c r="I32" i="1"/>
  <c r="I11" i="1"/>
  <c r="I3" i="1"/>
  <c r="I85" i="1" l="1"/>
  <c r="I94" i="1" s="1"/>
  <c r="I260" i="1" s="1"/>
  <c r="O13" i="8"/>
  <c r="O7" i="8"/>
  <c r="O10" i="8"/>
  <c r="O9" i="8"/>
  <c r="P18" i="8"/>
  <c r="O6" i="8"/>
  <c r="O5" i="8"/>
  <c r="C8" i="8"/>
  <c r="C22" i="8" s="1"/>
  <c r="D30" i="8"/>
  <c r="I24" i="8"/>
  <c r="H24" i="8"/>
  <c r="F24" i="8"/>
  <c r="E24" i="8"/>
  <c r="D24" i="8"/>
  <c r="C24" i="8"/>
  <c r="J23" i="8"/>
  <c r="J24" i="8" s="1"/>
  <c r="E19" i="8"/>
  <c r="E22" i="8" s="1"/>
  <c r="J17" i="8"/>
  <c r="J14" i="8"/>
  <c r="K14" i="8" s="1"/>
  <c r="J13" i="8"/>
  <c r="K13" i="8" s="1"/>
  <c r="J11" i="8"/>
  <c r="J10" i="8"/>
  <c r="K10" i="8" s="1"/>
  <c r="J9" i="8"/>
  <c r="K9" i="8" s="1"/>
  <c r="J8" i="8"/>
  <c r="J5" i="8"/>
  <c r="J4" i="8"/>
  <c r="J19" i="8" l="1"/>
  <c r="C25" i="8"/>
  <c r="L13" i="8"/>
  <c r="L23" i="8" s="1"/>
  <c r="I262" i="1"/>
  <c r="I269" i="1" s="1"/>
  <c r="I271" i="1"/>
  <c r="I274" i="1" s="1"/>
  <c r="I277" i="1" s="1"/>
  <c r="K24" i="8"/>
  <c r="K8" i="8"/>
  <c r="H25" i="8"/>
  <c r="K11" i="8"/>
  <c r="I25" i="8"/>
  <c r="F25" i="8"/>
  <c r="F27" i="8" s="1"/>
  <c r="K23" i="8"/>
  <c r="J21" i="8"/>
  <c r="K21" i="8" s="1"/>
  <c r="E25" i="8"/>
  <c r="K17" i="8"/>
  <c r="K19" i="8"/>
  <c r="J6" i="8"/>
  <c r="K6" i="8" s="1"/>
  <c r="J12" i="8"/>
  <c r="K12" i="8" s="1"/>
  <c r="J20" i="8"/>
  <c r="O18" i="8"/>
  <c r="K4" i="8"/>
  <c r="D25" i="8"/>
  <c r="D31" i="8" s="1"/>
  <c r="K5" i="8"/>
  <c r="K20" i="8" l="1"/>
  <c r="J22" i="8"/>
  <c r="J25" i="8" s="1"/>
  <c r="K25" i="8" s="1"/>
  <c r="I279" i="1"/>
  <c r="K22" i="8" l="1"/>
  <c r="Q241" i="1" l="1"/>
  <c r="P241" i="1"/>
  <c r="L231" i="1"/>
  <c r="L151" i="1"/>
  <c r="O81" i="1"/>
  <c r="M86" i="1" l="1"/>
  <c r="N86" i="1"/>
  <c r="L86" i="1"/>
  <c r="M73" i="1"/>
  <c r="N73" i="1"/>
  <c r="L73" i="1"/>
  <c r="M72" i="1"/>
  <c r="N72" i="1"/>
  <c r="L72" i="1"/>
  <c r="M69" i="1"/>
  <c r="N69" i="1"/>
  <c r="L69" i="1"/>
  <c r="M53" i="1" l="1"/>
  <c r="P84" i="1" s="1"/>
  <c r="N53" i="1"/>
  <c r="Q84" i="1" s="1"/>
  <c r="L53" i="1"/>
  <c r="N40" i="1"/>
  <c r="M40" i="1"/>
  <c r="L40" i="1"/>
  <c r="G250" i="1" l="1"/>
  <c r="H250" i="1"/>
  <c r="J250" i="1"/>
  <c r="K250" i="1"/>
  <c r="L250" i="1"/>
  <c r="M250" i="1"/>
  <c r="N250" i="1"/>
  <c r="G229" i="1"/>
  <c r="H229" i="1"/>
  <c r="K229" i="1"/>
  <c r="L229" i="1"/>
  <c r="M229" i="1"/>
  <c r="N229" i="1"/>
  <c r="F229" i="1"/>
  <c r="H188" i="1"/>
  <c r="J188" i="1"/>
  <c r="K188" i="1"/>
  <c r="L188" i="1"/>
  <c r="M188" i="1"/>
  <c r="N188" i="1"/>
  <c r="G169" i="1"/>
  <c r="H169" i="1"/>
  <c r="J169" i="1"/>
  <c r="K169" i="1"/>
  <c r="L169" i="1"/>
  <c r="M169" i="1"/>
  <c r="N169" i="1"/>
  <c r="H42" i="1"/>
  <c r="K42" i="1"/>
  <c r="L42" i="1"/>
  <c r="M42" i="1"/>
  <c r="N42" i="1"/>
  <c r="G34" i="1"/>
  <c r="H34" i="1"/>
  <c r="J34" i="1"/>
  <c r="K34" i="1"/>
  <c r="L34" i="1"/>
  <c r="M34" i="1"/>
  <c r="N34" i="1"/>
  <c r="G32" i="1"/>
  <c r="H32" i="1"/>
  <c r="J32" i="1"/>
  <c r="K32" i="1"/>
  <c r="L32" i="1"/>
  <c r="M32" i="1"/>
  <c r="N32" i="1"/>
  <c r="G11" i="1"/>
  <c r="H11" i="1"/>
  <c r="K11" i="1"/>
  <c r="L11" i="1"/>
  <c r="M11" i="1"/>
  <c r="N11" i="1"/>
  <c r="G3" i="1"/>
  <c r="H3" i="1"/>
  <c r="J3" i="1"/>
  <c r="K3" i="1"/>
  <c r="L3" i="1"/>
  <c r="M3" i="1"/>
  <c r="N3" i="1"/>
  <c r="H85" i="1" l="1"/>
  <c r="K85" i="1"/>
  <c r="M85" i="1"/>
  <c r="N85" i="1"/>
  <c r="L85" i="1"/>
  <c r="O188" i="1" l="1"/>
  <c r="S241" i="1" s="1"/>
  <c r="P243" i="1"/>
  <c r="Q243" i="1"/>
  <c r="P246" i="1" l="1"/>
  <c r="Q246" i="1"/>
  <c r="O241" i="1"/>
  <c r="O236" i="1" l="1"/>
  <c r="O187" i="1" l="1"/>
  <c r="O243" i="1"/>
  <c r="S242" i="1" s="1"/>
  <c r="O246" i="1"/>
  <c r="O13" i="1" l="1"/>
  <c r="L161" i="1"/>
  <c r="M152" i="1"/>
  <c r="N152" i="1"/>
  <c r="L152" i="1"/>
  <c r="O84" i="1" l="1"/>
  <c r="K153" i="1"/>
  <c r="K161" i="1"/>
  <c r="K124" i="1"/>
  <c r="K105" i="1"/>
  <c r="L99" i="1"/>
  <c r="L105" i="1"/>
  <c r="L107" i="1"/>
  <c r="L110" i="1"/>
  <c r="L114" i="1"/>
  <c r="L119" i="1"/>
  <c r="L124" i="1"/>
  <c r="L129" i="1"/>
  <c r="L135" i="1"/>
  <c r="L153" i="1"/>
  <c r="L154" i="1"/>
  <c r="L157" i="1"/>
  <c r="O157" i="1" s="1"/>
  <c r="L162" i="1"/>
  <c r="K263" i="1"/>
  <c r="L263" i="1"/>
  <c r="K264" i="1"/>
  <c r="L264" i="1"/>
  <c r="K267" i="1"/>
  <c r="L267" i="1"/>
  <c r="K89" i="1"/>
  <c r="L89" i="1"/>
  <c r="K92" i="1"/>
  <c r="L92" i="1"/>
  <c r="K107" i="1" l="1"/>
  <c r="K158" i="1"/>
  <c r="O155" i="1"/>
  <c r="K135" i="1"/>
  <c r="K119" i="1"/>
  <c r="K129" i="1"/>
  <c r="K114" i="1"/>
  <c r="K110" i="1"/>
  <c r="K162" i="1"/>
  <c r="K99" i="1"/>
  <c r="L266" i="1"/>
  <c r="L268" i="1" s="1"/>
  <c r="L158" i="1"/>
  <c r="L163" i="1" s="1"/>
  <c r="K266" i="1"/>
  <c r="K268" i="1" s="1"/>
  <c r="L265" i="1"/>
  <c r="K265" i="1"/>
  <c r="L150" i="1"/>
  <c r="K93" i="1"/>
  <c r="K94" i="1" s="1"/>
  <c r="L93" i="1"/>
  <c r="L94" i="1" s="1"/>
  <c r="K163" i="1" l="1"/>
  <c r="L260" i="1"/>
  <c r="L271" i="1" s="1"/>
  <c r="K150" i="1"/>
  <c r="L164" i="1"/>
  <c r="L261" i="1" s="1"/>
  <c r="L272" i="1" s="1"/>
  <c r="K260" i="1"/>
  <c r="K271" i="1" s="1"/>
  <c r="K164" i="1" l="1"/>
  <c r="K261" i="1" s="1"/>
  <c r="K272" i="1" s="1"/>
  <c r="K275" i="1" s="1"/>
  <c r="K278" i="1" s="1"/>
  <c r="K274" i="1"/>
  <c r="K277" i="1" s="1"/>
  <c r="L275" i="1"/>
  <c r="L278" i="1" s="1"/>
  <c r="L274" i="1"/>
  <c r="L277" i="1" s="1"/>
  <c r="L262" i="1"/>
  <c r="K262" i="1" l="1"/>
  <c r="O262" i="1"/>
  <c r="L269" i="1"/>
  <c r="L279" i="1" s="1"/>
  <c r="K269" i="1" l="1"/>
  <c r="K279" i="1" s="1"/>
  <c r="E34" i="1" l="1"/>
  <c r="F34" i="1"/>
  <c r="G196" i="1" l="1"/>
  <c r="G188" i="1" s="1"/>
  <c r="G160" i="1"/>
  <c r="G48" i="1"/>
  <c r="G75" i="1"/>
  <c r="G59" i="1"/>
  <c r="G42" i="1" l="1"/>
  <c r="G85" i="1" s="1"/>
  <c r="C277" i="1" l="1"/>
  <c r="E250" i="1"/>
  <c r="F250" i="1"/>
  <c r="H267" i="1"/>
  <c r="E229" i="1"/>
  <c r="H266" i="1"/>
  <c r="H264" i="1"/>
  <c r="H263" i="1"/>
  <c r="H151" i="1"/>
  <c r="H153" i="1"/>
  <c r="H154" i="1"/>
  <c r="H157" i="1"/>
  <c r="H161" i="1"/>
  <c r="M151" i="1"/>
  <c r="N151" i="1"/>
  <c r="H124" i="1"/>
  <c r="H107" i="1"/>
  <c r="H105" i="1"/>
  <c r="H92" i="1"/>
  <c r="J92" i="1"/>
  <c r="M92" i="1"/>
  <c r="N92" i="1"/>
  <c r="H89" i="1"/>
  <c r="J89" i="1"/>
  <c r="M89" i="1"/>
  <c r="N89" i="1"/>
  <c r="N93" i="1" l="1"/>
  <c r="N94" i="1" s="1"/>
  <c r="H268" i="1"/>
  <c r="H119" i="1"/>
  <c r="H162" i="1"/>
  <c r="H158" i="1"/>
  <c r="H265" i="1"/>
  <c r="H99" i="1"/>
  <c r="M93" i="1"/>
  <c r="M94" i="1" s="1"/>
  <c r="H93" i="1"/>
  <c r="H94" i="1" s="1"/>
  <c r="J93" i="1"/>
  <c r="H114" i="1"/>
  <c r="H110" i="1"/>
  <c r="H135" i="1"/>
  <c r="H129" i="1"/>
  <c r="H163" i="1" l="1"/>
  <c r="H150" i="1"/>
  <c r="H164" i="1" l="1"/>
  <c r="H261" i="1" s="1"/>
  <c r="H272" i="1" s="1"/>
  <c r="H275" i="1" s="1"/>
  <c r="H278" i="1" s="1"/>
  <c r="J42" i="1" l="1"/>
  <c r="M264" i="1" l="1"/>
  <c r="M266" i="1"/>
  <c r="M267" i="1"/>
  <c r="J229" i="1"/>
  <c r="M263" i="1"/>
  <c r="N263" i="1"/>
  <c r="N264" i="1"/>
  <c r="M153" i="1"/>
  <c r="N153" i="1"/>
  <c r="M154" i="1"/>
  <c r="N154" i="1"/>
  <c r="M157" i="1"/>
  <c r="N157" i="1"/>
  <c r="M161" i="1"/>
  <c r="M162" i="1" s="1"/>
  <c r="N161" i="1"/>
  <c r="N162" i="1" s="1"/>
  <c r="M135" i="1"/>
  <c r="N135" i="1"/>
  <c r="M129" i="1"/>
  <c r="N129" i="1"/>
  <c r="M124" i="1"/>
  <c r="N124" i="1"/>
  <c r="M119" i="1"/>
  <c r="N119" i="1"/>
  <c r="M114" i="1"/>
  <c r="N114" i="1"/>
  <c r="M110" i="1"/>
  <c r="N110" i="1"/>
  <c r="M107" i="1"/>
  <c r="N107" i="1"/>
  <c r="M105" i="1"/>
  <c r="N105" i="1"/>
  <c r="M99" i="1"/>
  <c r="N99" i="1"/>
  <c r="H260" i="1"/>
  <c r="H271" i="1" s="1"/>
  <c r="H274" i="1" s="1"/>
  <c r="H277" i="1" s="1"/>
  <c r="M260" i="1" l="1"/>
  <c r="M271" i="1" s="1"/>
  <c r="M274" i="1" s="1"/>
  <c r="M277" i="1" s="1"/>
  <c r="H262" i="1"/>
  <c r="H269" i="1" s="1"/>
  <c r="H279" i="1" s="1"/>
  <c r="M265" i="1"/>
  <c r="N158" i="1"/>
  <c r="N163" i="1" s="1"/>
  <c r="N265" i="1"/>
  <c r="N150" i="1"/>
  <c r="M268" i="1"/>
  <c r="M158" i="1"/>
  <c r="M163" i="1" s="1"/>
  <c r="M150" i="1"/>
  <c r="N164" i="1" l="1"/>
  <c r="N261" i="1" s="1"/>
  <c r="M164" i="1"/>
  <c r="M261" i="1" s="1"/>
  <c r="M272" i="1" s="1"/>
  <c r="M275" i="1" l="1"/>
  <c r="M278" i="1" s="1"/>
  <c r="M262" i="1"/>
  <c r="M269" i="1" l="1"/>
  <c r="M279" i="1" s="1"/>
  <c r="P262" i="1"/>
  <c r="N266" i="1" l="1"/>
  <c r="D229" i="1"/>
  <c r="N267" i="1"/>
  <c r="N272" i="1" s="1"/>
  <c r="N275" i="1" s="1"/>
  <c r="N278" i="1" s="1"/>
  <c r="F188" i="1"/>
  <c r="G124" i="1"/>
  <c r="G110" i="1"/>
  <c r="G107" i="1"/>
  <c r="G105" i="1"/>
  <c r="F42" i="1"/>
  <c r="E42" i="1"/>
  <c r="E92" i="1"/>
  <c r="F92" i="1"/>
  <c r="G92" i="1"/>
  <c r="D92" i="1"/>
  <c r="E135" i="1"/>
  <c r="F135" i="1"/>
  <c r="G135" i="1"/>
  <c r="G99" i="1" l="1"/>
  <c r="G119" i="1"/>
  <c r="N268" i="1"/>
  <c r="G114" i="1"/>
  <c r="F267" i="1"/>
  <c r="F266" i="1"/>
  <c r="F264" i="1"/>
  <c r="F169" i="1"/>
  <c r="F263" i="1" s="1"/>
  <c r="F162" i="1"/>
  <c r="F151" i="1"/>
  <c r="F153" i="1"/>
  <c r="F157" i="1"/>
  <c r="F129" i="1"/>
  <c r="F124" i="1"/>
  <c r="F119" i="1"/>
  <c r="F114" i="1"/>
  <c r="F110" i="1"/>
  <c r="F107" i="1"/>
  <c r="F105" i="1"/>
  <c r="F99" i="1"/>
  <c r="F89" i="1"/>
  <c r="F93" i="1" s="1"/>
  <c r="F32" i="1"/>
  <c r="F11" i="1"/>
  <c r="F3" i="1"/>
  <c r="F265" i="1" l="1"/>
  <c r="F268" i="1"/>
  <c r="F158" i="1"/>
  <c r="F163" i="1" s="1"/>
  <c r="F150" i="1"/>
  <c r="F85" i="1"/>
  <c r="F94" i="1" s="1"/>
  <c r="F260" i="1" s="1"/>
  <c r="F271" i="1" s="1"/>
  <c r="F274" i="1" l="1"/>
  <c r="F277" i="1" s="1"/>
  <c r="F164" i="1"/>
  <c r="F261" i="1" s="1"/>
  <c r="F262" i="1" s="1"/>
  <c r="F269" i="1" s="1"/>
  <c r="F272" i="1" l="1"/>
  <c r="J135" i="1"/>
  <c r="F275" i="1" l="1"/>
  <c r="F278" i="1" s="1"/>
  <c r="F279" i="1" s="1"/>
  <c r="J11" i="1"/>
  <c r="J85" i="1" s="1"/>
  <c r="J94" i="1" s="1"/>
  <c r="C229" i="1" l="1"/>
  <c r="E188" i="1"/>
  <c r="D169" i="1"/>
  <c r="E169" i="1"/>
  <c r="D42" i="1"/>
  <c r="D11" i="1"/>
  <c r="E11" i="1"/>
  <c r="D3" i="1"/>
  <c r="E3" i="1"/>
  <c r="E151" i="1"/>
  <c r="J266" i="1" l="1"/>
  <c r="J267" i="1"/>
  <c r="J263" i="1"/>
  <c r="J264" i="1"/>
  <c r="J99" i="1"/>
  <c r="J105" i="1"/>
  <c r="J107" i="1"/>
  <c r="J110" i="1"/>
  <c r="J114" i="1"/>
  <c r="J119" i="1"/>
  <c r="J124" i="1"/>
  <c r="J129" i="1"/>
  <c r="J153" i="1"/>
  <c r="J154" i="1"/>
  <c r="J157" i="1"/>
  <c r="J161" i="1"/>
  <c r="J162" i="1" s="1"/>
  <c r="G267" i="1"/>
  <c r="E267" i="1"/>
  <c r="D250" i="1"/>
  <c r="D267" i="1" s="1"/>
  <c r="C250" i="1"/>
  <c r="C267" i="1" s="1"/>
  <c r="G266" i="1"/>
  <c r="E266" i="1"/>
  <c r="C266" i="1"/>
  <c r="E264" i="1"/>
  <c r="G263" i="1"/>
  <c r="E263" i="1"/>
  <c r="D263" i="1"/>
  <c r="C169" i="1"/>
  <c r="C263" i="1" s="1"/>
  <c r="G161" i="1"/>
  <c r="G162" i="1" s="1"/>
  <c r="E161" i="1"/>
  <c r="D161" i="1"/>
  <c r="C161" i="1"/>
  <c r="E159" i="1"/>
  <c r="D159" i="1"/>
  <c r="C159" i="1"/>
  <c r="G157" i="1"/>
  <c r="E157" i="1"/>
  <c r="D157" i="1"/>
  <c r="C157" i="1"/>
  <c r="D156" i="1"/>
  <c r="G153" i="1"/>
  <c r="E153" i="1"/>
  <c r="D153" i="1"/>
  <c r="C153" i="1"/>
  <c r="D151" i="1"/>
  <c r="C151" i="1"/>
  <c r="D135" i="1"/>
  <c r="C135" i="1"/>
  <c r="E129" i="1"/>
  <c r="D129" i="1"/>
  <c r="C129" i="1"/>
  <c r="E124" i="1"/>
  <c r="D124" i="1"/>
  <c r="C124" i="1"/>
  <c r="E119" i="1"/>
  <c r="D119" i="1"/>
  <c r="C119" i="1"/>
  <c r="E114" i="1"/>
  <c r="D114" i="1"/>
  <c r="C114" i="1"/>
  <c r="E110" i="1"/>
  <c r="D110" i="1"/>
  <c r="C110" i="1"/>
  <c r="E107" i="1"/>
  <c r="D107" i="1"/>
  <c r="C107" i="1"/>
  <c r="E105" i="1"/>
  <c r="D105" i="1"/>
  <c r="C105" i="1"/>
  <c r="E99" i="1"/>
  <c r="D99" i="1"/>
  <c r="C99" i="1"/>
  <c r="G89" i="1"/>
  <c r="G93" i="1" s="1"/>
  <c r="G94" i="1" s="1"/>
  <c r="E89" i="1"/>
  <c r="E93" i="1" s="1"/>
  <c r="D89" i="1"/>
  <c r="D93" i="1" s="1"/>
  <c r="C89" i="1"/>
  <c r="C93" i="1" s="1"/>
  <c r="G151" i="1"/>
  <c r="C42" i="1"/>
  <c r="D40" i="1"/>
  <c r="D34" i="1" s="1"/>
  <c r="C40" i="1"/>
  <c r="C34" i="1" s="1"/>
  <c r="E32" i="1"/>
  <c r="D32" i="1"/>
  <c r="C32" i="1"/>
  <c r="C26" i="1"/>
  <c r="C11" i="1" s="1"/>
  <c r="C3" i="1"/>
  <c r="D158" i="1" l="1"/>
  <c r="C162" i="1"/>
  <c r="D188" i="1"/>
  <c r="D264" i="1" s="1"/>
  <c r="D265" i="1" s="1"/>
  <c r="C188" i="1"/>
  <c r="C264" i="1" s="1"/>
  <c r="C265" i="1" s="1"/>
  <c r="C158" i="1"/>
  <c r="E158" i="1"/>
  <c r="D150" i="1"/>
  <c r="D162" i="1"/>
  <c r="E268" i="1"/>
  <c r="J265" i="1"/>
  <c r="J150" i="1"/>
  <c r="J268" i="1"/>
  <c r="C85" i="1"/>
  <c r="C94" i="1" s="1"/>
  <c r="C260" i="1" s="1"/>
  <c r="E150" i="1"/>
  <c r="G129" i="1"/>
  <c r="E162" i="1"/>
  <c r="E265" i="1"/>
  <c r="J158" i="1"/>
  <c r="J163" i="1" s="1"/>
  <c r="D85" i="1"/>
  <c r="C150" i="1"/>
  <c r="C268" i="1"/>
  <c r="G268" i="1"/>
  <c r="G158" i="1"/>
  <c r="G163" i="1" s="1"/>
  <c r="E85" i="1"/>
  <c r="J164" i="1" l="1"/>
  <c r="J261" i="1" s="1"/>
  <c r="J272" i="1" s="1"/>
  <c r="J275" i="1" s="1"/>
  <c r="J278" i="1" s="1"/>
  <c r="E163" i="1"/>
  <c r="E164" i="1" s="1"/>
  <c r="E261" i="1" s="1"/>
  <c r="E272" i="1" s="1"/>
  <c r="C163" i="1"/>
  <c r="C164" i="1" s="1"/>
  <c r="C261" i="1" s="1"/>
  <c r="C272" i="1" s="1"/>
  <c r="C275" i="1" s="1"/>
  <c r="D163" i="1"/>
  <c r="D164" i="1" s="1"/>
  <c r="D261" i="1" s="1"/>
  <c r="D272" i="1" s="1"/>
  <c r="G264" i="1"/>
  <c r="G265" i="1" s="1"/>
  <c r="G150" i="1"/>
  <c r="G164" i="1" s="1"/>
  <c r="G261" i="1" s="1"/>
  <c r="G272" i="1" s="1"/>
  <c r="G275" i="1" s="1"/>
  <c r="G278" i="1" s="1"/>
  <c r="G260" i="1"/>
  <c r="G271" i="1" s="1"/>
  <c r="J260" i="1"/>
  <c r="J271" i="1" s="1"/>
  <c r="J274" i="1" s="1"/>
  <c r="J277" i="1" s="1"/>
  <c r="E94" i="1"/>
  <c r="E260" i="1" s="1"/>
  <c r="E271" i="1" s="1"/>
  <c r="D94" i="1"/>
  <c r="D260" i="1" s="1"/>
  <c r="N260" i="1"/>
  <c r="N271" i="1" s="1"/>
  <c r="N274" i="1" s="1"/>
  <c r="N277" i="1" s="1"/>
  <c r="C271" i="1"/>
  <c r="G274" i="1" l="1"/>
  <c r="G277" i="1" s="1"/>
  <c r="D275" i="1"/>
  <c r="D278" i="1" s="1"/>
  <c r="C274" i="1"/>
  <c r="C278" i="1" s="1"/>
  <c r="C279" i="1" s="1"/>
  <c r="E274" i="1"/>
  <c r="E277" i="1" s="1"/>
  <c r="E275" i="1"/>
  <c r="E278" i="1" s="1"/>
  <c r="N262" i="1"/>
  <c r="C262" i="1"/>
  <c r="C269" i="1" s="1"/>
  <c r="D262" i="1"/>
  <c r="J262" i="1"/>
  <c r="J269" i="1" s="1"/>
  <c r="J279" i="1" s="1"/>
  <c r="E262" i="1"/>
  <c r="E269" i="1" s="1"/>
  <c r="G262" i="1"/>
  <c r="G269" i="1" s="1"/>
  <c r="N269" i="1" l="1"/>
  <c r="N279" i="1" s="1"/>
  <c r="Q262" i="1"/>
  <c r="G279" i="1"/>
  <c r="E279" i="1"/>
  <c r="D266" i="1"/>
  <c r="D271" i="1" s="1"/>
  <c r="D274" i="1" l="1"/>
  <c r="D277" i="1" s="1"/>
  <c r="D268" i="1"/>
  <c r="D269" i="1" s="1"/>
  <c r="D279" i="1" l="1"/>
</calcChain>
</file>

<file path=xl/sharedStrings.xml><?xml version="1.0" encoding="utf-8"?>
<sst xmlns="http://schemas.openxmlformats.org/spreadsheetml/2006/main" count="493" uniqueCount="366">
  <si>
    <t>Bežný rozpočet - príjmy</t>
  </si>
  <si>
    <t>Názov položky</t>
  </si>
  <si>
    <t>skutočnosť 2017</t>
  </si>
  <si>
    <t>skutočnosť 2018</t>
  </si>
  <si>
    <t>daňové príjmy</t>
  </si>
  <si>
    <t>výnos dane pre územnú samosprávu</t>
  </si>
  <si>
    <t>daň z nehnuteľností - pozemky, stavby, byty</t>
  </si>
  <si>
    <t>daň za psa</t>
  </si>
  <si>
    <t>daň za nevýherné hracie prístroje</t>
  </si>
  <si>
    <t>daň z ubytovania</t>
  </si>
  <si>
    <t>daň za užívanie verejného priestranstva</t>
  </si>
  <si>
    <t>MP za zber a odvoz odpadu</t>
  </si>
  <si>
    <t>nedaňové príjmy</t>
  </si>
  <si>
    <t>prenájom pozemkov</t>
  </si>
  <si>
    <t>prenájom hrobového miesta</t>
  </si>
  <si>
    <t>prenájom bytov</t>
  </si>
  <si>
    <t xml:space="preserve">prenájom budov </t>
  </si>
  <si>
    <t xml:space="preserve">prenájom strojov,prístrojov,zariadení </t>
  </si>
  <si>
    <t xml:space="preserve">správne poplatky </t>
  </si>
  <si>
    <t>pokuty, sankcie</t>
  </si>
  <si>
    <t>ostatné príjmy /relácie,kopírovanie,fax,.../</t>
  </si>
  <si>
    <t>príjem za opatrovateľskú službu</t>
  </si>
  <si>
    <t>príjem za služby denného stacionára</t>
  </si>
  <si>
    <t>príjem za separovaný zber</t>
  </si>
  <si>
    <t>poplatok za služby v Dome smútku</t>
  </si>
  <si>
    <t>poplatok za stočné</t>
  </si>
  <si>
    <t>príjem za réžiu v ŠKJ</t>
  </si>
  <si>
    <t>príjem za asistovanú službu Integrovaného obslužného miesta</t>
  </si>
  <si>
    <t>príspevok rodičov na náklady zariadenia MŠ</t>
  </si>
  <si>
    <t>príjem zo stravného v ŠKJ</t>
  </si>
  <si>
    <t>príjem z predaja prebytočného majetku</t>
  </si>
  <si>
    <t>úroky</t>
  </si>
  <si>
    <t>úroky z bankových účtov</t>
  </si>
  <si>
    <t>ostatné príjmy</t>
  </si>
  <si>
    <t>príjem z náhrad poistného plnenia</t>
  </si>
  <si>
    <t>príjem z výťažkov lotérií a hazardných hier</t>
  </si>
  <si>
    <t xml:space="preserve">príjem z dobropisov </t>
  </si>
  <si>
    <t>príjem z vratiek</t>
  </si>
  <si>
    <t>príjem z refundácie za skladníka CO z MV SR</t>
  </si>
  <si>
    <t>granty, dotácie, transfery</t>
  </si>
  <si>
    <t>Granty na kultúrne podujatia</t>
  </si>
  <si>
    <t>Dotácia UPSVR na aktivačnú činnosť</t>
  </si>
  <si>
    <t xml:space="preserve">Dotácia MŽP - zníženie energetickej náročnosti budovy OÚ </t>
  </si>
  <si>
    <t>Dotácia MVSR na údržbu vojnových hrobov</t>
  </si>
  <si>
    <t>Transfer od obcí na SpU opatr.služby</t>
  </si>
  <si>
    <t>Transfer od ZŠ na SpU školstva</t>
  </si>
  <si>
    <t>Transfer od obcí na SpU stavebný</t>
  </si>
  <si>
    <t>Dotácia DPO SR na Dobr.hasič.zbor obce</t>
  </si>
  <si>
    <t>Dotácia z Fondu na podporu umenia - kultúrne projekty</t>
  </si>
  <si>
    <t>Dotácia MV SR na matričnú čin., register obyv., adries</t>
  </si>
  <si>
    <t>Dotácia MDVRR,MŽP na stavebný úrad</t>
  </si>
  <si>
    <t>Dotácia MPSVR na denný stacionár</t>
  </si>
  <si>
    <t>BEŽNÉ PRÍJMY obce:</t>
  </si>
  <si>
    <t>RO</t>
  </si>
  <si>
    <t>Vlastný príjem ZŠ, preplatky</t>
  </si>
  <si>
    <t>Vlastný príjem ŠKD</t>
  </si>
  <si>
    <t>Projekt MŠVVŠ SR - Zvýšenie kvality vzdelávania na ZŠ</t>
  </si>
  <si>
    <t>Bežný príjem RO - Základnej školy Heľpa spolu:</t>
  </si>
  <si>
    <t>Vlastný príjem ZUŠ Heľpa</t>
  </si>
  <si>
    <t>Bežný príjem rozpočtových organizácií spolu:</t>
  </si>
  <si>
    <t>BEŽNÉ PRÍJMY CELKOM:</t>
  </si>
  <si>
    <t>Bežný rozpočet - výdavky</t>
  </si>
  <si>
    <t>01 Všeobecné verejné služby</t>
  </si>
  <si>
    <t>0111</t>
  </si>
  <si>
    <t>Výkonné a zákonodarné orgány (OÚ, OZ, komisie)</t>
  </si>
  <si>
    <t>0112</t>
  </si>
  <si>
    <t>Fin.a rozpoč.záležitosti (HKON,audit,popl,fin.správa, poistné)</t>
  </si>
  <si>
    <t>0131</t>
  </si>
  <si>
    <t>Propagácia, reklama, inzercia (propagač. Predmety, bankovka)</t>
  </si>
  <si>
    <t>0133</t>
  </si>
  <si>
    <t>Všeobec.služby (Matrika,REGOB,evidencie,služby, správa)</t>
  </si>
  <si>
    <t>0160</t>
  </si>
  <si>
    <t>02 Obrana</t>
  </si>
  <si>
    <t>0220</t>
  </si>
  <si>
    <t>03 Verejný poriadok a bezpečnosť</t>
  </si>
  <si>
    <t>0320</t>
  </si>
  <si>
    <t>Ochrana pred požiarmi (Prevádzka dobr.hasič.zboru)</t>
  </si>
  <si>
    <t>0360</t>
  </si>
  <si>
    <t>Bezpečnosť (Kamer.systém, bezpeč.projekt, GDPR)</t>
  </si>
  <si>
    <t>04 Ekonomická oblasť</t>
  </si>
  <si>
    <t>0412</t>
  </si>
  <si>
    <t>Prac.oblasť (Správa prac.záležitostí, BOZP, spolupr.VS)</t>
  </si>
  <si>
    <t>0443</t>
  </si>
  <si>
    <t>Výstavba (Spoločný stavebný úrad, ver.obstarávanie)</t>
  </si>
  <si>
    <t>0451</t>
  </si>
  <si>
    <t>Cestná doprava (Údržba miest.komunikácií,chodníkov,parkovísk)</t>
  </si>
  <si>
    <t>05 Ochrana životného prostredia</t>
  </si>
  <si>
    <t>0510</t>
  </si>
  <si>
    <t>Naklad.s odpadmi (zber,uloženie KO, prevádzka zber.dvora)</t>
  </si>
  <si>
    <t>0520</t>
  </si>
  <si>
    <t>Naklad.s odp.vodami (Prevádzka kanalizácie a ČOV)</t>
  </si>
  <si>
    <t>0540</t>
  </si>
  <si>
    <t>Ochrana prírody a krajiny a výrub drevín</t>
  </si>
  <si>
    <t>0560</t>
  </si>
  <si>
    <t>Ochrana živ.prostr. (Starostlivosť o ŽP, ver.zeleň, potoky, protipovodň.opatrenia,veterinárne služ.)</t>
  </si>
  <si>
    <t>06 Bývanie a občianska vybavenosť</t>
  </si>
  <si>
    <t>0620</t>
  </si>
  <si>
    <t>Rozvoj obcí (Správa verejnoprospeš.zariadení)</t>
  </si>
  <si>
    <t>0640</t>
  </si>
  <si>
    <t>Verejné osvetlenie</t>
  </si>
  <si>
    <t>0660</t>
  </si>
  <si>
    <t>Bývanie a obč.vybavenosť (Byty, zdr.str,klub,mater.centrum)</t>
  </si>
  <si>
    <t>07 Zdravotníctvo</t>
  </si>
  <si>
    <t>0711</t>
  </si>
  <si>
    <t>Lieky</t>
  </si>
  <si>
    <t>0712</t>
  </si>
  <si>
    <t>Zdravotnícky materiál</t>
  </si>
  <si>
    <t>0721</t>
  </si>
  <si>
    <t>Zdravotná starostlivosť (prevent.prehliadky, lek.posúdenie)</t>
  </si>
  <si>
    <t>0740</t>
  </si>
  <si>
    <t>08 Rekreácia, kultúra a náboženstvo</t>
  </si>
  <si>
    <t>0810</t>
  </si>
  <si>
    <t>Rekreač.,šport.služby (prevádzka šport.areálu, ŠK, NDS projekt)</t>
  </si>
  <si>
    <t>0820</t>
  </si>
  <si>
    <t>Správa kult.služieb a zariad. (KUL,MĽK,AMF,podujatia,projekty FPU, múzeum)</t>
  </si>
  <si>
    <t>0830</t>
  </si>
  <si>
    <t>Vysielacie a vydavateľské služby (Rozhlas,noviny)</t>
  </si>
  <si>
    <t>0840</t>
  </si>
  <si>
    <t>Nábož.a spoločen.služby (Domu smútku,cintorín, obrady)</t>
  </si>
  <si>
    <t>0860</t>
  </si>
  <si>
    <t>Spoločenské, kultúrne, športové aktivity obce, projekty mládeže</t>
  </si>
  <si>
    <t>09 Vzdelávanie</t>
  </si>
  <si>
    <t>09111</t>
  </si>
  <si>
    <t>Predprimárne vzdelávanie (Prevádzka MŠ)</t>
  </si>
  <si>
    <t>09211</t>
  </si>
  <si>
    <t>0950</t>
  </si>
  <si>
    <t>Záujmové vzdelávanie (semináre,kurzy,školenia)</t>
  </si>
  <si>
    <t>09601</t>
  </si>
  <si>
    <t>Vedľ.služby v rámci predprimár. vzdel. (ŠKJ pre MŠ)</t>
  </si>
  <si>
    <t>09602</t>
  </si>
  <si>
    <t>Vedľ.služby v rámci primár. vzdel. (ŠKJ pre 1.st.ZŠ)</t>
  </si>
  <si>
    <t>09603</t>
  </si>
  <si>
    <t>09608</t>
  </si>
  <si>
    <t>0980</t>
  </si>
  <si>
    <t>10 Sociálne zabezpečenie</t>
  </si>
  <si>
    <t>1020</t>
  </si>
  <si>
    <t>1040</t>
  </si>
  <si>
    <t>Rodina a deti (Príspevky na deti v HN, osob.príjemca PND)</t>
  </si>
  <si>
    <t>1050</t>
  </si>
  <si>
    <t>Nezamestnanosť (Aktivačná činnosť a programy pre uchádz.o zamestnanie)</t>
  </si>
  <si>
    <t>1070</t>
  </si>
  <si>
    <t>Sociálna pomoc občanom v soc. a hm. núdzi</t>
  </si>
  <si>
    <t>1090</t>
  </si>
  <si>
    <t>Sociálne zabezpečenie pri živel.pohromách, núdz.situáciách</t>
  </si>
  <si>
    <t>BEŽNÉ VÝDAVKY obce:</t>
  </si>
  <si>
    <t>Transfer vlastného príjmu Základnej školy</t>
  </si>
  <si>
    <t>Transfer z projektu MŠVVŠ SR</t>
  </si>
  <si>
    <t>Transfer na rozvojový projekt ZŠ  - spolufinancovanie obce</t>
  </si>
  <si>
    <t>Transfer z rozpočtu obce pre Školský klub detí</t>
  </si>
  <si>
    <t>Transfer vlastného príjmu Školského klubu detí</t>
  </si>
  <si>
    <t>Bežné výdavky Základnej školy spolu:</t>
  </si>
  <si>
    <t>Transfer obce pre Základnú umeleckú školu</t>
  </si>
  <si>
    <t>Transfer vlastného príjmu ZUŠ</t>
  </si>
  <si>
    <t>Bežné výdavky Základnej umeleckej školy:</t>
  </si>
  <si>
    <t>Bežné výdavky rozpočtových organizácií spolu:</t>
  </si>
  <si>
    <t>BEŽNÉ VÝDAVKY SPOLU:</t>
  </si>
  <si>
    <t>Kapitálový rozpočet</t>
  </si>
  <si>
    <t>Kapitálové príjmy</t>
  </si>
  <si>
    <t>predaj pozemkov</t>
  </si>
  <si>
    <t>KT MZP Zníž.energ.náročnosti budovy OcÚ</t>
  </si>
  <si>
    <t xml:space="preserve">KT EF Dobudovanie kanalizácie </t>
  </si>
  <si>
    <t>Kapitálové výdavky</t>
  </si>
  <si>
    <t>Zníž.energet.náročnosti OcÚ</t>
  </si>
  <si>
    <t>Zmena územno-plánovacej dokumentácie</t>
  </si>
  <si>
    <t>0610</t>
  </si>
  <si>
    <t>Nákup pozemkov,budov, objektov na ver. účely</t>
  </si>
  <si>
    <t>Náučný chodník chotárom obce</t>
  </si>
  <si>
    <t>Horehronskomuránska cyklotrasa</t>
  </si>
  <si>
    <t>Finančné operácie</t>
  </si>
  <si>
    <t>príjmové</t>
  </si>
  <si>
    <t>návratné zdroje financovania</t>
  </si>
  <si>
    <t>výdavkové</t>
  </si>
  <si>
    <t>odvod správnych poplatkov za IOM</t>
  </si>
  <si>
    <t>splácanie úveru ŠFRB</t>
  </si>
  <si>
    <t>REKAPITULÁCIA ROZPOČTU</t>
  </si>
  <si>
    <t>príjmy bežného rozpočtu</t>
  </si>
  <si>
    <t>výdavky bežného rozpočtu</t>
  </si>
  <si>
    <t>stav bežného rozpočtu</t>
  </si>
  <si>
    <t>príjmy kapitálového rozpočtu</t>
  </si>
  <si>
    <t>výdavky kapitálového rozpočtu</t>
  </si>
  <si>
    <t>stav kapitálového rozpočtu</t>
  </si>
  <si>
    <t>finančné operácie príjmové</t>
  </si>
  <si>
    <t>finančné operácie výdavkové</t>
  </si>
  <si>
    <t>rozdiel finančných operácií</t>
  </si>
  <si>
    <t>CELKOVÝ  STAV  ROZPOČTU:</t>
  </si>
  <si>
    <t>Vypracovala: Mgr. A. Tkáčiková</t>
  </si>
  <si>
    <t>skutočnosť 2019</t>
  </si>
  <si>
    <t>Rekonštrukcia budovy pošty, hasič.zbrojnice/strecha</t>
  </si>
  <si>
    <t>príjmy z refundácií, vyúčtovanie služieb prenajímaných objektov</t>
  </si>
  <si>
    <t>Dotácia ŠÚ SR na sčítanie obyvateľov, domov, bytov</t>
  </si>
  <si>
    <t>Rekonštrukcia strechy OÚ / zachytávače snehu</t>
  </si>
  <si>
    <t>návratná finančná výpomoc MFSR</t>
  </si>
  <si>
    <t>Verejne prístupná elektrická nabíjacia stanica pre elektromobily</t>
  </si>
  <si>
    <t>Dotácia UPSVR na deti v hm.núdzi (strava,šk.potreby)</t>
  </si>
  <si>
    <t>Dotácia UPSVR na osobitného príjemcu a rod.prídavkov</t>
  </si>
  <si>
    <t>Vedľ.služby v rámci niž.sekund. vzdel. (ŠKJ pre 2.st.ZŠ,dospelí)</t>
  </si>
  <si>
    <t>Všeob.verejné služby (Voľby, sčítanie obyvateľov,domov,bytov)</t>
  </si>
  <si>
    <t>Dobudovanie kanalizačnej siete</t>
  </si>
  <si>
    <t>KT MIRRI Rekonštrukcia denného stacionára</t>
  </si>
  <si>
    <t>Dobudovanie chodníka na ul.Hlavná + st.dozor</t>
  </si>
  <si>
    <t>Projektová dokumentácia pripavovaných inv.akcií</t>
  </si>
  <si>
    <t>skutočnosť 2020</t>
  </si>
  <si>
    <t>Dotácia MVSR na opatrenia Covid19</t>
  </si>
  <si>
    <t>Nákup motorových vozidiel, komunál.techniky, príves.vozík</t>
  </si>
  <si>
    <t>Bleskozvod s uzemnením v telocvični ZŠ</t>
  </si>
  <si>
    <t>Stavebné úpravy telocvične - elektroinštalácia</t>
  </si>
  <si>
    <t>Ochrana, podpora a rozvoj zdravia (prísp. SČK, MOM, celoplošné testovanie)</t>
  </si>
  <si>
    <t>Správa a riadenie vzdelávania, Virtuálna univerzita</t>
  </si>
  <si>
    <t>grant - dobrovoľná zbierka obce na rek.strechy amfiteátra</t>
  </si>
  <si>
    <t>KT MH SR verej.prístup.elektr.nabíjacia stanica pre elektromobily</t>
  </si>
  <si>
    <t>ČOV kompenzátor, čerpadlá, frekvenčný menič</t>
  </si>
  <si>
    <t>Stav.úpravy prístrešku studničky na ul. Tichá</t>
  </si>
  <si>
    <t>Rozšírenie kapacity MŠ</t>
  </si>
  <si>
    <t>Denný stacionár - rekonštrukcia</t>
  </si>
  <si>
    <t>príjem za školné Virtuálna univerzita tretieho veku</t>
  </si>
  <si>
    <t>Dotácia MVSR na terénneho asistenta Covid</t>
  </si>
  <si>
    <t>Projekt UPSVR podpora zamestnanosti ZUŠ za min.r.</t>
  </si>
  <si>
    <t>Bežný príjem RO - Základnej umeleckej školy Heľpa spolu:</t>
  </si>
  <si>
    <t>Doplnenie napojenia predizolovaného potrubia v kotolni st.škola</t>
  </si>
  <si>
    <t>Civilná ochrana (Skladník CO, evidencie, TAC)</t>
  </si>
  <si>
    <t>Staroba (Opatrovateľská služba, SpÚ OSL, projekt,denný stacionár,DC)</t>
  </si>
  <si>
    <t>FNK</t>
  </si>
  <si>
    <t>Názov investície</t>
  </si>
  <si>
    <t>Suma v rozpočte</t>
  </si>
  <si>
    <t>Peň.fond 46</t>
  </si>
  <si>
    <t>kontrola</t>
  </si>
  <si>
    <t>Rozpis rozpočtovej položky KR 0610 - projektová dokumentácia</t>
  </si>
  <si>
    <t>Názov PD</t>
  </si>
  <si>
    <t>Suma v EUR</t>
  </si>
  <si>
    <t>Projektová dokumentácia pre pripravované inv.akcie</t>
  </si>
  <si>
    <t>Rezerva na prípadnú dokumentáciu</t>
  </si>
  <si>
    <t>PPD z peňažného fondu:</t>
  </si>
  <si>
    <t xml:space="preserve">Rekonštrukcia objektu č.589 (spoločenská miestnosť) </t>
  </si>
  <si>
    <t>Spolu kapitálové výdavky:</t>
  </si>
  <si>
    <t>Spolu bežné výdavky:</t>
  </si>
  <si>
    <t>Rezer. fond 46</t>
  </si>
  <si>
    <t xml:space="preserve">Dotácia SFZ projekt MŠ </t>
  </si>
  <si>
    <t>skutočnosť 2021</t>
  </si>
  <si>
    <t>2025 návrh</t>
  </si>
  <si>
    <t>Dotácia MVSR humanit.pomoc Ukrajina</t>
  </si>
  <si>
    <t>predaj kapitálových aktív - sneh.pluh</t>
  </si>
  <si>
    <t>zapojenie zost. Dobrovoľ,zbierky na rekonštrukciu amfiteátra</t>
  </si>
  <si>
    <t>finančné zábezpeky ver.obstarávania, stavby</t>
  </si>
  <si>
    <t>iné príjm.operácie -kurzové rozdiely VU3V</t>
  </si>
  <si>
    <t>iné fin.operácie-kurzové rozdiely VU3V</t>
  </si>
  <si>
    <t>finančné operácie - vrátenie zábezpeky</t>
  </si>
  <si>
    <t>PD rozšírenie ČOV - zmena technológie (vpust)/kanalizácia</t>
  </si>
  <si>
    <t>Nákup komunálnej techniky</t>
  </si>
  <si>
    <t>Zvýšenie kapacity MŠ, interiérové vybavenie</t>
  </si>
  <si>
    <t>Dotácia MPSVR na soc.služby mim.odmeny, jednorázové odmeny</t>
  </si>
  <si>
    <t>Dotácia IA MPSVR SR na opatrovateľskú službu I., II.</t>
  </si>
  <si>
    <t>Dotácia MVSR na MOM celoplošné testovanie, testovanie firiem, ŠKJ</t>
  </si>
  <si>
    <t>Transfer na projekt Podpora zamestnanosti ZUŠ, testovanie</t>
  </si>
  <si>
    <t>Celkom:</t>
  </si>
  <si>
    <t>Dotácia MV SR - voľby (Referendum, komunálne, NRSR, prezident,EP)</t>
  </si>
  <si>
    <t>zapojenie zost. fondu prev.údržby,opráv bytov</t>
  </si>
  <si>
    <t>zapojenie nevyčerp.prostr.mr. ŠKJ stravné + dotácia</t>
  </si>
  <si>
    <t>zapojenie nevyčerp.prostr.mr. OSL projekt</t>
  </si>
  <si>
    <t>zapojenie nevyčerp.prostr.mr. MVSR Referendum</t>
  </si>
  <si>
    <t>zapojenie nevyčerp.prostr.mr. FPU projekt</t>
  </si>
  <si>
    <t>fin.operácie - správne poplatky ŠR za IOM</t>
  </si>
  <si>
    <t>príjmy z refundácie - iné náhrady, cent.vyrovnanie</t>
  </si>
  <si>
    <t>Rezačka asfaltu na opravu miestnych komunikácií</t>
  </si>
  <si>
    <t>ZŠ  - zapojenie zostatkov prostriedkov nezúčt.projektu ZKV</t>
  </si>
  <si>
    <t>skutočnosť 2022</t>
  </si>
  <si>
    <t>2026 návrh</t>
  </si>
  <si>
    <t>Dotácia MV SR - voľby (VUC, SAM, NRSR, prezident,EP, referendum)</t>
  </si>
  <si>
    <t>zapojenie fondu na rozvoj obce na investičné akcie</t>
  </si>
  <si>
    <t>Príjmy obce Heľpa celkom:</t>
  </si>
  <si>
    <t>Výdavky obce Heľpa celkom:</t>
  </si>
  <si>
    <t>plnenie rozpočtu OU</t>
  </si>
  <si>
    <t>čerpanie rozpočtu OU</t>
  </si>
  <si>
    <t>príjmy RO - školy</t>
  </si>
  <si>
    <t>výdavky RO - školy</t>
  </si>
  <si>
    <t>Dotácia EF SR na environmentálnu politiku</t>
  </si>
  <si>
    <t>Zníženie svetelného znečistenia (výmena svietidiel ver. osvet.)</t>
  </si>
  <si>
    <t>Výmena vykurovacích telies na zdrav.stredisku</t>
  </si>
  <si>
    <t>Zmena palivovej základne zdravotného strediska</t>
  </si>
  <si>
    <t>Obnova šport.infraštruktúry/stavebné úpravy športového areálu</t>
  </si>
  <si>
    <t>Dotácia MFSR vplyv inflácie na sam.funkcie</t>
  </si>
  <si>
    <t>Dotácia UV SR na miestne občianske preventívne služby</t>
  </si>
  <si>
    <t>Dotácia MHV SR - kompenzácie energie</t>
  </si>
  <si>
    <t>Dotácia MIRRI - riešenie migračných výziev</t>
  </si>
  <si>
    <t>Dotácia UPSVR na Podporu zamestnanosti znevýh.uchádzačov</t>
  </si>
  <si>
    <t>Dotácia UPSVR na Aktivácia znevýh.uchádzačov o zamestnanie</t>
  </si>
  <si>
    <t>BT projekt Podpora pomáhajúcich profesií pre ZŠ - právny subjekt</t>
  </si>
  <si>
    <t>Transfer projekt Podpora pomáhajúcich profesií</t>
  </si>
  <si>
    <t>KT EF Zníženie svetelného znečistenia</t>
  </si>
  <si>
    <t>KT FPŠ - Obnova športovej infraštruktúry</t>
  </si>
  <si>
    <t>splácanie istiny bankového úveru</t>
  </si>
  <si>
    <t>zapojenie nevyčerp.prostr.mr. MPSVR Den.stacionár</t>
  </si>
  <si>
    <t>príjem zo vstupného, kult.činnosti</t>
  </si>
  <si>
    <t>zapoj.nevyčerp.FPŠ Obnova šport.infraštr.</t>
  </si>
  <si>
    <t>Obnova budovy ZŠ</t>
  </si>
  <si>
    <t>zapoj.nevyčerp.EF Zníž.svetel.znečistenia</t>
  </si>
  <si>
    <t>KT Rekonštrukcia objektu č. 589</t>
  </si>
  <si>
    <t>Predkladá: Miroslav Lilko - starosta obce</t>
  </si>
  <si>
    <t>zapoj.nevyčerp.MIRRI Zvýš.kapac.MŠ</t>
  </si>
  <si>
    <t>zapojenie nevyčerp.prostr.mr. ZŠ normatív, energie, UA</t>
  </si>
  <si>
    <t>zapojenie rezervného fondu na prevádzku</t>
  </si>
  <si>
    <t>RP 322</t>
  </si>
  <si>
    <t>RP 453</t>
  </si>
  <si>
    <t>0630</t>
  </si>
  <si>
    <t>Rekonštrukcia objektu-spoločenská miestnosť č.589</t>
  </si>
  <si>
    <t xml:space="preserve"> Obnova budovy ZUŠ</t>
  </si>
  <si>
    <t>zapojenie účel.rezervy na obnovu kanalizácie</t>
  </si>
  <si>
    <t>2027 návrh</t>
  </si>
  <si>
    <t>Transfer RUŠS pre ZUŠ - právny subjekt</t>
  </si>
  <si>
    <t>Transfer RÚŠS pre ZŠ - právny subjekt</t>
  </si>
  <si>
    <t>Dotácia RÚŠS normatív na výchovu,vzdelávanie v MŠ</t>
  </si>
  <si>
    <t>Vedľ.služby nedefinované (SpÚ školstva Polomka)</t>
  </si>
  <si>
    <t>EÚ a ŠR, EF+mr</t>
  </si>
  <si>
    <t>Účel. rezerva 71</t>
  </si>
  <si>
    <t>Dobudovanie kanalizácie I.etapa, Obnova ČOV</t>
  </si>
  <si>
    <t>Vybudovanie vodovodu Teplica II.+ stav.dozor</t>
  </si>
  <si>
    <t>Zníž. Svetel. Znečistenia (výmena svietidiel)+ doplnenie</t>
  </si>
  <si>
    <t>Obnova budovy ZŠ,  autor.dozor</t>
  </si>
  <si>
    <t>zmena rozpočtu</t>
  </si>
  <si>
    <t>Majetkové zdroje 43/72c</t>
  </si>
  <si>
    <t>Poznámka (obj.)</t>
  </si>
  <si>
    <t>PD rekonštrukcia obec.objektov (tržnica,NN prípojka 309)</t>
  </si>
  <si>
    <t xml:space="preserve">Vytýčenie stavieb </t>
  </si>
  <si>
    <t>Obnova šport. Infraštruktúry, st.dozor</t>
  </si>
  <si>
    <t>Vybudovanie verejného vodovodu Teplica 1,2</t>
  </si>
  <si>
    <t>skutočnosť 2023</t>
  </si>
  <si>
    <t xml:space="preserve">Dotácia UPSVR na Podporu zamestnanosti </t>
  </si>
  <si>
    <t>Dotácia inflačná pomoc na soc.služby, stabilizačný príspevok</t>
  </si>
  <si>
    <t>Rekonštrukcia amfiteátra</t>
  </si>
  <si>
    <t>schválený 2024</t>
  </si>
  <si>
    <t>PD rekonštr.elektroinštalácie obec.objektov</t>
  </si>
  <si>
    <t>Nákup techniky zber.dvora</t>
  </si>
  <si>
    <t>Chodník k WC na amfiteátri</t>
  </si>
  <si>
    <t>Turistická infraštruktúra</t>
  </si>
  <si>
    <t>Plán investícií - zdroje financovania v roku 2025</t>
  </si>
  <si>
    <t>Nákup techniky zberného dvora</t>
  </si>
  <si>
    <t>Dobud.kanal.I.etapa L09, ČS3 -Prečerp.stanica ul. Furmanská, Obnova ČOV</t>
  </si>
  <si>
    <t>KT Rekonštrukcia obecných objektov</t>
  </si>
  <si>
    <t>Vodozádržné opatrenia ZUŠ</t>
  </si>
  <si>
    <t>Dotácia MŠSR na Zvýšenie kapacity MŠ</t>
  </si>
  <si>
    <t>Detské ihrisko</t>
  </si>
  <si>
    <t>vratky min.r.</t>
  </si>
  <si>
    <t>FNC kat.</t>
  </si>
  <si>
    <t>Obnova budovy ZŠ (energ.certifikáty, energ.audit)</t>
  </si>
  <si>
    <t>Transfer z RúŠS pre Základnú školu</t>
  </si>
  <si>
    <t>Vybudovanie vodovodu Teplica 1,2</t>
  </si>
  <si>
    <t>upravený 2024-10</t>
  </si>
  <si>
    <t>Dotácia MŽP SR na Nákup techniky zber.dvora</t>
  </si>
  <si>
    <t>Dotácia SIEA Obnova budovy ZŠ</t>
  </si>
  <si>
    <t>Dotácia MŽPSR Vybudovanie vodovodu</t>
  </si>
  <si>
    <t>Dotácia BBSK na kultúrne podujatia</t>
  </si>
  <si>
    <t>KT MŽP Nákup techniky zberného dvora</t>
  </si>
  <si>
    <t>KT MŽP Vodozádržné opatrenia ZUŠ</t>
  </si>
  <si>
    <t>Vodozádržné opatrenia v areáli ZUŠ</t>
  </si>
  <si>
    <t>KT MPSVR Detské ihrisko</t>
  </si>
  <si>
    <t>Heľpa 28.11.2024</t>
  </si>
  <si>
    <t>KT MIRRI Rekonštrukcia amfiteátra</t>
  </si>
  <si>
    <t>KT MIRRI Obnova budovy ZŠ</t>
  </si>
  <si>
    <t>peňažné  fondy</t>
  </si>
  <si>
    <t>KT MŠSR Zvýšenie kapacity MŠ</t>
  </si>
  <si>
    <t>KT MŽP Vybudovanie vodovodu Teplica 1,2</t>
  </si>
  <si>
    <t>Rekonštrukcia obecných objektov</t>
  </si>
  <si>
    <t>Návrh viacročného rozpočtu obce Heľpa na roky 2025-2027 bol vyvesený na úradnej tabuli na pripomienkovanie dňa 29.11.2024</t>
  </si>
  <si>
    <t>Pripomienky OZ k návrhu predloženého viacročného rozpočtu na roky 2025 - 2027 boli zapracované dňa 28.11.2024</t>
  </si>
  <si>
    <t>Pripomienky finančnej komisie k návrhu predloženého viacročného rozpočtu na roky 2025-2027 boli zapracované dňa 28.11.2024.</t>
  </si>
  <si>
    <t>Rozpočet obce Heľpa na rok 2025 bol schválený OZ uz.č. 426/2024 dňa 17.12.2024</t>
  </si>
  <si>
    <t>Rozpočet obce Heľpa na roky 2026-2027 vzalo na vedomie OZ uz.č.426/2024 dňa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</si>
</sst>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E_U_R_-;\-* #,##0.00\ _E_U_R_-;_-* &quot;-&quot;??\ _E_U_R_-;_-@_-"/>
    <numFmt numFmtId="165" formatCode="#,##0\ &quot;€&quot;"/>
  </numFmts>
  <fonts count="52" x14ac:knownFonts="1"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1"/>
      <name val="Calibri"/>
      <family val="2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sz val="14"/>
      <name val="Bookman Old Style"/>
      <family val="1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3" tint="0.59999389629810485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8" tint="0.7999816888943144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 CE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5" fillId="0" borderId="0"/>
  </cellStyleXfs>
  <cellXfs count="641">
    <xf numFmtId="0" fontId="0" fillId="0" borderId="0" xfId="0"/>
    <xf numFmtId="0" fontId="2" fillId="0" borderId="0" xfId="0" applyFont="1"/>
    <xf numFmtId="3" fontId="3" fillId="2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3" fontId="5" fillId="0" borderId="12" xfId="0" applyNumberFormat="1" applyFont="1" applyFill="1" applyBorder="1"/>
    <xf numFmtId="3" fontId="6" fillId="0" borderId="13" xfId="0" applyNumberFormat="1" applyFont="1" applyFill="1" applyBorder="1"/>
    <xf numFmtId="3" fontId="4" fillId="0" borderId="13" xfId="0" applyNumberFormat="1" applyFont="1" applyFill="1" applyBorder="1"/>
    <xf numFmtId="0" fontId="2" fillId="0" borderId="14" xfId="0" applyFont="1" applyFill="1" applyBorder="1"/>
    <xf numFmtId="0" fontId="2" fillId="0" borderId="15" xfId="0" applyFont="1" applyBorder="1"/>
    <xf numFmtId="3" fontId="5" fillId="0" borderId="16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Fill="1" applyBorder="1"/>
    <xf numFmtId="0" fontId="2" fillId="0" borderId="17" xfId="0" applyFont="1" applyFill="1" applyBorder="1"/>
    <xf numFmtId="0" fontId="2" fillId="0" borderId="18" xfId="0" applyFont="1" applyBorder="1"/>
    <xf numFmtId="3" fontId="5" fillId="0" borderId="19" xfId="0" applyNumberFormat="1" applyFont="1" applyBorder="1"/>
    <xf numFmtId="3" fontId="2" fillId="0" borderId="20" xfId="0" applyNumberFormat="1" applyFont="1" applyBorder="1"/>
    <xf numFmtId="3" fontId="2" fillId="0" borderId="20" xfId="0" applyNumberFormat="1" applyFont="1" applyFill="1" applyBorder="1"/>
    <xf numFmtId="0" fontId="2" fillId="0" borderId="21" xfId="0" applyFont="1" applyFill="1" applyBorder="1"/>
    <xf numFmtId="0" fontId="2" fillId="0" borderId="22" xfId="0" applyFont="1" applyBorder="1"/>
    <xf numFmtId="3" fontId="5" fillId="0" borderId="23" xfId="0" applyNumberFormat="1" applyFont="1" applyBorder="1"/>
    <xf numFmtId="3" fontId="2" fillId="0" borderId="24" xfId="0" applyNumberFormat="1" applyFont="1" applyBorder="1"/>
    <xf numFmtId="3" fontId="2" fillId="0" borderId="24" xfId="0" applyNumberFormat="1" applyFont="1" applyFill="1" applyBorder="1"/>
    <xf numFmtId="0" fontId="2" fillId="0" borderId="25" xfId="0" applyFont="1" applyFill="1" applyBorder="1"/>
    <xf numFmtId="0" fontId="2" fillId="0" borderId="26" xfId="0" applyFont="1" applyBorder="1"/>
    <xf numFmtId="3" fontId="5" fillId="0" borderId="27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Fill="1" applyBorder="1"/>
    <xf numFmtId="3" fontId="2" fillId="0" borderId="0" xfId="0" applyNumberFormat="1" applyFont="1"/>
    <xf numFmtId="0" fontId="2" fillId="0" borderId="28" xfId="0" applyFont="1" applyFill="1" applyBorder="1"/>
    <xf numFmtId="0" fontId="2" fillId="0" borderId="29" xfId="0" applyFont="1" applyBorder="1"/>
    <xf numFmtId="3" fontId="5" fillId="0" borderId="30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7" fillId="0" borderId="24" xfId="0" applyNumberFormat="1" applyFont="1" applyFill="1" applyBorder="1"/>
    <xf numFmtId="3" fontId="5" fillId="0" borderId="23" xfId="0" applyNumberFormat="1" applyFont="1" applyFill="1" applyBorder="1"/>
    <xf numFmtId="0" fontId="2" fillId="0" borderId="10" xfId="0" applyFont="1" applyFill="1" applyBorder="1"/>
    <xf numFmtId="0" fontId="2" fillId="0" borderId="11" xfId="0" applyFont="1" applyBorder="1"/>
    <xf numFmtId="3" fontId="5" fillId="0" borderId="12" xfId="0" applyNumberFormat="1" applyFont="1" applyBorder="1"/>
    <xf numFmtId="3" fontId="2" fillId="0" borderId="13" xfId="0" applyNumberFormat="1" applyFont="1" applyBorder="1"/>
    <xf numFmtId="3" fontId="2" fillId="0" borderId="13" xfId="0" applyNumberFormat="1" applyFont="1" applyFill="1" applyBorder="1"/>
    <xf numFmtId="3" fontId="6" fillId="0" borderId="9" xfId="0" applyNumberFormat="1" applyFont="1" applyBorder="1"/>
    <xf numFmtId="3" fontId="6" fillId="0" borderId="9" xfId="0" applyNumberFormat="1" applyFont="1" applyFill="1" applyBorder="1"/>
    <xf numFmtId="3" fontId="2" fillId="0" borderId="31" xfId="0" applyNumberFormat="1" applyFont="1" applyBorder="1"/>
    <xf numFmtId="0" fontId="2" fillId="0" borderId="32" xfId="0" applyFont="1" applyFill="1" applyBorder="1"/>
    <xf numFmtId="0" fontId="2" fillId="0" borderId="33" xfId="0" applyFont="1" applyBorder="1"/>
    <xf numFmtId="3" fontId="2" fillId="0" borderId="23" xfId="0" applyNumberFormat="1" applyFont="1" applyBorder="1"/>
    <xf numFmtId="3" fontId="2" fillId="0" borderId="31" xfId="0" applyNumberFormat="1" applyFont="1" applyFill="1" applyBorder="1"/>
    <xf numFmtId="0" fontId="2" fillId="0" borderId="34" xfId="0" applyFont="1" applyBorder="1"/>
    <xf numFmtId="3" fontId="2" fillId="0" borderId="6" xfId="0" applyNumberFormat="1" applyFont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10" xfId="0" applyFont="1" applyBorder="1"/>
    <xf numFmtId="0" fontId="4" fillId="0" borderId="35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5" fillId="0" borderId="19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3" fontId="6" fillId="0" borderId="20" xfId="0" applyNumberFormat="1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left"/>
    </xf>
    <xf numFmtId="3" fontId="5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6" fillId="0" borderId="24" xfId="0" applyNumberFormat="1" applyFont="1" applyFill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7" fillId="0" borderId="24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4" fillId="2" borderId="15" xfId="0" applyFont="1" applyFill="1" applyBorder="1"/>
    <xf numFmtId="0" fontId="8" fillId="0" borderId="21" xfId="0" applyFont="1" applyFill="1" applyBorder="1"/>
    <xf numFmtId="3" fontId="8" fillId="0" borderId="24" xfId="0" applyNumberFormat="1" applyFont="1" applyFill="1" applyBorder="1"/>
    <xf numFmtId="0" fontId="8" fillId="0" borderId="17" xfId="0" applyFont="1" applyFill="1" applyBorder="1"/>
    <xf numFmtId="3" fontId="8" fillId="0" borderId="20" xfId="0" applyNumberFormat="1" applyFont="1" applyFill="1" applyBorder="1"/>
    <xf numFmtId="0" fontId="4" fillId="0" borderId="17" xfId="0" applyFont="1" applyFill="1" applyBorder="1"/>
    <xf numFmtId="0" fontId="4" fillId="0" borderId="22" xfId="0" applyFont="1" applyBorder="1"/>
    <xf numFmtId="3" fontId="5" fillId="0" borderId="20" xfId="0" applyNumberFormat="1" applyFont="1" applyFill="1" applyBorder="1"/>
    <xf numFmtId="0" fontId="8" fillId="0" borderId="25" xfId="0" applyFont="1" applyFill="1" applyBorder="1"/>
    <xf numFmtId="3" fontId="8" fillId="0" borderId="6" xfId="0" applyNumberFormat="1" applyFont="1" applyFill="1" applyBorder="1"/>
    <xf numFmtId="0" fontId="4" fillId="0" borderId="18" xfId="0" applyFont="1" applyBorder="1"/>
    <xf numFmtId="0" fontId="4" fillId="0" borderId="25" xfId="0" applyFont="1" applyFill="1" applyBorder="1"/>
    <xf numFmtId="0" fontId="4" fillId="0" borderId="26" xfId="0" applyFont="1" applyBorder="1"/>
    <xf numFmtId="3" fontId="2" fillId="0" borderId="6" xfId="0" applyNumberFormat="1" applyFont="1" applyFill="1" applyBorder="1"/>
    <xf numFmtId="3" fontId="2" fillId="0" borderId="42" xfId="0" applyNumberFormat="1" applyFont="1" applyFill="1" applyBorder="1"/>
    <xf numFmtId="0" fontId="8" fillId="0" borderId="39" xfId="0" applyFont="1" applyFill="1" applyBorder="1"/>
    <xf numFmtId="3" fontId="7" fillId="0" borderId="20" xfId="0" applyNumberFormat="1" applyFont="1" applyFill="1" applyBorder="1"/>
    <xf numFmtId="0" fontId="4" fillId="0" borderId="21" xfId="0" applyFont="1" applyFill="1" applyBorder="1"/>
    <xf numFmtId="0" fontId="4" fillId="0" borderId="38" xfId="0" applyFont="1" applyBorder="1"/>
    <xf numFmtId="0" fontId="9" fillId="2" borderId="14" xfId="0" applyFont="1" applyFill="1" applyBorder="1"/>
    <xf numFmtId="3" fontId="9" fillId="2" borderId="9" xfId="0" applyNumberFormat="1" applyFont="1" applyFill="1" applyBorder="1" applyAlignment="1">
      <alignment horizontal="right"/>
    </xf>
    <xf numFmtId="0" fontId="6" fillId="4" borderId="17" xfId="0" applyFont="1" applyFill="1" applyBorder="1"/>
    <xf numFmtId="0" fontId="6" fillId="4" borderId="18" xfId="0" applyFont="1" applyFill="1" applyBorder="1"/>
    <xf numFmtId="3" fontId="6" fillId="4" borderId="20" xfId="0" applyNumberFormat="1" applyFont="1" applyFill="1" applyBorder="1" applyAlignment="1">
      <alignment horizontal="right"/>
    </xf>
    <xf numFmtId="0" fontId="6" fillId="4" borderId="21" xfId="0" applyFont="1" applyFill="1" applyBorder="1"/>
    <xf numFmtId="3" fontId="6" fillId="4" borderId="24" xfId="0" applyNumberFormat="1" applyFont="1" applyFill="1" applyBorder="1" applyAlignment="1">
      <alignment horizontal="right"/>
    </xf>
    <xf numFmtId="0" fontId="6" fillId="4" borderId="32" xfId="0" applyFont="1" applyFill="1" applyBorder="1"/>
    <xf numFmtId="0" fontId="6" fillId="4" borderId="33" xfId="0" applyFont="1" applyFill="1" applyBorder="1"/>
    <xf numFmtId="3" fontId="6" fillId="4" borderId="31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6" fillId="4" borderId="40" xfId="0" applyFont="1" applyFill="1" applyBorder="1"/>
    <xf numFmtId="0" fontId="6" fillId="4" borderId="44" xfId="0" applyFont="1" applyFill="1" applyBorder="1"/>
    <xf numFmtId="3" fontId="6" fillId="4" borderId="42" xfId="0" applyNumberFormat="1" applyFont="1" applyFill="1" applyBorder="1" applyAlignment="1">
      <alignment horizontal="right"/>
    </xf>
    <xf numFmtId="3" fontId="9" fillId="4" borderId="9" xfId="0" applyNumberFormat="1" applyFont="1" applyFill="1" applyBorder="1" applyAlignment="1">
      <alignment horizontal="right"/>
    </xf>
    <xf numFmtId="0" fontId="2" fillId="0" borderId="0" xfId="0" applyFont="1" applyFill="1"/>
    <xf numFmtId="0" fontId="9" fillId="0" borderId="0" xfId="0" applyFont="1" applyFill="1" applyBorder="1"/>
    <xf numFmtId="0" fontId="4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3" fillId="5" borderId="14" xfId="0" applyFont="1" applyFill="1" applyBorder="1"/>
    <xf numFmtId="0" fontId="3" fillId="5" borderId="47" xfId="0" applyFont="1" applyFill="1" applyBorder="1"/>
    <xf numFmtId="3" fontId="3" fillId="5" borderId="16" xfId="0" applyNumberFormat="1" applyFont="1" applyFill="1" applyBorder="1" applyAlignment="1">
      <alignment horizontal="right"/>
    </xf>
    <xf numFmtId="3" fontId="3" fillId="5" borderId="8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/>
    </xf>
    <xf numFmtId="49" fontId="2" fillId="0" borderId="17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6" fillId="0" borderId="48" xfId="0" applyNumberFormat="1" applyFont="1" applyBorder="1" applyAlignment="1">
      <alignment horizontal="right"/>
    </xf>
    <xf numFmtId="3" fontId="6" fillId="0" borderId="19" xfId="0" applyNumberFormat="1" applyFont="1" applyFill="1" applyBorder="1" applyAlignment="1">
      <alignment horizontal="right"/>
    </xf>
    <xf numFmtId="49" fontId="2" fillId="0" borderId="21" xfId="0" applyNumberFormat="1" applyFont="1" applyBorder="1" applyAlignment="1">
      <alignment horizontal="right"/>
    </xf>
    <xf numFmtId="0" fontId="4" fillId="0" borderId="37" xfId="0" applyFont="1" applyBorder="1"/>
    <xf numFmtId="3" fontId="6" fillId="0" borderId="49" xfId="0" applyNumberFormat="1" applyFont="1" applyBorder="1" applyAlignment="1">
      <alignment horizontal="right"/>
    </xf>
    <xf numFmtId="3" fontId="6" fillId="0" borderId="23" xfId="0" applyNumberFormat="1" applyFont="1" applyFill="1" applyBorder="1" applyAlignment="1">
      <alignment horizontal="right"/>
    </xf>
    <xf numFmtId="49" fontId="2" fillId="0" borderId="21" xfId="0" applyNumberFormat="1" applyFont="1" applyFill="1" applyBorder="1" applyAlignment="1">
      <alignment horizontal="right"/>
    </xf>
    <xf numFmtId="3" fontId="6" fillId="0" borderId="49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0" fontId="4" fillId="0" borderId="34" xfId="0" applyFont="1" applyFill="1" applyBorder="1"/>
    <xf numFmtId="3" fontId="5" fillId="0" borderId="1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49" fontId="2" fillId="0" borderId="40" xfId="0" applyNumberFormat="1" applyFont="1" applyFill="1" applyBorder="1" applyAlignment="1">
      <alignment horizontal="right"/>
    </xf>
    <xf numFmtId="3" fontId="6" fillId="0" borderId="50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6" fillId="0" borderId="51" xfId="0" applyNumberFormat="1" applyFont="1" applyFill="1" applyBorder="1" applyAlignment="1">
      <alignment horizontal="right"/>
    </xf>
    <xf numFmtId="49" fontId="4" fillId="0" borderId="28" xfId="0" applyNumberFormat="1" applyFont="1" applyFill="1" applyBorder="1" applyAlignment="1">
      <alignment horizontal="right"/>
    </xf>
    <xf numFmtId="0" fontId="4" fillId="0" borderId="45" xfId="0" applyFont="1" applyFill="1" applyBorder="1" applyAlignment="1">
      <alignment horizontal="left"/>
    </xf>
    <xf numFmtId="3" fontId="4" fillId="0" borderId="30" xfId="0" applyNumberFormat="1" applyFont="1" applyFill="1" applyBorder="1" applyAlignment="1">
      <alignment horizontal="right"/>
    </xf>
    <xf numFmtId="3" fontId="6" fillId="0" borderId="4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49" fontId="4" fillId="0" borderId="4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2" fillId="5" borderId="47" xfId="0" applyFont="1" applyFill="1" applyBorder="1"/>
    <xf numFmtId="49" fontId="4" fillId="0" borderId="17" xfId="0" applyNumberFormat="1" applyFont="1" applyFill="1" applyBorder="1" applyAlignment="1">
      <alignment horizontal="right"/>
    </xf>
    <xf numFmtId="0" fontId="4" fillId="0" borderId="38" xfId="0" applyFont="1" applyFill="1" applyBorder="1" applyAlignment="1">
      <alignment horizontal="left"/>
    </xf>
    <xf numFmtId="3" fontId="4" fillId="0" borderId="4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3" fontId="4" fillId="0" borderId="49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49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49" fontId="2" fillId="0" borderId="28" xfId="0" applyNumberFormat="1" applyFont="1" applyFill="1" applyBorder="1" applyAlignment="1">
      <alignment horizontal="right"/>
    </xf>
    <xf numFmtId="0" fontId="4" fillId="0" borderId="52" xfId="0" applyFont="1" applyBorder="1"/>
    <xf numFmtId="3" fontId="11" fillId="0" borderId="30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4" fillId="0" borderId="41" xfId="0" applyFont="1" applyBorder="1"/>
    <xf numFmtId="3" fontId="11" fillId="0" borderId="5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53" xfId="0" applyNumberFormat="1" applyFont="1" applyBorder="1" applyAlignment="1">
      <alignment horizontal="right"/>
    </xf>
    <xf numFmtId="3" fontId="4" fillId="0" borderId="53" xfId="0" applyNumberFormat="1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horizontal="right"/>
    </xf>
    <xf numFmtId="0" fontId="4" fillId="0" borderId="39" xfId="0" applyFont="1" applyBorder="1"/>
    <xf numFmtId="3" fontId="11" fillId="0" borderId="27" xfId="0" applyNumberFormat="1" applyFont="1" applyBorder="1" applyAlignment="1">
      <alignment horizontal="right"/>
    </xf>
    <xf numFmtId="3" fontId="4" fillId="0" borderId="46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49" fontId="4" fillId="0" borderId="21" xfId="0" applyNumberFormat="1" applyFont="1" applyFill="1" applyBorder="1" applyAlignment="1">
      <alignment horizontal="right"/>
    </xf>
    <xf numFmtId="49" fontId="4" fillId="0" borderId="25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>
      <alignment horizontal="right"/>
    </xf>
    <xf numFmtId="3" fontId="4" fillId="0" borderId="46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/>
    </xf>
    <xf numFmtId="0" fontId="3" fillId="5" borderId="54" xfId="0" applyFont="1" applyFill="1" applyBorder="1"/>
    <xf numFmtId="0" fontId="2" fillId="5" borderId="55" xfId="0" applyFont="1" applyFill="1" applyBorder="1"/>
    <xf numFmtId="3" fontId="3" fillId="5" borderId="50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5" fillId="0" borderId="30" xfId="0" applyNumberFormat="1" applyFont="1" applyBorder="1" applyAlignment="1">
      <alignment horizontal="right"/>
    </xf>
    <xf numFmtId="0" fontId="4" fillId="0" borderId="45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49" xfId="0" applyFont="1" applyBorder="1"/>
    <xf numFmtId="3" fontId="6" fillId="0" borderId="23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right"/>
    </xf>
    <xf numFmtId="0" fontId="4" fillId="0" borderId="34" xfId="0" applyFont="1" applyBorder="1"/>
    <xf numFmtId="0" fontId="4" fillId="0" borderId="12" xfId="0" applyFont="1" applyBorder="1"/>
    <xf numFmtId="0" fontId="4" fillId="0" borderId="2" xfId="0" applyFont="1" applyBorder="1"/>
    <xf numFmtId="3" fontId="4" fillId="0" borderId="13" xfId="0" applyNumberFormat="1" applyFont="1" applyBorder="1" applyAlignment="1">
      <alignment horizontal="right"/>
    </xf>
    <xf numFmtId="49" fontId="3" fillId="5" borderId="10" xfId="0" applyNumberFormat="1" applyFont="1" applyFill="1" applyBorder="1" applyAlignment="1">
      <alignment horizontal="left"/>
    </xf>
    <xf numFmtId="0" fontId="3" fillId="5" borderId="34" xfId="0" applyFont="1" applyFill="1" applyBorder="1"/>
    <xf numFmtId="3" fontId="3" fillId="5" borderId="12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right"/>
    </xf>
    <xf numFmtId="0" fontId="4" fillId="0" borderId="38" xfId="0" applyFont="1" applyFill="1" applyBorder="1"/>
    <xf numFmtId="3" fontId="6" fillId="0" borderId="48" xfId="0" applyNumberFormat="1" applyFont="1" applyFill="1" applyBorder="1" applyAlignment="1">
      <alignment horizontal="right"/>
    </xf>
    <xf numFmtId="3" fontId="4" fillId="0" borderId="48" xfId="0" applyNumberFormat="1" applyFont="1" applyBorder="1" applyAlignment="1">
      <alignment horizontal="right"/>
    </xf>
    <xf numFmtId="49" fontId="4" fillId="0" borderId="56" xfId="0" applyNumberFormat="1" applyFont="1" applyFill="1" applyBorder="1" applyAlignment="1">
      <alignment horizontal="right"/>
    </xf>
    <xf numFmtId="0" fontId="4" fillId="0" borderId="52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right"/>
    </xf>
    <xf numFmtId="0" fontId="4" fillId="0" borderId="45" xfId="0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49" fontId="4" fillId="0" borderId="36" xfId="0" applyNumberFormat="1" applyFont="1" applyFill="1" applyBorder="1" applyAlignment="1">
      <alignment horizontal="right"/>
    </xf>
    <xf numFmtId="0" fontId="4" fillId="0" borderId="37" xfId="0" applyFont="1" applyFill="1" applyBorder="1" applyAlignment="1">
      <alignment horizontal="left"/>
    </xf>
    <xf numFmtId="49" fontId="4" fillId="0" borderId="57" xfId="0" applyNumberFormat="1" applyFont="1" applyFill="1" applyBorder="1" applyAlignment="1">
      <alignment horizontal="right"/>
    </xf>
    <xf numFmtId="3" fontId="5" fillId="0" borderId="58" xfId="0" applyNumberFormat="1" applyFont="1" applyFill="1" applyBorder="1" applyAlignment="1">
      <alignment horizontal="right"/>
    </xf>
    <xf numFmtId="3" fontId="4" fillId="0" borderId="59" xfId="0" applyNumberFormat="1" applyFont="1" applyFill="1" applyBorder="1" applyAlignment="1">
      <alignment horizontal="right"/>
    </xf>
    <xf numFmtId="3" fontId="4" fillId="0" borderId="58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0" fontId="9" fillId="5" borderId="54" xfId="0" applyFont="1" applyFill="1" applyBorder="1"/>
    <xf numFmtId="3" fontId="9" fillId="5" borderId="50" xfId="0" applyNumberFormat="1" applyFont="1" applyFill="1" applyBorder="1" applyAlignment="1">
      <alignment horizontal="right"/>
    </xf>
    <xf numFmtId="3" fontId="9" fillId="5" borderId="4" xfId="0" applyNumberFormat="1" applyFont="1" applyFill="1" applyBorder="1" applyAlignment="1">
      <alignment horizontal="right"/>
    </xf>
    <xf numFmtId="3" fontId="9" fillId="5" borderId="51" xfId="0" applyNumberFormat="1" applyFont="1" applyFill="1" applyBorder="1" applyAlignment="1">
      <alignment horizontal="right"/>
    </xf>
    <xf numFmtId="0" fontId="6" fillId="6" borderId="52" xfId="0" applyFont="1" applyFill="1" applyBorder="1"/>
    <xf numFmtId="3" fontId="6" fillId="6" borderId="30" xfId="0" applyNumberFormat="1" applyFont="1" applyFill="1" applyBorder="1" applyAlignment="1">
      <alignment horizontal="right"/>
    </xf>
    <xf numFmtId="3" fontId="6" fillId="6" borderId="45" xfId="0" applyNumberFormat="1" applyFont="1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right"/>
    </xf>
    <xf numFmtId="49" fontId="6" fillId="6" borderId="36" xfId="0" applyNumberFormat="1" applyFont="1" applyFill="1" applyBorder="1" applyAlignment="1">
      <alignment horizontal="right"/>
    </xf>
    <xf numFmtId="0" fontId="6" fillId="6" borderId="37" xfId="0" applyFont="1" applyFill="1" applyBorder="1"/>
    <xf numFmtId="3" fontId="6" fillId="6" borderId="23" xfId="0" applyNumberFormat="1" applyFont="1" applyFill="1" applyBorder="1" applyAlignment="1">
      <alignment horizontal="right"/>
    </xf>
    <xf numFmtId="3" fontId="6" fillId="6" borderId="49" xfId="0" applyNumberFormat="1" applyFont="1" applyFill="1" applyBorder="1" applyAlignment="1">
      <alignment horizontal="right"/>
    </xf>
    <xf numFmtId="3" fontId="6" fillId="6" borderId="24" xfId="0" applyNumberFormat="1" applyFont="1" applyFill="1" applyBorder="1" applyAlignment="1">
      <alignment horizontal="right"/>
    </xf>
    <xf numFmtId="0" fontId="6" fillId="6" borderId="39" xfId="0" applyFont="1" applyFill="1" applyBorder="1"/>
    <xf numFmtId="3" fontId="6" fillId="6" borderId="27" xfId="0" applyNumberFormat="1" applyFont="1" applyFill="1" applyBorder="1" applyAlignment="1">
      <alignment horizontal="right"/>
    </xf>
    <xf numFmtId="3" fontId="6" fillId="6" borderId="46" xfId="0" applyNumberFormat="1" applyFont="1" applyFill="1" applyBorder="1" applyAlignment="1">
      <alignment horizontal="right"/>
    </xf>
    <xf numFmtId="3" fontId="6" fillId="6" borderId="6" xfId="0" applyNumberFormat="1" applyFont="1" applyFill="1" applyBorder="1" applyAlignment="1">
      <alignment horizontal="right"/>
    </xf>
    <xf numFmtId="49" fontId="6" fillId="6" borderId="35" xfId="0" applyNumberFormat="1" applyFont="1" applyFill="1" applyBorder="1" applyAlignment="1">
      <alignment horizontal="right"/>
    </xf>
    <xf numFmtId="0" fontId="6" fillId="6" borderId="38" xfId="0" applyFont="1" applyFill="1" applyBorder="1"/>
    <xf numFmtId="3" fontId="6" fillId="6" borderId="19" xfId="0" applyNumberFormat="1" applyFont="1" applyFill="1" applyBorder="1" applyAlignment="1">
      <alignment horizontal="right"/>
    </xf>
    <xf numFmtId="3" fontId="6" fillId="6" borderId="48" xfId="0" applyNumberFormat="1" applyFont="1" applyFill="1" applyBorder="1" applyAlignment="1">
      <alignment horizontal="right"/>
    </xf>
    <xf numFmtId="3" fontId="6" fillId="6" borderId="20" xfId="0" applyNumberFormat="1" applyFont="1" applyFill="1" applyBorder="1" applyAlignment="1">
      <alignment horizontal="right"/>
    </xf>
    <xf numFmtId="3" fontId="3" fillId="7" borderId="16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 horizontal="right"/>
    </xf>
    <xf numFmtId="49" fontId="4" fillId="4" borderId="56" xfId="0" applyNumberFormat="1" applyFont="1" applyFill="1" applyBorder="1" applyAlignment="1">
      <alignment horizontal="right"/>
    </xf>
    <xf numFmtId="0" fontId="6" fillId="4" borderId="52" xfId="0" applyFont="1" applyFill="1" applyBorder="1"/>
    <xf numFmtId="3" fontId="6" fillId="4" borderId="30" xfId="0" applyNumberFormat="1" applyFont="1" applyFill="1" applyBorder="1" applyAlignment="1">
      <alignment horizontal="right"/>
    </xf>
    <xf numFmtId="3" fontId="6" fillId="4" borderId="45" xfId="0" applyNumberFormat="1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49" fontId="4" fillId="4" borderId="35" xfId="0" applyNumberFormat="1" applyFont="1" applyFill="1" applyBorder="1" applyAlignment="1">
      <alignment horizontal="right"/>
    </xf>
    <xf numFmtId="0" fontId="6" fillId="4" borderId="38" xfId="0" applyFont="1" applyFill="1" applyBorder="1"/>
    <xf numFmtId="3" fontId="6" fillId="4" borderId="19" xfId="0" applyNumberFormat="1" applyFont="1" applyFill="1" applyBorder="1" applyAlignment="1">
      <alignment horizontal="right"/>
    </xf>
    <xf numFmtId="3" fontId="6" fillId="4" borderId="48" xfId="0" applyNumberFormat="1" applyFont="1" applyFill="1" applyBorder="1" applyAlignment="1">
      <alignment horizontal="right"/>
    </xf>
    <xf numFmtId="3" fontId="10" fillId="4" borderId="50" xfId="0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>
      <alignment horizontal="right"/>
    </xf>
    <xf numFmtId="3" fontId="10" fillId="4" borderId="51" xfId="0" applyNumberFormat="1" applyFont="1" applyFill="1" applyBorder="1" applyAlignment="1">
      <alignment horizontal="right"/>
    </xf>
    <xf numFmtId="3" fontId="3" fillId="8" borderId="16" xfId="0" applyNumberFormat="1" applyFont="1" applyFill="1" applyBorder="1" applyAlignment="1">
      <alignment horizontal="right"/>
    </xf>
    <xf numFmtId="3" fontId="3" fillId="8" borderId="8" xfId="0" applyNumberFormat="1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9" fillId="5" borderId="14" xfId="0" applyFont="1" applyFill="1" applyBorder="1"/>
    <xf numFmtId="3" fontId="9" fillId="5" borderId="16" xfId="0" applyNumberFormat="1" applyFont="1" applyFill="1" applyBorder="1" applyAlignment="1">
      <alignment horizontal="right"/>
    </xf>
    <xf numFmtId="3" fontId="9" fillId="5" borderId="8" xfId="0" applyNumberFormat="1" applyFont="1" applyFill="1" applyBorder="1" applyAlignment="1">
      <alignment horizontal="right"/>
    </xf>
    <xf numFmtId="3" fontId="9" fillId="5" borderId="9" xfId="0" applyNumberFormat="1" applyFont="1" applyFill="1" applyBorder="1" applyAlignment="1">
      <alignment horizontal="right"/>
    </xf>
    <xf numFmtId="3" fontId="9" fillId="9" borderId="16" xfId="0" applyNumberFormat="1" applyFont="1" applyFill="1" applyBorder="1" applyAlignment="1"/>
    <xf numFmtId="3" fontId="4" fillId="0" borderId="27" xfId="0" applyNumberFormat="1" applyFont="1" applyBorder="1" applyAlignment="1"/>
    <xf numFmtId="3" fontId="4" fillId="0" borderId="27" xfId="0" applyNumberFormat="1" applyFont="1" applyFill="1" applyBorder="1" applyAlignment="1"/>
    <xf numFmtId="3" fontId="4" fillId="0" borderId="58" xfId="0" applyNumberFormat="1" applyFont="1" applyBorder="1" applyAlignment="1"/>
    <xf numFmtId="3" fontId="4" fillId="0" borderId="58" xfId="0" applyNumberFormat="1" applyFont="1" applyFill="1" applyBorder="1" applyAlignment="1"/>
    <xf numFmtId="0" fontId="4" fillId="0" borderId="36" xfId="0" applyFont="1" applyFill="1" applyBorder="1"/>
    <xf numFmtId="3" fontId="4" fillId="0" borderId="23" xfId="0" applyNumberFormat="1" applyFont="1" applyBorder="1" applyAlignment="1"/>
    <xf numFmtId="3" fontId="4" fillId="0" borderId="23" xfId="0" applyNumberFormat="1" applyFont="1" applyFill="1" applyBorder="1" applyAlignment="1"/>
    <xf numFmtId="0" fontId="4" fillId="0" borderId="35" xfId="0" applyFont="1" applyFill="1" applyBorder="1"/>
    <xf numFmtId="3" fontId="4" fillId="0" borderId="19" xfId="0" applyNumberFormat="1" applyFont="1" applyBorder="1" applyAlignment="1"/>
    <xf numFmtId="3" fontId="4" fillId="0" borderId="19" xfId="0" applyNumberFormat="1" applyFont="1" applyFill="1" applyBorder="1" applyAlignment="1"/>
    <xf numFmtId="0" fontId="4" fillId="0" borderId="24" xfId="0" applyFont="1" applyBorder="1"/>
    <xf numFmtId="0" fontId="5" fillId="0" borderId="18" xfId="0" applyFont="1" applyBorder="1"/>
    <xf numFmtId="49" fontId="5" fillId="0" borderId="56" xfId="0" applyNumberFormat="1" applyFont="1" applyFill="1" applyBorder="1" applyAlignment="1">
      <alignment horizontal="right"/>
    </xf>
    <xf numFmtId="0" fontId="5" fillId="0" borderId="29" xfId="0" applyFont="1" applyBorder="1"/>
    <xf numFmtId="3" fontId="5" fillId="0" borderId="30" xfId="0" applyNumberFormat="1" applyFont="1" applyFill="1" applyBorder="1" applyAlignment="1"/>
    <xf numFmtId="49" fontId="5" fillId="0" borderId="21" xfId="0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/>
    <xf numFmtId="49" fontId="5" fillId="0" borderId="25" xfId="0" applyNumberFormat="1" applyFont="1" applyFill="1" applyBorder="1" applyAlignment="1">
      <alignment horizontal="right"/>
    </xf>
    <xf numFmtId="0" fontId="5" fillId="0" borderId="26" xfId="0" applyFont="1" applyBorder="1"/>
    <xf numFmtId="3" fontId="5" fillId="0" borderId="27" xfId="0" applyNumberFormat="1" applyFont="1" applyFill="1" applyBorder="1" applyAlignment="1"/>
    <xf numFmtId="3" fontId="5" fillId="0" borderId="12" xfId="0" applyNumberFormat="1" applyFont="1" applyFill="1" applyBorder="1" applyAlignment="1"/>
    <xf numFmtId="49" fontId="5" fillId="0" borderId="35" xfId="0" applyNumberFormat="1" applyFont="1" applyFill="1" applyBorder="1" applyAlignment="1">
      <alignment horizontal="right"/>
    </xf>
    <xf numFmtId="3" fontId="5" fillId="0" borderId="19" xfId="0" applyNumberFormat="1" applyFont="1" applyFill="1" applyBorder="1" applyAlignment="1"/>
    <xf numFmtId="49" fontId="5" fillId="0" borderId="61" xfId="0" applyNumberFormat="1" applyFont="1" applyFill="1" applyBorder="1" applyAlignment="1">
      <alignment horizontal="right"/>
    </xf>
    <xf numFmtId="0" fontId="5" fillId="0" borderId="44" xfId="0" applyFont="1" applyBorder="1"/>
    <xf numFmtId="3" fontId="5" fillId="0" borderId="53" xfId="0" applyNumberFormat="1" applyFont="1" applyFill="1" applyBorder="1" applyAlignment="1"/>
    <xf numFmtId="49" fontId="5" fillId="0" borderId="32" xfId="0" applyNumberFormat="1" applyFont="1" applyFill="1" applyBorder="1" applyAlignment="1">
      <alignment horizontal="right"/>
    </xf>
    <xf numFmtId="0" fontId="5" fillId="0" borderId="33" xfId="0" applyFont="1" applyBorder="1"/>
    <xf numFmtId="3" fontId="5" fillId="0" borderId="58" xfId="0" applyNumberFormat="1" applyFont="1" applyFill="1" applyBorder="1" applyAlignment="1"/>
    <xf numFmtId="49" fontId="5" fillId="0" borderId="22" xfId="0" applyNumberFormat="1" applyFont="1" applyFill="1" applyBorder="1" applyAlignment="1">
      <alignment horizontal="left"/>
    </xf>
    <xf numFmtId="49" fontId="5" fillId="0" borderId="36" xfId="0" applyNumberFormat="1" applyFont="1" applyBorder="1" applyAlignment="1">
      <alignment horizontal="right"/>
    </xf>
    <xf numFmtId="49" fontId="5" fillId="0" borderId="18" xfId="0" applyNumberFormat="1" applyFont="1" applyFill="1" applyBorder="1" applyAlignment="1">
      <alignment horizontal="left"/>
    </xf>
    <xf numFmtId="49" fontId="5" fillId="0" borderId="60" xfId="0" applyNumberFormat="1" applyFont="1" applyBorder="1" applyAlignment="1">
      <alignment horizontal="right"/>
    </xf>
    <xf numFmtId="49" fontId="5" fillId="0" borderId="35" xfId="0" applyNumberFormat="1" applyFont="1" applyBorder="1" applyAlignment="1">
      <alignment horizontal="right"/>
    </xf>
    <xf numFmtId="49" fontId="5" fillId="0" borderId="61" xfId="0" applyNumberFormat="1" applyFont="1" applyBorder="1" applyAlignment="1">
      <alignment horizontal="right"/>
    </xf>
    <xf numFmtId="49" fontId="5" fillId="0" borderId="57" xfId="0" applyNumberFormat="1" applyFont="1" applyBorder="1" applyAlignment="1">
      <alignment horizontal="right"/>
    </xf>
    <xf numFmtId="49" fontId="5" fillId="0" borderId="33" xfId="0" applyNumberFormat="1" applyFont="1" applyFill="1" applyBorder="1" applyAlignment="1">
      <alignment horizontal="left"/>
    </xf>
    <xf numFmtId="49" fontId="5" fillId="0" borderId="10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57" xfId="0" applyFont="1" applyBorder="1"/>
    <xf numFmtId="0" fontId="2" fillId="0" borderId="33" xfId="0" applyFont="1" applyFill="1" applyBorder="1"/>
    <xf numFmtId="3" fontId="7" fillId="0" borderId="31" xfId="0" applyNumberFormat="1" applyFont="1" applyFill="1" applyBorder="1" applyAlignment="1">
      <alignment horizontal="right"/>
    </xf>
    <xf numFmtId="0" fontId="2" fillId="0" borderId="60" xfId="0" applyFont="1" applyBorder="1"/>
    <xf numFmtId="0" fontId="2" fillId="0" borderId="26" xfId="0" applyFont="1" applyFill="1" applyBorder="1"/>
    <xf numFmtId="3" fontId="7" fillId="0" borderId="6" xfId="0" applyNumberFormat="1" applyFont="1" applyFill="1" applyBorder="1" applyAlignment="1">
      <alignment horizontal="right"/>
    </xf>
    <xf numFmtId="0" fontId="14" fillId="0" borderId="56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left"/>
    </xf>
    <xf numFmtId="0" fontId="15" fillId="0" borderId="10" xfId="0" applyFont="1" applyBorder="1"/>
    <xf numFmtId="0" fontId="4" fillId="0" borderId="11" xfId="0" applyFont="1" applyBorder="1"/>
    <xf numFmtId="0" fontId="4" fillId="0" borderId="0" xfId="0" applyFont="1" applyBorder="1"/>
    <xf numFmtId="0" fontId="17" fillId="0" borderId="28" xfId="0" applyFont="1" applyBorder="1"/>
    <xf numFmtId="3" fontId="4" fillId="0" borderId="5" xfId="0" applyNumberFormat="1" applyFont="1" applyBorder="1"/>
    <xf numFmtId="0" fontId="17" fillId="0" borderId="21" xfId="0" applyFont="1" applyBorder="1"/>
    <xf numFmtId="0" fontId="2" fillId="0" borderId="22" xfId="0" applyFont="1" applyBorder="1" applyAlignment="1">
      <alignment horizontal="center"/>
    </xf>
    <xf numFmtId="3" fontId="4" fillId="0" borderId="24" xfId="0" applyNumberFormat="1" applyFont="1" applyBorder="1"/>
    <xf numFmtId="3" fontId="9" fillId="10" borderId="24" xfId="0" applyNumberFormat="1" applyFont="1" applyFill="1" applyBorder="1"/>
    <xf numFmtId="0" fontId="17" fillId="0" borderId="36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3" fontId="4" fillId="0" borderId="24" xfId="0" applyNumberFormat="1" applyFont="1" applyFill="1" applyBorder="1"/>
    <xf numFmtId="3" fontId="9" fillId="10" borderId="31" xfId="0" applyNumberFormat="1" applyFont="1" applyFill="1" applyBorder="1"/>
    <xf numFmtId="0" fontId="19" fillId="2" borderId="7" xfId="0" applyFont="1" applyFill="1" applyBorder="1" applyAlignment="1"/>
    <xf numFmtId="0" fontId="20" fillId="2" borderId="8" xfId="0" applyFont="1" applyFill="1" applyBorder="1" applyAlignment="1"/>
    <xf numFmtId="3" fontId="9" fillId="2" borderId="9" xfId="0" applyNumberFormat="1" applyFont="1" applyFill="1" applyBorder="1"/>
    <xf numFmtId="0" fontId="4" fillId="0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10" xfId="0" applyFont="1" applyFill="1" applyBorder="1"/>
    <xf numFmtId="3" fontId="8" fillId="0" borderId="13" xfId="0" applyNumberFormat="1" applyFont="1" applyFill="1" applyBorder="1"/>
    <xf numFmtId="0" fontId="2" fillId="0" borderId="47" xfId="0" applyFont="1" applyBorder="1"/>
    <xf numFmtId="0" fontId="2" fillId="0" borderId="38" xfId="0" applyFont="1" applyBorder="1"/>
    <xf numFmtId="0" fontId="2" fillId="0" borderId="37" xfId="0" applyFont="1" applyBorder="1"/>
    <xf numFmtId="0" fontId="2" fillId="0" borderId="39" xfId="0" applyFont="1" applyBorder="1"/>
    <xf numFmtId="3" fontId="3" fillId="2" borderId="16" xfId="0" applyNumberFormat="1" applyFont="1" applyFill="1" applyBorder="1" applyAlignment="1">
      <alignment horizontal="right"/>
    </xf>
    <xf numFmtId="3" fontId="3" fillId="2" borderId="6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12" xfId="0" applyFont="1" applyBorder="1"/>
    <xf numFmtId="0" fontId="4" fillId="2" borderId="47" xfId="0" applyFont="1" applyFill="1" applyBorder="1"/>
    <xf numFmtId="0" fontId="8" fillId="0" borderId="37" xfId="0" applyFont="1" applyFill="1" applyBorder="1"/>
    <xf numFmtId="0" fontId="8" fillId="0" borderId="34" xfId="0" applyFont="1" applyFill="1" applyBorder="1"/>
    <xf numFmtId="0" fontId="2" fillId="0" borderId="37" xfId="0" applyFont="1" applyFill="1" applyBorder="1"/>
    <xf numFmtId="0" fontId="6" fillId="0" borderId="37" xfId="0" applyFont="1" applyFill="1" applyBorder="1"/>
    <xf numFmtId="0" fontId="2" fillId="2" borderId="47" xfId="0" applyFont="1" applyFill="1" applyBorder="1"/>
    <xf numFmtId="0" fontId="8" fillId="0" borderId="46" xfId="0" applyFont="1" applyFill="1" applyBorder="1"/>
    <xf numFmtId="3" fontId="2" fillId="0" borderId="48" xfId="0" applyNumberFormat="1" applyFont="1" applyBorder="1"/>
    <xf numFmtId="0" fontId="4" fillId="0" borderId="48" xfId="0" applyFont="1" applyBorder="1"/>
    <xf numFmtId="3" fontId="8" fillId="0" borderId="23" xfId="0" applyNumberFormat="1" applyFont="1" applyFill="1" applyBorder="1"/>
    <xf numFmtId="3" fontId="8" fillId="0" borderId="19" xfId="0" applyNumberFormat="1" applyFont="1" applyFill="1" applyBorder="1"/>
    <xf numFmtId="3" fontId="2" fillId="0" borderId="19" xfId="0" applyNumberFormat="1" applyFont="1" applyBorder="1"/>
    <xf numFmtId="3" fontId="4" fillId="0" borderId="19" xfId="0" applyNumberFormat="1" applyFont="1" applyBorder="1"/>
    <xf numFmtId="3" fontId="8" fillId="0" borderId="12" xfId="0" applyNumberFormat="1" applyFont="1" applyFill="1" applyBorder="1"/>
    <xf numFmtId="3" fontId="4" fillId="0" borderId="27" xfId="0" applyNumberFormat="1" applyFont="1" applyBorder="1"/>
    <xf numFmtId="3" fontId="8" fillId="0" borderId="27" xfId="0" applyNumberFormat="1" applyFont="1" applyFill="1" applyBorder="1"/>
    <xf numFmtId="3" fontId="2" fillId="0" borderId="23" xfId="0" applyNumberFormat="1" applyFont="1" applyFill="1" applyBorder="1"/>
    <xf numFmtId="3" fontId="6" fillId="0" borderId="23" xfId="0" applyNumberFormat="1" applyFont="1" applyFill="1" applyBorder="1"/>
    <xf numFmtId="3" fontId="9" fillId="2" borderId="16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6" fillId="0" borderId="49" xfId="0" applyNumberFormat="1" applyFont="1" applyFill="1" applyBorder="1"/>
    <xf numFmtId="3" fontId="7" fillId="0" borderId="49" xfId="0" applyNumberFormat="1" applyFont="1" applyBorder="1"/>
    <xf numFmtId="3" fontId="7" fillId="0" borderId="2" xfId="0" applyNumberFormat="1" applyFont="1" applyBorder="1"/>
    <xf numFmtId="3" fontId="2" fillId="0" borderId="46" xfId="0" applyNumberFormat="1" applyFont="1" applyBorder="1"/>
    <xf numFmtId="3" fontId="7" fillId="0" borderId="48" xfId="0" applyNumberFormat="1" applyFont="1" applyBorder="1"/>
    <xf numFmtId="3" fontId="2" fillId="0" borderId="49" xfId="0" applyNumberFormat="1" applyFont="1" applyFill="1" applyBorder="1"/>
    <xf numFmtId="3" fontId="7" fillId="0" borderId="49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3" fontId="2" fillId="0" borderId="27" xfId="0" applyNumberFormat="1" applyFont="1" applyBorder="1"/>
    <xf numFmtId="3" fontId="7" fillId="0" borderId="19" xfId="0" applyNumberFormat="1" applyFont="1" applyFill="1" applyBorder="1"/>
    <xf numFmtId="3" fontId="7" fillId="0" borderId="23" xfId="0" applyNumberFormat="1" applyFont="1" applyFill="1" applyBorder="1"/>
    <xf numFmtId="3" fontId="2" fillId="0" borderId="19" xfId="0" applyNumberFormat="1" applyFont="1" applyFill="1" applyBorder="1"/>
    <xf numFmtId="3" fontId="6" fillId="6" borderId="52" xfId="0" applyNumberFormat="1" applyFont="1" applyFill="1" applyBorder="1" applyAlignment="1">
      <alignment horizontal="right"/>
    </xf>
    <xf numFmtId="3" fontId="6" fillId="6" borderId="36" xfId="0" applyNumberFormat="1" applyFont="1" applyFill="1" applyBorder="1" applyAlignment="1">
      <alignment horizontal="right"/>
    </xf>
    <xf numFmtId="3" fontId="6" fillId="6" borderId="60" xfId="0" applyNumberFormat="1" applyFont="1" applyFill="1" applyBorder="1" applyAlignment="1">
      <alignment horizontal="right"/>
    </xf>
    <xf numFmtId="3" fontId="6" fillId="6" borderId="35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0" fontId="2" fillId="0" borderId="18" xfId="0" applyFont="1" applyFill="1" applyBorder="1"/>
    <xf numFmtId="0" fontId="2" fillId="0" borderId="56" xfId="0" applyFont="1" applyBorder="1"/>
    <xf numFmtId="0" fontId="2" fillId="0" borderId="29" xfId="0" applyFont="1" applyFill="1" applyBorder="1"/>
    <xf numFmtId="3" fontId="7" fillId="0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6" xfId="0" applyFill="1" applyBorder="1"/>
    <xf numFmtId="3" fontId="4" fillId="0" borderId="53" xfId="0" applyNumberFormat="1" applyFont="1" applyFill="1" applyBorder="1" applyAlignment="1"/>
    <xf numFmtId="0" fontId="7" fillId="0" borderId="0" xfId="0" applyFont="1" applyFill="1"/>
    <xf numFmtId="0" fontId="3" fillId="3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3" fontId="8" fillId="0" borderId="65" xfId="0" applyNumberFormat="1" applyFont="1" applyFill="1" applyBorder="1"/>
    <xf numFmtId="3" fontId="8" fillId="0" borderId="66" xfId="0" applyNumberFormat="1" applyFont="1" applyFill="1" applyBorder="1"/>
    <xf numFmtId="3" fontId="2" fillId="0" borderId="66" xfId="0" applyNumberFormat="1" applyFont="1" applyBorder="1"/>
    <xf numFmtId="3" fontId="5" fillId="0" borderId="66" xfId="0" applyNumberFormat="1" applyFont="1" applyBorder="1"/>
    <xf numFmtId="3" fontId="8" fillId="0" borderId="67" xfId="0" applyNumberFormat="1" applyFont="1" applyFill="1" applyBorder="1"/>
    <xf numFmtId="3" fontId="8" fillId="0" borderId="68" xfId="0" applyNumberFormat="1" applyFont="1" applyFill="1" applyBorder="1"/>
    <xf numFmtId="3" fontId="2" fillId="0" borderId="66" xfId="0" applyNumberFormat="1" applyFont="1" applyFill="1" applyBorder="1"/>
    <xf numFmtId="3" fontId="4" fillId="0" borderId="67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66" xfId="0" applyNumberFormat="1" applyFont="1" applyFill="1" applyBorder="1" applyAlignment="1">
      <alignment horizontal="right"/>
    </xf>
    <xf numFmtId="3" fontId="7" fillId="0" borderId="46" xfId="0" applyNumberFormat="1" applyFont="1" applyBorder="1"/>
    <xf numFmtId="49" fontId="5" fillId="0" borderId="24" xfId="0" applyNumberFormat="1" applyFont="1" applyFill="1" applyBorder="1" applyAlignment="1">
      <alignment horizontal="left"/>
    </xf>
    <xf numFmtId="0" fontId="5" fillId="0" borderId="24" xfId="0" applyFont="1" applyFill="1" applyBorder="1"/>
    <xf numFmtId="0" fontId="2" fillId="0" borderId="36" xfId="0" applyFont="1" applyBorder="1"/>
    <xf numFmtId="0" fontId="2" fillId="0" borderId="22" xfId="0" applyFont="1" applyFill="1" applyBorder="1"/>
    <xf numFmtId="3" fontId="3" fillId="5" borderId="51" xfId="0" applyNumberFormat="1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right"/>
    </xf>
    <xf numFmtId="0" fontId="4" fillId="0" borderId="7" xfId="0" applyFont="1" applyFill="1" applyBorder="1"/>
    <xf numFmtId="0" fontId="4" fillId="0" borderId="15" xfId="0" applyFont="1" applyBorder="1"/>
    <xf numFmtId="0" fontId="5" fillId="0" borderId="11" xfId="0" applyFont="1" applyBorder="1"/>
    <xf numFmtId="0" fontId="9" fillId="12" borderId="7" xfId="0" applyFont="1" applyFill="1" applyBorder="1" applyAlignment="1">
      <alignment horizontal="left"/>
    </xf>
    <xf numFmtId="0" fontId="9" fillId="12" borderId="8" xfId="0" applyFont="1" applyFill="1" applyBorder="1" applyAlignment="1">
      <alignment horizontal="left"/>
    </xf>
    <xf numFmtId="3" fontId="9" fillId="12" borderId="9" xfId="0" applyNumberFormat="1" applyFont="1" applyFill="1" applyBorder="1" applyAlignment="1">
      <alignment horizontal="right"/>
    </xf>
    <xf numFmtId="0" fontId="8" fillId="0" borderId="38" xfId="0" applyFont="1" applyFill="1" applyBorder="1"/>
    <xf numFmtId="3" fontId="10" fillId="4" borderId="42" xfId="0" applyNumberFormat="1" applyFont="1" applyFill="1" applyBorder="1" applyAlignment="1">
      <alignment horizontal="right"/>
    </xf>
    <xf numFmtId="0" fontId="6" fillId="4" borderId="56" xfId="0" applyFont="1" applyFill="1" applyBorder="1" applyAlignment="1">
      <alignment horizontal="left"/>
    </xf>
    <xf numFmtId="3" fontId="10" fillId="4" borderId="5" xfId="0" applyNumberFormat="1" applyFont="1" applyFill="1" applyBorder="1" applyAlignment="1">
      <alignment horizontal="right"/>
    </xf>
    <xf numFmtId="3" fontId="6" fillId="4" borderId="27" xfId="0" applyNumberFormat="1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3" fontId="4" fillId="0" borderId="16" xfId="0" applyNumberFormat="1" applyFont="1" applyBorder="1" applyAlignment="1"/>
    <xf numFmtId="3" fontId="4" fillId="0" borderId="16" xfId="0" applyNumberFormat="1" applyFont="1" applyFill="1" applyBorder="1" applyAlignment="1"/>
    <xf numFmtId="0" fontId="13" fillId="0" borderId="24" xfId="0" applyFont="1" applyFill="1" applyBorder="1"/>
    <xf numFmtId="0" fontId="2" fillId="13" borderId="1" xfId="0" applyFont="1" applyFill="1" applyBorder="1"/>
    <xf numFmtId="0" fontId="2" fillId="13" borderId="11" xfId="0" applyFont="1" applyFill="1" applyBorder="1"/>
    <xf numFmtId="3" fontId="7" fillId="13" borderId="13" xfId="0" applyNumberFormat="1" applyFont="1" applyFill="1" applyBorder="1" applyAlignment="1">
      <alignment horizontal="right"/>
    </xf>
    <xf numFmtId="0" fontId="2" fillId="0" borderId="46" xfId="0" applyFont="1" applyFill="1" applyBorder="1"/>
    <xf numFmtId="3" fontId="0" fillId="0" borderId="0" xfId="0" applyNumberFormat="1"/>
    <xf numFmtId="3" fontId="5" fillId="14" borderId="23" xfId="0" applyNumberFormat="1" applyFont="1" applyFill="1" applyBorder="1" applyAlignment="1"/>
    <xf numFmtId="0" fontId="23" fillId="0" borderId="0" xfId="0" applyFont="1"/>
    <xf numFmtId="0" fontId="24" fillId="15" borderId="16" xfId="0" applyFont="1" applyFill="1" applyBorder="1" applyAlignment="1">
      <alignment horizontal="center" vertical="center"/>
    </xf>
    <xf numFmtId="3" fontId="24" fillId="15" borderId="16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right"/>
    </xf>
    <xf numFmtId="3" fontId="26" fillId="0" borderId="0" xfId="0" applyNumberFormat="1" applyFont="1"/>
    <xf numFmtId="0" fontId="25" fillId="0" borderId="14" xfId="0" applyFont="1" applyBorder="1"/>
    <xf numFmtId="49" fontId="5" fillId="0" borderId="23" xfId="0" applyNumberFormat="1" applyFont="1" applyFill="1" applyBorder="1" applyAlignment="1">
      <alignment horizontal="right"/>
    </xf>
    <xf numFmtId="0" fontId="27" fillId="0" borderId="21" xfId="0" applyFont="1" applyBorder="1"/>
    <xf numFmtId="3" fontId="28" fillId="0" borderId="22" xfId="0" applyNumberFormat="1" applyFont="1" applyFill="1" applyBorder="1" applyAlignment="1">
      <alignment horizontal="right"/>
    </xf>
    <xf numFmtId="49" fontId="5" fillId="0" borderId="30" xfId="0" applyNumberFormat="1" applyFont="1" applyFill="1" applyBorder="1" applyAlignment="1">
      <alignment horizontal="right"/>
    </xf>
    <xf numFmtId="0" fontId="27" fillId="0" borderId="21" xfId="0" applyFont="1" applyFill="1" applyBorder="1"/>
    <xf numFmtId="49" fontId="5" fillId="0" borderId="53" xfId="0" applyNumberFormat="1" applyFont="1" applyFill="1" applyBorder="1" applyAlignment="1">
      <alignment horizontal="right"/>
    </xf>
    <xf numFmtId="49" fontId="5" fillId="0" borderId="27" xfId="0" applyNumberFormat="1" applyFont="1" applyFill="1" applyBorder="1" applyAlignment="1">
      <alignment horizontal="right"/>
    </xf>
    <xf numFmtId="3" fontId="5" fillId="17" borderId="27" xfId="0" applyNumberFormat="1" applyFont="1" applyFill="1" applyBorder="1" applyAlignment="1"/>
    <xf numFmtId="3" fontId="27" fillId="0" borderId="22" xfId="0" applyNumberFormat="1" applyFont="1" applyFill="1" applyBorder="1" applyAlignment="1">
      <alignment horizontal="right"/>
    </xf>
    <xf numFmtId="49" fontId="5" fillId="14" borderId="23" xfId="0" applyNumberFormat="1" applyFont="1" applyFill="1" applyBorder="1" applyAlignment="1">
      <alignment horizontal="right"/>
    </xf>
    <xf numFmtId="49" fontId="5" fillId="14" borderId="23" xfId="0" applyNumberFormat="1" applyFont="1" applyFill="1" applyBorder="1" applyAlignment="1">
      <alignment horizontal="left"/>
    </xf>
    <xf numFmtId="49" fontId="5" fillId="0" borderId="58" xfId="0" applyNumberFormat="1" applyFont="1" applyFill="1" applyBorder="1" applyAlignment="1">
      <alignment horizontal="right"/>
    </xf>
    <xf numFmtId="49" fontId="5" fillId="0" borderId="23" xfId="0" applyNumberFormat="1" applyFont="1" applyFill="1" applyBorder="1" applyAlignment="1">
      <alignment horizontal="left"/>
    </xf>
    <xf numFmtId="49" fontId="5" fillId="0" borderId="58" xfId="0" applyNumberFormat="1" applyFont="1" applyFill="1" applyBorder="1" applyAlignment="1">
      <alignment horizontal="left"/>
    </xf>
    <xf numFmtId="0" fontId="5" fillId="0" borderId="53" xfId="0" applyFont="1" applyFill="1" applyBorder="1"/>
    <xf numFmtId="3" fontId="32" fillId="15" borderId="64" xfId="0" applyNumberFormat="1" applyFont="1" applyFill="1" applyBorder="1"/>
    <xf numFmtId="3" fontId="31" fillId="0" borderId="19" xfId="0" applyNumberFormat="1" applyFont="1" applyFill="1" applyBorder="1" applyAlignment="1"/>
    <xf numFmtId="0" fontId="5" fillId="0" borderId="20" xfId="0" applyFont="1" applyBorder="1"/>
    <xf numFmtId="3" fontId="0" fillId="0" borderId="19" xfId="0" applyNumberFormat="1" applyFill="1" applyBorder="1"/>
    <xf numFmtId="49" fontId="31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/>
    <xf numFmtId="3" fontId="32" fillId="0" borderId="0" xfId="0" applyNumberFormat="1" applyFont="1" applyFill="1" applyBorder="1"/>
    <xf numFmtId="3" fontId="34" fillId="0" borderId="0" xfId="0" applyNumberFormat="1" applyFont="1"/>
    <xf numFmtId="3" fontId="11" fillId="0" borderId="0" xfId="0" applyNumberFormat="1" applyFont="1" applyFill="1" applyBorder="1"/>
    <xf numFmtId="3" fontId="26" fillId="0" borderId="0" xfId="0" applyNumberFormat="1" applyFont="1" applyFill="1"/>
    <xf numFmtId="0" fontId="0" fillId="0" borderId="0" xfId="0" applyFill="1"/>
    <xf numFmtId="3" fontId="31" fillId="0" borderId="0" xfId="0" applyNumberFormat="1" applyFont="1"/>
    <xf numFmtId="0" fontId="23" fillId="0" borderId="0" xfId="0" applyFont="1" applyFill="1"/>
    <xf numFmtId="0" fontId="29" fillId="0" borderId="32" xfId="0" applyFont="1" applyFill="1" applyBorder="1"/>
    <xf numFmtId="0" fontId="25" fillId="14" borderId="14" xfId="0" applyFont="1" applyFill="1" applyBorder="1"/>
    <xf numFmtId="3" fontId="35" fillId="0" borderId="0" xfId="0" applyNumberFormat="1" applyFont="1" applyBorder="1"/>
    <xf numFmtId="0" fontId="4" fillId="0" borderId="29" xfId="0" applyFont="1" applyBorder="1"/>
    <xf numFmtId="0" fontId="6" fillId="0" borderId="22" xfId="0" applyFont="1" applyFill="1" applyBorder="1" applyAlignment="1">
      <alignment horizontal="left"/>
    </xf>
    <xf numFmtId="3" fontId="6" fillId="0" borderId="48" xfId="0" applyNumberFormat="1" applyFont="1" applyFill="1" applyBorder="1"/>
    <xf numFmtId="0" fontId="4" fillId="0" borderId="46" xfId="0" applyFont="1" applyBorder="1"/>
    <xf numFmtId="3" fontId="2" fillId="0" borderId="27" xfId="0" applyNumberFormat="1" applyFont="1" applyFill="1" applyBorder="1"/>
    <xf numFmtId="3" fontId="2" fillId="0" borderId="68" xfId="0" applyNumberFormat="1" applyFont="1" applyFill="1" applyBorder="1"/>
    <xf numFmtId="3" fontId="26" fillId="0" borderId="0" xfId="0" applyNumberFormat="1" applyFont="1" applyBorder="1"/>
    <xf numFmtId="0" fontId="27" fillId="0" borderId="32" xfId="0" applyFont="1" applyFill="1" applyBorder="1"/>
    <xf numFmtId="3" fontId="27" fillId="0" borderId="33" xfId="0" applyNumberFormat="1" applyFont="1" applyFill="1" applyBorder="1" applyAlignment="1">
      <alignment horizontal="right"/>
    </xf>
    <xf numFmtId="3" fontId="7" fillId="0" borderId="0" xfId="0" applyNumberFormat="1" applyFont="1"/>
    <xf numFmtId="0" fontId="3" fillId="18" borderId="5" xfId="0" applyFont="1" applyFill="1" applyBorder="1" applyAlignment="1">
      <alignment horizontal="center" vertical="center" wrapText="1"/>
    </xf>
    <xf numFmtId="0" fontId="2" fillId="0" borderId="61" xfId="0" applyFont="1" applyBorder="1"/>
    <xf numFmtId="3" fontId="7" fillId="0" borderId="42" xfId="0" applyNumberFormat="1" applyFont="1" applyFill="1" applyBorder="1" applyAlignment="1">
      <alignment horizontal="right"/>
    </xf>
    <xf numFmtId="0" fontId="5" fillId="0" borderId="41" xfId="0" applyFont="1" applyBorder="1"/>
    <xf numFmtId="3" fontId="36" fillId="0" borderId="0" xfId="0" applyNumberFormat="1" applyFont="1"/>
    <xf numFmtId="0" fontId="0" fillId="0" borderId="0" xfId="0" applyBorder="1"/>
    <xf numFmtId="0" fontId="4" fillId="0" borderId="40" xfId="0" applyFont="1" applyFill="1" applyBorder="1"/>
    <xf numFmtId="3" fontId="4" fillId="0" borderId="53" xfId="0" applyNumberFormat="1" applyFont="1" applyBorder="1"/>
    <xf numFmtId="3" fontId="2" fillId="0" borderId="53" xfId="0" applyNumberFormat="1" applyFont="1" applyFill="1" applyBorder="1"/>
    <xf numFmtId="3" fontId="4" fillId="0" borderId="23" xfId="0" applyNumberFormat="1" applyFont="1" applyBorder="1"/>
    <xf numFmtId="0" fontId="8" fillId="0" borderId="40" xfId="0" applyFont="1" applyFill="1" applyBorder="1"/>
    <xf numFmtId="0" fontId="8" fillId="0" borderId="41" xfId="0" applyFont="1" applyFill="1" applyBorder="1"/>
    <xf numFmtId="0" fontId="2" fillId="0" borderId="44" xfId="0" applyFont="1" applyFill="1" applyBorder="1"/>
    <xf numFmtId="0" fontId="2" fillId="0" borderId="35" xfId="0" applyFont="1" applyBorder="1"/>
    <xf numFmtId="3" fontId="7" fillId="0" borderId="20" xfId="0" applyNumberFormat="1" applyFont="1" applyFill="1" applyBorder="1" applyAlignment="1">
      <alignment horizontal="right"/>
    </xf>
    <xf numFmtId="0" fontId="37" fillId="0" borderId="0" xfId="0" applyFont="1" applyAlignment="1">
      <alignment horizontal="right" vertical="center"/>
    </xf>
    <xf numFmtId="3" fontId="37" fillId="0" borderId="0" xfId="0" applyNumberFormat="1" applyFont="1"/>
    <xf numFmtId="0" fontId="38" fillId="0" borderId="0" xfId="0" applyFont="1" applyAlignment="1">
      <alignment horizontal="right"/>
    </xf>
    <xf numFmtId="3" fontId="38" fillId="0" borderId="0" xfId="0" applyNumberFormat="1" applyFont="1"/>
    <xf numFmtId="0" fontId="38" fillId="0" borderId="0" xfId="0" applyFont="1"/>
    <xf numFmtId="49" fontId="5" fillId="0" borderId="60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left"/>
    </xf>
    <xf numFmtId="0" fontId="5" fillId="0" borderId="20" xfId="0" applyFont="1" applyFill="1" applyBorder="1"/>
    <xf numFmtId="49" fontId="5" fillId="0" borderId="37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49" fontId="5" fillId="0" borderId="34" xfId="0" applyNumberFormat="1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left"/>
    </xf>
    <xf numFmtId="0" fontId="5" fillId="0" borderId="6" xfId="0" applyFont="1" applyBorder="1"/>
    <xf numFmtId="0" fontId="2" fillId="0" borderId="41" xfId="0" applyFont="1" applyBorder="1"/>
    <xf numFmtId="3" fontId="8" fillId="0" borderId="31" xfId="0" applyNumberFormat="1" applyFont="1" applyFill="1" applyBorder="1"/>
    <xf numFmtId="3" fontId="5" fillId="0" borderId="31" xfId="0" applyNumberFormat="1" applyFont="1" applyFill="1" applyBorder="1"/>
    <xf numFmtId="3" fontId="5" fillId="0" borderId="24" xfId="0" applyNumberFormat="1" applyFont="1" applyFill="1" applyBorder="1"/>
    <xf numFmtId="49" fontId="6" fillId="6" borderId="28" xfId="0" applyNumberFormat="1" applyFont="1" applyFill="1" applyBorder="1" applyAlignment="1">
      <alignment horizontal="right"/>
    </xf>
    <xf numFmtId="49" fontId="6" fillId="6" borderId="17" xfId="0" applyNumberFormat="1" applyFont="1" applyFill="1" applyBorder="1" applyAlignment="1">
      <alignment horizontal="right"/>
    </xf>
    <xf numFmtId="49" fontId="6" fillId="6" borderId="21" xfId="0" applyNumberFormat="1" applyFont="1" applyFill="1" applyBorder="1" applyAlignment="1">
      <alignment horizontal="right"/>
    </xf>
    <xf numFmtId="49" fontId="6" fillId="6" borderId="25" xfId="0" applyNumberFormat="1" applyFont="1" applyFill="1" applyBorder="1" applyAlignment="1">
      <alignment horizontal="right"/>
    </xf>
    <xf numFmtId="0" fontId="4" fillId="0" borderId="61" xfId="0" applyFont="1" applyFill="1" applyBorder="1"/>
    <xf numFmtId="0" fontId="39" fillId="4" borderId="17" xfId="0" applyFont="1" applyFill="1" applyBorder="1"/>
    <xf numFmtId="0" fontId="39" fillId="4" borderId="18" xfId="0" applyFont="1" applyFill="1" applyBorder="1"/>
    <xf numFmtId="3" fontId="39" fillId="0" borderId="19" xfId="0" applyNumberFormat="1" applyFont="1" applyBorder="1"/>
    <xf numFmtId="0" fontId="39" fillId="4" borderId="48" xfId="0" applyFont="1" applyFill="1" applyBorder="1"/>
    <xf numFmtId="3" fontId="39" fillId="4" borderId="19" xfId="0" applyNumberFormat="1" applyFont="1" applyFill="1" applyBorder="1"/>
    <xf numFmtId="3" fontId="39" fillId="4" borderId="66" xfId="0" applyNumberFormat="1" applyFont="1" applyFill="1" applyBorder="1"/>
    <xf numFmtId="3" fontId="39" fillId="4" borderId="20" xfId="0" applyNumberFormat="1" applyFont="1" applyFill="1" applyBorder="1"/>
    <xf numFmtId="0" fontId="39" fillId="4" borderId="21" xfId="0" applyFont="1" applyFill="1" applyBorder="1"/>
    <xf numFmtId="0" fontId="39" fillId="4" borderId="37" xfId="0" applyFont="1" applyFill="1" applyBorder="1"/>
    <xf numFmtId="3" fontId="39" fillId="4" borderId="23" xfId="0" applyNumberFormat="1" applyFont="1" applyFill="1" applyBorder="1"/>
    <xf numFmtId="0" fontId="39" fillId="4" borderId="49" xfId="0" applyFont="1" applyFill="1" applyBorder="1"/>
    <xf numFmtId="3" fontId="39" fillId="4" borderId="65" xfId="0" applyNumberFormat="1" applyFont="1" applyFill="1" applyBorder="1"/>
    <xf numFmtId="3" fontId="39" fillId="4" borderId="24" xfId="0" applyNumberFormat="1" applyFont="1" applyFill="1" applyBorder="1"/>
    <xf numFmtId="3" fontId="40" fillId="0" borderId="0" xfId="0" applyNumberFormat="1" applyFont="1"/>
    <xf numFmtId="49" fontId="5" fillId="0" borderId="27" xfId="0" applyNumberFormat="1" applyFont="1" applyFill="1" applyBorder="1" applyAlignment="1">
      <alignment horizontal="left"/>
    </xf>
    <xf numFmtId="49" fontId="5" fillId="0" borderId="30" xfId="0" applyNumberFormat="1" applyFont="1" applyFill="1" applyBorder="1" applyAlignment="1">
      <alignment horizontal="left"/>
    </xf>
    <xf numFmtId="0" fontId="4" fillId="0" borderId="20" xfId="0" applyFont="1" applyBorder="1"/>
    <xf numFmtId="14" fontId="7" fillId="0" borderId="0" xfId="0" applyNumberFormat="1" applyFont="1"/>
    <xf numFmtId="3" fontId="7" fillId="0" borderId="23" xfId="0" applyNumberFormat="1" applyFont="1" applyFill="1" applyBorder="1" applyAlignment="1">
      <alignment horizontal="right"/>
    </xf>
    <xf numFmtId="0" fontId="5" fillId="0" borderId="30" xfId="0" applyFont="1" applyFill="1" applyBorder="1"/>
    <xf numFmtId="0" fontId="5" fillId="0" borderId="23" xfId="0" applyFont="1" applyFill="1" applyBorder="1"/>
    <xf numFmtId="3" fontId="41" fillId="0" borderId="0" xfId="0" applyNumberFormat="1" applyFont="1"/>
    <xf numFmtId="3" fontId="40" fillId="0" borderId="48" xfId="0" applyNumberFormat="1" applyFont="1" applyBorder="1"/>
    <xf numFmtId="0" fontId="40" fillId="0" borderId="0" xfId="0" applyFont="1" applyAlignment="1">
      <alignment horizontal="right"/>
    </xf>
    <xf numFmtId="49" fontId="5" fillId="0" borderId="38" xfId="0" applyNumberFormat="1" applyFont="1" applyFill="1" applyBorder="1" applyAlignment="1">
      <alignment horizontal="left"/>
    </xf>
    <xf numFmtId="0" fontId="5" fillId="0" borderId="31" xfId="0" applyFont="1" applyFill="1" applyBorder="1"/>
    <xf numFmtId="0" fontId="5" fillId="0" borderId="34" xfId="0" applyFont="1" applyBorder="1"/>
    <xf numFmtId="3" fontId="42" fillId="0" borderId="0" xfId="0" applyNumberFormat="1" applyFont="1"/>
    <xf numFmtId="0" fontId="42" fillId="0" borderId="0" xfId="0" applyFont="1"/>
    <xf numFmtId="3" fontId="6" fillId="13" borderId="24" xfId="0" applyNumberFormat="1" applyFont="1" applyFill="1" applyBorder="1" applyAlignment="1">
      <alignment horizontal="right"/>
    </xf>
    <xf numFmtId="3" fontId="43" fillId="15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20" borderId="0" xfId="0" applyFill="1"/>
    <xf numFmtId="3" fontId="44" fillId="0" borderId="0" xfId="0" applyNumberFormat="1" applyFont="1"/>
    <xf numFmtId="0" fontId="45" fillId="0" borderId="15" xfId="0" applyFont="1" applyBorder="1"/>
    <xf numFmtId="0" fontId="45" fillId="0" borderId="9" xfId="0" applyFont="1" applyBorder="1"/>
    <xf numFmtId="1" fontId="27" fillId="0" borderId="24" xfId="1" applyNumberFormat="1" applyFont="1" applyBorder="1" applyAlignment="1">
      <alignment horizontal="left"/>
    </xf>
    <xf numFmtId="1" fontId="27" fillId="0" borderId="24" xfId="1" applyNumberFormat="1" applyFont="1" applyFill="1" applyBorder="1" applyAlignment="1">
      <alignment horizontal="left"/>
    </xf>
    <xf numFmtId="1" fontId="27" fillId="0" borderId="31" xfId="1" applyNumberFormat="1" applyFont="1" applyFill="1" applyBorder="1" applyAlignment="1">
      <alignment horizontal="left"/>
    </xf>
    <xf numFmtId="3" fontId="29" fillId="20" borderId="33" xfId="0" applyNumberFormat="1" applyFont="1" applyFill="1" applyBorder="1" applyAlignment="1">
      <alignment horizontal="right"/>
    </xf>
    <xf numFmtId="165" fontId="30" fillId="14" borderId="15" xfId="0" applyNumberFormat="1" applyFont="1" applyFill="1" applyBorder="1" applyAlignment="1">
      <alignment horizontal="right"/>
    </xf>
    <xf numFmtId="165" fontId="25" fillId="14" borderId="9" xfId="1" applyNumberFormat="1" applyFont="1" applyFill="1" applyBorder="1" applyAlignment="1">
      <alignment horizontal="left"/>
    </xf>
    <xf numFmtId="3" fontId="46" fillId="16" borderId="16" xfId="0" applyNumberFormat="1" applyFont="1" applyFill="1" applyBorder="1" applyAlignment="1">
      <alignment horizontal="center" vertical="center"/>
    </xf>
    <xf numFmtId="3" fontId="46" fillId="16" borderId="19" xfId="0" applyNumberFormat="1" applyFont="1" applyFill="1" applyBorder="1"/>
    <xf numFmtId="3" fontId="46" fillId="16" borderId="27" xfId="0" applyNumberFormat="1" applyFont="1" applyFill="1" applyBorder="1"/>
    <xf numFmtId="3" fontId="46" fillId="16" borderId="23" xfId="0" applyNumberFormat="1" applyFont="1" applyFill="1" applyBorder="1"/>
    <xf numFmtId="3" fontId="46" fillId="16" borderId="30" xfId="0" applyNumberFormat="1" applyFont="1" applyFill="1" applyBorder="1"/>
    <xf numFmtId="3" fontId="46" fillId="16" borderId="16" xfId="0" applyNumberFormat="1" applyFont="1" applyFill="1" applyBorder="1"/>
    <xf numFmtId="0" fontId="2" fillId="0" borderId="21" xfId="0" applyFont="1" applyBorder="1"/>
    <xf numFmtId="49" fontId="5" fillId="0" borderId="0" xfId="0" applyNumberFormat="1" applyFont="1" applyFill="1" applyBorder="1" applyAlignment="1">
      <alignment horizontal="left"/>
    </xf>
    <xf numFmtId="49" fontId="5" fillId="0" borderId="48" xfId="0" applyNumberFormat="1" applyFont="1" applyFill="1" applyBorder="1" applyAlignment="1">
      <alignment horizontal="left"/>
    </xf>
    <xf numFmtId="0" fontId="0" fillId="0" borderId="71" xfId="0" applyFill="1" applyBorder="1"/>
    <xf numFmtId="3" fontId="5" fillId="17" borderId="23" xfId="0" applyNumberFormat="1" applyFont="1" applyFill="1" applyBorder="1" applyAlignment="1"/>
    <xf numFmtId="3" fontId="2" fillId="0" borderId="0" xfId="0" applyNumberFormat="1" applyFont="1" applyBorder="1"/>
    <xf numFmtId="3" fontId="5" fillId="0" borderId="53" xfId="0" applyNumberFormat="1" applyFont="1" applyBorder="1"/>
    <xf numFmtId="3" fontId="5" fillId="0" borderId="72" xfId="0" applyNumberFormat="1" applyFont="1" applyBorder="1"/>
    <xf numFmtId="3" fontId="5" fillId="0" borderId="42" xfId="0" applyNumberFormat="1" applyFont="1" applyFill="1" applyBorder="1"/>
    <xf numFmtId="3" fontId="2" fillId="14" borderId="16" xfId="0" applyNumberFormat="1" applyFont="1" applyFill="1" applyBorder="1"/>
    <xf numFmtId="3" fontId="47" fillId="0" borderId="0" xfId="0" applyNumberFormat="1" applyFont="1"/>
    <xf numFmtId="3" fontId="0" fillId="0" borderId="0" xfId="0" applyNumberFormat="1" applyFill="1"/>
    <xf numFmtId="3" fontId="48" fillId="0" borderId="0" xfId="0" applyNumberFormat="1" applyFont="1"/>
    <xf numFmtId="3" fontId="49" fillId="0" borderId="0" xfId="0" applyNumberFormat="1" applyFont="1" applyFill="1" applyBorder="1"/>
    <xf numFmtId="3" fontId="50" fillId="0" borderId="45" xfId="0" applyNumberFormat="1" applyFont="1" applyBorder="1"/>
    <xf numFmtId="49" fontId="5" fillId="0" borderId="16" xfId="0" applyNumberFormat="1" applyFont="1" applyFill="1" applyBorder="1" applyAlignment="1">
      <alignment horizontal="right"/>
    </xf>
    <xf numFmtId="0" fontId="5" fillId="0" borderId="16" xfId="0" applyFont="1" applyBorder="1"/>
    <xf numFmtId="3" fontId="5" fillId="0" borderId="16" xfId="0" applyNumberFormat="1" applyFont="1" applyFill="1" applyBorder="1" applyAlignment="1"/>
    <xf numFmtId="49" fontId="5" fillId="0" borderId="46" xfId="0" applyNumberFormat="1" applyFont="1" applyFill="1" applyBorder="1" applyAlignment="1">
      <alignment horizontal="left"/>
    </xf>
    <xf numFmtId="3" fontId="42" fillId="0" borderId="0" xfId="0" applyNumberFormat="1" applyFont="1" applyFill="1"/>
    <xf numFmtId="49" fontId="5" fillId="0" borderId="57" xfId="0" applyNumberFormat="1" applyFont="1" applyFill="1" applyBorder="1" applyAlignment="1">
      <alignment horizontal="right"/>
    </xf>
    <xf numFmtId="0" fontId="5" fillId="0" borderId="71" xfId="0" applyFont="1" applyBorder="1"/>
    <xf numFmtId="3" fontId="2" fillId="0" borderId="16" xfId="0" applyNumberFormat="1" applyFont="1" applyFill="1" applyBorder="1"/>
    <xf numFmtId="3" fontId="6" fillId="0" borderId="27" xfId="0" applyNumberFormat="1" applyFont="1" applyFill="1" applyBorder="1"/>
    <xf numFmtId="3" fontId="2" fillId="0" borderId="30" xfId="0" applyNumberFormat="1" applyFont="1" applyFill="1" applyBorder="1"/>
    <xf numFmtId="3" fontId="2" fillId="0" borderId="12" xfId="0" applyNumberFormat="1" applyFont="1" applyFill="1" applyBorder="1"/>
    <xf numFmtId="3" fontId="6" fillId="0" borderId="16" xfId="0" applyNumberFormat="1" applyFont="1" applyFill="1" applyBorder="1"/>
    <xf numFmtId="3" fontId="2" fillId="0" borderId="58" xfId="0" applyNumberFormat="1" applyFont="1" applyFill="1" applyBorder="1"/>
    <xf numFmtId="49" fontId="4" fillId="0" borderId="35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48" xfId="0" applyFont="1" applyFill="1" applyBorder="1" applyAlignment="1">
      <alignment horizontal="right"/>
    </xf>
    <xf numFmtId="3" fontId="2" fillId="0" borderId="49" xfId="0" applyNumberFormat="1" applyFont="1" applyBorder="1"/>
    <xf numFmtId="3" fontId="5" fillId="0" borderId="65" xfId="0" applyNumberFormat="1" applyFont="1" applyBorder="1"/>
    <xf numFmtId="49" fontId="41" fillId="0" borderId="0" xfId="0" applyNumberFormat="1" applyFont="1" applyFill="1" applyBorder="1" applyAlignment="1">
      <alignment horizontal="right"/>
    </xf>
    <xf numFmtId="3" fontId="24" fillId="19" borderId="16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Border="1"/>
    <xf numFmtId="3" fontId="5" fillId="20" borderId="27" xfId="0" applyNumberFormat="1" applyFont="1" applyFill="1" applyBorder="1" applyAlignment="1"/>
    <xf numFmtId="3" fontId="5" fillId="20" borderId="23" xfId="0" applyNumberFormat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18" fillId="10" borderId="36" xfId="0" applyFont="1" applyFill="1" applyBorder="1" applyAlignment="1">
      <alignment horizontal="center"/>
    </xf>
    <xf numFmtId="0" fontId="18" fillId="10" borderId="62" xfId="0" applyFont="1" applyFill="1" applyBorder="1" applyAlignment="1">
      <alignment horizontal="center"/>
    </xf>
    <xf numFmtId="0" fontId="9" fillId="10" borderId="60" xfId="0" applyFont="1" applyFill="1" applyBorder="1" applyAlignment="1">
      <alignment horizontal="center"/>
    </xf>
    <xf numFmtId="0" fontId="9" fillId="10" borderId="63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2" fillId="9" borderId="43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49" fontId="3" fillId="8" borderId="7" xfId="0" applyNumberFormat="1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0" fontId="3" fillId="5" borderId="7" xfId="0" applyFont="1" applyFill="1" applyBorder="1" applyAlignment="1"/>
    <xf numFmtId="0" fontId="2" fillId="0" borderId="8" xfId="0" applyFont="1" applyBorder="1" applyAlignment="1"/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31" fillId="15" borderId="7" xfId="0" applyNumberFormat="1" applyFont="1" applyFill="1" applyBorder="1" applyAlignment="1">
      <alignment horizontal="center"/>
    </xf>
    <xf numFmtId="49" fontId="31" fillId="15" borderId="64" xfId="0" applyNumberFormat="1" applyFont="1" applyFill="1" applyBorder="1" applyAlignment="1">
      <alignment horizontal="center"/>
    </xf>
    <xf numFmtId="49" fontId="51" fillId="15" borderId="7" xfId="0" applyNumberFormat="1" applyFont="1" applyFill="1" applyBorder="1" applyAlignment="1">
      <alignment horizontal="center"/>
    </xf>
    <xf numFmtId="49" fontId="51" fillId="15" borderId="64" xfId="0" applyNumberFormat="1" applyFont="1" applyFill="1" applyBorder="1" applyAlignment="1">
      <alignment horizontal="center"/>
    </xf>
    <xf numFmtId="0" fontId="25" fillId="14" borderId="7" xfId="0" applyFont="1" applyFill="1" applyBorder="1" applyAlignment="1">
      <alignment horizontal="center"/>
    </xf>
    <xf numFmtId="0" fontId="25" fillId="14" borderId="8" xfId="0" applyFont="1" applyFill="1" applyBorder="1" applyAlignment="1">
      <alignment horizontal="center"/>
    </xf>
    <xf numFmtId="0" fontId="25" fillId="14" borderId="64" xfId="0" applyFont="1" applyFill="1" applyBorder="1" applyAlignment="1">
      <alignment horizontal="center"/>
    </xf>
  </cellXfs>
  <cellStyles count="3">
    <cellStyle name="Čiarka" xfId="1" builtinId="3"/>
    <cellStyle name="Normálna" xfId="0" builtinId="0"/>
    <cellStyle name="Normálna 2" xfId="2" xr:uid="{00000000-0005-0000-0000-000001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7"/>
  <sheetViews>
    <sheetView tabSelected="1" zoomScale="124" zoomScaleNormal="124" workbookViewId="0">
      <selection sqref="A1:N1"/>
    </sheetView>
  </sheetViews>
  <sheetFormatPr defaultRowHeight="15" x14ac:dyDescent="0.25"/>
  <cols>
    <col min="1" max="1" width="6.42578125" customWidth="1"/>
    <col min="2" max="2" width="46.7109375" customWidth="1"/>
    <col min="3" max="3" width="0.5703125" customWidth="1"/>
    <col min="4" max="4" width="0.7109375" customWidth="1"/>
    <col min="5" max="5" width="0.42578125" customWidth="1"/>
    <col min="6" max="6" width="1" customWidth="1"/>
    <col min="7" max="7" width="0.85546875" customWidth="1"/>
    <col min="8" max="14" width="12.7109375" customWidth="1"/>
    <col min="15" max="15" width="14.42578125" customWidth="1"/>
  </cols>
  <sheetData>
    <row r="1" spans="1:23" ht="18.75" thickBot="1" x14ac:dyDescent="0.3">
      <c r="A1" s="600" t="s">
        <v>0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1"/>
    </row>
    <row r="2" spans="1:23" ht="46.5" customHeight="1" thickBot="1" x14ac:dyDescent="0.3">
      <c r="A2" s="598" t="s">
        <v>1</v>
      </c>
      <c r="B2" s="599"/>
      <c r="C2" s="385" t="s">
        <v>2</v>
      </c>
      <c r="D2" s="386" t="s">
        <v>3</v>
      </c>
      <c r="E2" s="386" t="s">
        <v>186</v>
      </c>
      <c r="F2" s="386" t="s">
        <v>201</v>
      </c>
      <c r="G2" s="475" t="s">
        <v>237</v>
      </c>
      <c r="H2" s="475" t="s">
        <v>264</v>
      </c>
      <c r="I2" s="475" t="s">
        <v>324</v>
      </c>
      <c r="J2" s="387" t="s">
        <v>328</v>
      </c>
      <c r="K2" s="387" t="s">
        <v>345</v>
      </c>
      <c r="L2" s="387" t="s">
        <v>238</v>
      </c>
      <c r="M2" s="387" t="s">
        <v>265</v>
      </c>
      <c r="N2" s="387" t="s">
        <v>306</v>
      </c>
      <c r="O2" s="1"/>
    </row>
    <row r="3" spans="1:23" ht="15.75" thickBot="1" x14ac:dyDescent="0.3">
      <c r="A3" s="602" t="s">
        <v>4</v>
      </c>
      <c r="B3" s="603"/>
      <c r="C3" s="336">
        <f t="shared" ref="C3:N3" si="0">SUM(C4:C10)</f>
        <v>1027468</v>
      </c>
      <c r="D3" s="2">
        <f t="shared" si="0"/>
        <v>1080198</v>
      </c>
      <c r="E3" s="2">
        <f t="shared" si="0"/>
        <v>1187235</v>
      </c>
      <c r="F3" s="2">
        <f t="shared" si="0"/>
        <v>1227590</v>
      </c>
      <c r="G3" s="2">
        <f t="shared" si="0"/>
        <v>1222598</v>
      </c>
      <c r="H3" s="2">
        <f t="shared" si="0"/>
        <v>1302175</v>
      </c>
      <c r="I3" s="2">
        <f t="shared" si="0"/>
        <v>1374767</v>
      </c>
      <c r="J3" s="2">
        <f t="shared" si="0"/>
        <v>1485800</v>
      </c>
      <c r="K3" s="2">
        <f t="shared" si="0"/>
        <v>1485800</v>
      </c>
      <c r="L3" s="2">
        <f t="shared" si="0"/>
        <v>1338200</v>
      </c>
      <c r="M3" s="2">
        <f t="shared" si="0"/>
        <v>1374200</v>
      </c>
      <c r="N3" s="2">
        <f t="shared" si="0"/>
        <v>1438900</v>
      </c>
      <c r="O3" s="1"/>
    </row>
    <row r="4" spans="1:23" ht="15.75" thickBot="1" x14ac:dyDescent="0.3">
      <c r="A4" s="3">
        <v>111</v>
      </c>
      <c r="B4" s="120" t="s">
        <v>5</v>
      </c>
      <c r="C4" s="4">
        <v>972038</v>
      </c>
      <c r="D4" s="5">
        <v>1022504</v>
      </c>
      <c r="E4" s="6">
        <v>1127294</v>
      </c>
      <c r="F4" s="6">
        <v>1165143</v>
      </c>
      <c r="G4" s="6">
        <v>1156712</v>
      </c>
      <c r="H4" s="6">
        <v>1229241</v>
      </c>
      <c r="I4" s="6">
        <v>1298467</v>
      </c>
      <c r="J4" s="6">
        <v>1373000</v>
      </c>
      <c r="K4" s="6">
        <v>1373000</v>
      </c>
      <c r="L4" s="6">
        <v>1227300</v>
      </c>
      <c r="M4" s="6">
        <v>1263300</v>
      </c>
      <c r="N4" s="6">
        <v>1328000</v>
      </c>
      <c r="O4" s="1"/>
    </row>
    <row r="5" spans="1:23" ht="15.75" thickBot="1" x14ac:dyDescent="0.3">
      <c r="A5" s="7">
        <v>121</v>
      </c>
      <c r="B5" s="332" t="s">
        <v>6</v>
      </c>
      <c r="C5" s="9">
        <v>31944</v>
      </c>
      <c r="D5" s="10">
        <v>32263</v>
      </c>
      <c r="E5" s="10">
        <v>32335</v>
      </c>
      <c r="F5" s="11">
        <v>34337</v>
      </c>
      <c r="G5" s="11">
        <v>34690</v>
      </c>
      <c r="H5" s="11">
        <v>39338</v>
      </c>
      <c r="I5" s="11">
        <v>41793</v>
      </c>
      <c r="J5" s="582">
        <v>60400</v>
      </c>
      <c r="K5" s="11">
        <v>60400</v>
      </c>
      <c r="L5" s="11">
        <v>61200</v>
      </c>
      <c r="M5" s="11">
        <v>61200</v>
      </c>
      <c r="N5" s="11">
        <v>61200</v>
      </c>
      <c r="O5" s="1"/>
    </row>
    <row r="6" spans="1:23" x14ac:dyDescent="0.25">
      <c r="A6" s="12">
        <v>133</v>
      </c>
      <c r="B6" s="333" t="s">
        <v>7</v>
      </c>
      <c r="C6" s="14">
        <v>894</v>
      </c>
      <c r="D6" s="15">
        <v>882</v>
      </c>
      <c r="E6" s="15">
        <v>837</v>
      </c>
      <c r="F6" s="16">
        <v>807</v>
      </c>
      <c r="G6" s="16">
        <v>771</v>
      </c>
      <c r="H6" s="16">
        <v>1052</v>
      </c>
      <c r="I6" s="16">
        <v>1013</v>
      </c>
      <c r="J6" s="371">
        <v>2000</v>
      </c>
      <c r="K6" s="16">
        <v>2000</v>
      </c>
      <c r="L6" s="16">
        <v>2000</v>
      </c>
      <c r="M6" s="16">
        <v>2000</v>
      </c>
      <c r="N6" s="16">
        <v>2000</v>
      </c>
      <c r="O6" s="1"/>
    </row>
    <row r="7" spans="1:23" x14ac:dyDescent="0.25">
      <c r="A7" s="17">
        <v>133</v>
      </c>
      <c r="B7" s="334" t="s">
        <v>8</v>
      </c>
      <c r="C7" s="19">
        <v>280</v>
      </c>
      <c r="D7" s="20">
        <v>280</v>
      </c>
      <c r="E7" s="20">
        <v>520</v>
      </c>
      <c r="F7" s="21">
        <v>160</v>
      </c>
      <c r="G7" s="21">
        <v>327</v>
      </c>
      <c r="H7" s="21">
        <v>160</v>
      </c>
      <c r="I7" s="21">
        <v>160</v>
      </c>
      <c r="J7" s="356">
        <v>400</v>
      </c>
      <c r="K7" s="21">
        <v>400</v>
      </c>
      <c r="L7" s="21">
        <v>200</v>
      </c>
      <c r="M7" s="21">
        <v>200</v>
      </c>
      <c r="N7" s="21">
        <v>200</v>
      </c>
      <c r="O7" s="1"/>
    </row>
    <row r="8" spans="1:23" x14ac:dyDescent="0.25">
      <c r="A8" s="17">
        <v>133</v>
      </c>
      <c r="B8" s="334" t="s">
        <v>9</v>
      </c>
      <c r="C8" s="19">
        <v>1454</v>
      </c>
      <c r="D8" s="20">
        <v>1587</v>
      </c>
      <c r="E8" s="20">
        <v>2465</v>
      </c>
      <c r="F8" s="21">
        <v>1486</v>
      </c>
      <c r="G8" s="21">
        <v>385</v>
      </c>
      <c r="H8" s="21">
        <v>1464</v>
      </c>
      <c r="I8" s="21">
        <v>1682</v>
      </c>
      <c r="J8" s="356">
        <v>5000</v>
      </c>
      <c r="K8" s="21">
        <v>6000</v>
      </c>
      <c r="L8" s="21">
        <v>6000</v>
      </c>
      <c r="M8" s="21">
        <v>6000</v>
      </c>
      <c r="N8" s="21">
        <v>6000</v>
      </c>
      <c r="O8" s="1"/>
    </row>
    <row r="9" spans="1:23" x14ac:dyDescent="0.25">
      <c r="A9" s="17">
        <v>133</v>
      </c>
      <c r="B9" s="334" t="s">
        <v>10</v>
      </c>
      <c r="C9" s="19">
        <v>3624</v>
      </c>
      <c r="D9" s="20">
        <v>3468</v>
      </c>
      <c r="E9" s="20">
        <v>5114</v>
      </c>
      <c r="F9" s="21">
        <v>1386</v>
      </c>
      <c r="G9" s="21">
        <v>1483</v>
      </c>
      <c r="H9" s="21">
        <v>5319</v>
      </c>
      <c r="I9" s="21">
        <v>5699</v>
      </c>
      <c r="J9" s="356">
        <v>7000</v>
      </c>
      <c r="K9" s="21">
        <v>6000</v>
      </c>
      <c r="L9" s="21">
        <v>6500</v>
      </c>
      <c r="M9" s="21">
        <v>6500</v>
      </c>
      <c r="N9" s="21">
        <v>6500</v>
      </c>
      <c r="O9" s="1"/>
    </row>
    <row r="10" spans="1:23" ht="15.75" thickBot="1" x14ac:dyDescent="0.3">
      <c r="A10" s="22">
        <v>133</v>
      </c>
      <c r="B10" s="335" t="s">
        <v>11</v>
      </c>
      <c r="C10" s="24">
        <v>17234</v>
      </c>
      <c r="D10" s="25">
        <v>19214</v>
      </c>
      <c r="E10" s="26">
        <v>18670</v>
      </c>
      <c r="F10" s="26">
        <v>24271</v>
      </c>
      <c r="G10" s="26">
        <v>28230</v>
      </c>
      <c r="H10" s="26">
        <v>25601</v>
      </c>
      <c r="I10" s="26">
        <v>25953</v>
      </c>
      <c r="J10" s="583">
        <v>38000</v>
      </c>
      <c r="K10" s="26">
        <v>38000</v>
      </c>
      <c r="L10" s="26">
        <v>35000</v>
      </c>
      <c r="M10" s="26">
        <v>35000</v>
      </c>
      <c r="N10" s="26">
        <v>35000</v>
      </c>
      <c r="O10" s="27">
        <f>SUM(H6:H10)</f>
        <v>33596</v>
      </c>
      <c r="P10" s="27">
        <f t="shared" ref="P10:U10" si="1">SUM(I6:I10)</f>
        <v>34507</v>
      </c>
      <c r="Q10" s="27">
        <f t="shared" si="1"/>
        <v>52400</v>
      </c>
      <c r="R10" s="27">
        <f t="shared" si="1"/>
        <v>52400</v>
      </c>
      <c r="S10" s="27">
        <f t="shared" si="1"/>
        <v>49700</v>
      </c>
      <c r="T10" s="27">
        <f t="shared" si="1"/>
        <v>49700</v>
      </c>
      <c r="U10" s="27">
        <f t="shared" si="1"/>
        <v>49700</v>
      </c>
    </row>
    <row r="11" spans="1:23" ht="15.75" thickBot="1" x14ac:dyDescent="0.3">
      <c r="A11" s="602" t="s">
        <v>12</v>
      </c>
      <c r="B11" s="603"/>
      <c r="C11" s="336">
        <f t="shared" ref="C11:N11" si="2">SUM(C12:C31)</f>
        <v>132648</v>
      </c>
      <c r="D11" s="336">
        <f t="shared" si="2"/>
        <v>200169</v>
      </c>
      <c r="E11" s="336">
        <f t="shared" si="2"/>
        <v>185006</v>
      </c>
      <c r="F11" s="336">
        <f t="shared" si="2"/>
        <v>130051</v>
      </c>
      <c r="G11" s="336">
        <f t="shared" si="2"/>
        <v>158058</v>
      </c>
      <c r="H11" s="336">
        <f t="shared" si="2"/>
        <v>165802</v>
      </c>
      <c r="I11" s="336">
        <f t="shared" si="2"/>
        <v>185581</v>
      </c>
      <c r="J11" s="336">
        <f t="shared" si="2"/>
        <v>246161</v>
      </c>
      <c r="K11" s="336">
        <f t="shared" si="2"/>
        <v>251594</v>
      </c>
      <c r="L11" s="336">
        <f t="shared" si="2"/>
        <v>247720</v>
      </c>
      <c r="M11" s="336">
        <f t="shared" si="2"/>
        <v>247720</v>
      </c>
      <c r="N11" s="336">
        <f t="shared" si="2"/>
        <v>247720</v>
      </c>
      <c r="O11" s="1"/>
    </row>
    <row r="12" spans="1:23" x14ac:dyDescent="0.25">
      <c r="A12" s="28">
        <v>212</v>
      </c>
      <c r="B12" s="29" t="s">
        <v>13</v>
      </c>
      <c r="C12" s="30">
        <v>2027</v>
      </c>
      <c r="D12" s="31">
        <v>2117</v>
      </c>
      <c r="E12" s="32">
        <v>2105</v>
      </c>
      <c r="F12" s="32">
        <v>1874</v>
      </c>
      <c r="G12" s="32">
        <v>1824</v>
      </c>
      <c r="H12" s="32">
        <v>1294</v>
      </c>
      <c r="I12" s="32">
        <v>2042</v>
      </c>
      <c r="J12" s="584">
        <v>2913</v>
      </c>
      <c r="K12" s="32">
        <v>2913</v>
      </c>
      <c r="L12" s="32">
        <v>3032</v>
      </c>
      <c r="M12" s="32">
        <v>3032</v>
      </c>
      <c r="N12" s="32">
        <v>3032</v>
      </c>
      <c r="O12" s="1"/>
    </row>
    <row r="13" spans="1:23" ht="15.75" thickBot="1" x14ac:dyDescent="0.3">
      <c r="A13" s="22">
        <v>212</v>
      </c>
      <c r="B13" s="23" t="s">
        <v>14</v>
      </c>
      <c r="C13" s="24">
        <v>189</v>
      </c>
      <c r="D13" s="48">
        <v>23970</v>
      </c>
      <c r="E13" s="79">
        <v>7680</v>
      </c>
      <c r="F13" s="79">
        <v>2530</v>
      </c>
      <c r="G13" s="79">
        <v>1030</v>
      </c>
      <c r="H13" s="79">
        <v>540</v>
      </c>
      <c r="I13" s="469">
        <v>490</v>
      </c>
      <c r="J13" s="469">
        <v>1000</v>
      </c>
      <c r="K13" s="79">
        <v>1000</v>
      </c>
      <c r="L13" s="79">
        <v>1000</v>
      </c>
      <c r="M13" s="79">
        <v>1000</v>
      </c>
      <c r="N13" s="79">
        <v>1000</v>
      </c>
      <c r="O13" s="27">
        <f>SUM(L12:L13)</f>
        <v>4032</v>
      </c>
    </row>
    <row r="14" spans="1:23" x14ac:dyDescent="0.25">
      <c r="A14" s="12">
        <v>212</v>
      </c>
      <c r="B14" s="13" t="s">
        <v>15</v>
      </c>
      <c r="C14" s="14">
        <v>3975</v>
      </c>
      <c r="D14" s="15">
        <v>3731</v>
      </c>
      <c r="E14" s="82">
        <v>3649</v>
      </c>
      <c r="F14" s="82">
        <v>3815</v>
      </c>
      <c r="G14" s="82">
        <v>3729</v>
      </c>
      <c r="H14" s="82">
        <v>3121</v>
      </c>
      <c r="I14" s="82">
        <v>3365</v>
      </c>
      <c r="J14" s="369">
        <v>3425</v>
      </c>
      <c r="K14" s="82">
        <v>3484</v>
      </c>
      <c r="L14" s="82">
        <v>3425</v>
      </c>
      <c r="M14" s="82">
        <v>3425</v>
      </c>
      <c r="N14" s="82">
        <v>3425</v>
      </c>
      <c r="O14" s="1"/>
    </row>
    <row r="15" spans="1:23" x14ac:dyDescent="0.25">
      <c r="A15" s="17">
        <v>212</v>
      </c>
      <c r="B15" s="18" t="s">
        <v>16</v>
      </c>
      <c r="C15" s="34">
        <v>17332</v>
      </c>
      <c r="D15" s="21">
        <v>17507</v>
      </c>
      <c r="E15" s="21">
        <v>17433</v>
      </c>
      <c r="F15" s="21">
        <v>15521</v>
      </c>
      <c r="G15" s="21">
        <v>19016</v>
      </c>
      <c r="H15" s="21">
        <v>15195</v>
      </c>
      <c r="I15" s="21">
        <v>15560</v>
      </c>
      <c r="J15" s="356">
        <v>19813</v>
      </c>
      <c r="K15" s="21">
        <v>19654</v>
      </c>
      <c r="L15" s="21">
        <v>19463</v>
      </c>
      <c r="M15" s="21">
        <v>19463</v>
      </c>
      <c r="N15" s="21">
        <v>19463</v>
      </c>
      <c r="O15" s="27"/>
    </row>
    <row r="16" spans="1:23" ht="15.75" thickBot="1" x14ac:dyDescent="0.3">
      <c r="A16" s="35">
        <v>212</v>
      </c>
      <c r="B16" s="36" t="s">
        <v>17</v>
      </c>
      <c r="C16" s="37">
        <v>5</v>
      </c>
      <c r="D16" s="38">
        <v>400</v>
      </c>
      <c r="E16" s="39">
        <v>1280</v>
      </c>
      <c r="F16" s="39">
        <v>0</v>
      </c>
      <c r="G16" s="39">
        <v>0</v>
      </c>
      <c r="H16" s="39">
        <v>0</v>
      </c>
      <c r="I16" s="39">
        <v>0</v>
      </c>
      <c r="J16" s="585">
        <v>0</v>
      </c>
      <c r="K16" s="39">
        <v>100</v>
      </c>
      <c r="L16" s="39">
        <v>100</v>
      </c>
      <c r="M16" s="39">
        <v>100</v>
      </c>
      <c r="N16" s="39">
        <v>100</v>
      </c>
      <c r="O16" s="426">
        <f>SUM(H12:H16)</f>
        <v>20150</v>
      </c>
      <c r="P16" s="426">
        <f t="shared" ref="P16:U16" si="3">SUM(I12:I16)</f>
        <v>21457</v>
      </c>
      <c r="Q16" s="426">
        <f t="shared" si="3"/>
        <v>27151</v>
      </c>
      <c r="R16" s="426">
        <f t="shared" si="3"/>
        <v>27151</v>
      </c>
      <c r="S16" s="426">
        <f t="shared" si="3"/>
        <v>27020</v>
      </c>
      <c r="T16" s="426">
        <f t="shared" si="3"/>
        <v>27020</v>
      </c>
      <c r="U16" s="426">
        <f t="shared" si="3"/>
        <v>27020</v>
      </c>
      <c r="V16" s="27"/>
      <c r="W16" s="426"/>
    </row>
    <row r="17" spans="1:23" ht="15.75" thickBot="1" x14ac:dyDescent="0.3">
      <c r="A17" s="7">
        <v>221</v>
      </c>
      <c r="B17" s="8" t="s">
        <v>18</v>
      </c>
      <c r="C17" s="9">
        <v>4093</v>
      </c>
      <c r="D17" s="40">
        <v>4796</v>
      </c>
      <c r="E17" s="41">
        <v>5069</v>
      </c>
      <c r="F17" s="41">
        <v>3283</v>
      </c>
      <c r="G17" s="41">
        <v>3292</v>
      </c>
      <c r="H17" s="41">
        <v>4693</v>
      </c>
      <c r="I17" s="41">
        <v>4328</v>
      </c>
      <c r="J17" s="586">
        <v>7200</v>
      </c>
      <c r="K17" s="41">
        <v>7200</v>
      </c>
      <c r="L17" s="41">
        <v>7200</v>
      </c>
      <c r="M17" s="41">
        <v>7200</v>
      </c>
      <c r="N17" s="41">
        <v>7200</v>
      </c>
      <c r="O17" s="1"/>
    </row>
    <row r="18" spans="1:23" ht="15.75" thickBot="1" x14ac:dyDescent="0.3">
      <c r="A18" s="35">
        <v>222</v>
      </c>
      <c r="B18" s="36" t="s">
        <v>19</v>
      </c>
      <c r="C18" s="37">
        <v>0</v>
      </c>
      <c r="D18" s="38">
        <v>90</v>
      </c>
      <c r="E18" s="39">
        <v>400</v>
      </c>
      <c r="F18" s="39">
        <v>0</v>
      </c>
      <c r="G18" s="39">
        <v>0</v>
      </c>
      <c r="H18" s="39">
        <v>200</v>
      </c>
      <c r="I18" s="39">
        <v>30</v>
      </c>
      <c r="J18" s="585">
        <v>0</v>
      </c>
      <c r="K18" s="39">
        <v>3883</v>
      </c>
      <c r="L18" s="39">
        <v>0</v>
      </c>
      <c r="M18" s="39">
        <v>0</v>
      </c>
      <c r="N18" s="39">
        <v>0</v>
      </c>
      <c r="O18" s="1"/>
    </row>
    <row r="19" spans="1:23" x14ac:dyDescent="0.25">
      <c r="A19" s="12">
        <v>223</v>
      </c>
      <c r="B19" s="13" t="s">
        <v>20</v>
      </c>
      <c r="C19" s="14">
        <v>713</v>
      </c>
      <c r="D19" s="15">
        <v>671</v>
      </c>
      <c r="E19" s="16">
        <v>503</v>
      </c>
      <c r="F19" s="16">
        <v>143</v>
      </c>
      <c r="G19" s="16">
        <v>448</v>
      </c>
      <c r="H19" s="16">
        <v>536</v>
      </c>
      <c r="I19" s="16">
        <v>550</v>
      </c>
      <c r="J19" s="371">
        <v>1000</v>
      </c>
      <c r="K19" s="16">
        <v>1000</v>
      </c>
      <c r="L19" s="16">
        <v>900</v>
      </c>
      <c r="M19" s="16">
        <v>900</v>
      </c>
      <c r="N19" s="16">
        <v>900</v>
      </c>
      <c r="O19" s="1"/>
    </row>
    <row r="20" spans="1:23" x14ac:dyDescent="0.25">
      <c r="A20" s="17">
        <v>223</v>
      </c>
      <c r="B20" s="18" t="s">
        <v>21</v>
      </c>
      <c r="C20" s="19">
        <v>16518</v>
      </c>
      <c r="D20" s="20">
        <v>17452</v>
      </c>
      <c r="E20" s="21">
        <v>15427</v>
      </c>
      <c r="F20" s="21">
        <v>15517</v>
      </c>
      <c r="G20" s="21">
        <v>15804</v>
      </c>
      <c r="H20" s="21">
        <v>17265</v>
      </c>
      <c r="I20" s="21">
        <v>16052</v>
      </c>
      <c r="J20" s="356">
        <v>21000</v>
      </c>
      <c r="K20" s="21">
        <v>21000</v>
      </c>
      <c r="L20" s="21">
        <v>25000</v>
      </c>
      <c r="M20" s="21">
        <v>25000</v>
      </c>
      <c r="N20" s="21">
        <v>25000</v>
      </c>
      <c r="O20" s="1"/>
    </row>
    <row r="21" spans="1:23" x14ac:dyDescent="0.25">
      <c r="A21" s="17">
        <v>223</v>
      </c>
      <c r="B21" s="18" t="s">
        <v>22</v>
      </c>
      <c r="C21" s="19">
        <v>0</v>
      </c>
      <c r="D21" s="20">
        <v>0</v>
      </c>
      <c r="E21" s="21">
        <v>0</v>
      </c>
      <c r="F21" s="21">
        <v>0</v>
      </c>
      <c r="G21" s="21">
        <v>0</v>
      </c>
      <c r="H21" s="21">
        <v>0</v>
      </c>
      <c r="I21" s="21">
        <v>8</v>
      </c>
      <c r="J21" s="356">
        <v>50</v>
      </c>
      <c r="K21" s="21">
        <v>100</v>
      </c>
      <c r="L21" s="21">
        <v>100</v>
      </c>
      <c r="M21" s="21">
        <v>100</v>
      </c>
      <c r="N21" s="21">
        <v>100</v>
      </c>
      <c r="O21" s="1"/>
    </row>
    <row r="22" spans="1:23" x14ac:dyDescent="0.25">
      <c r="A22" s="17">
        <v>223</v>
      </c>
      <c r="B22" s="18" t="s">
        <v>291</v>
      </c>
      <c r="C22" s="19">
        <v>34491</v>
      </c>
      <c r="D22" s="20">
        <v>32466</v>
      </c>
      <c r="E22" s="21">
        <v>31823</v>
      </c>
      <c r="F22" s="21">
        <v>630</v>
      </c>
      <c r="G22" s="21">
        <v>182</v>
      </c>
      <c r="H22" s="21">
        <v>1540</v>
      </c>
      <c r="I22" s="21">
        <v>3902</v>
      </c>
      <c r="J22" s="356">
        <v>4000</v>
      </c>
      <c r="K22" s="21">
        <v>4000</v>
      </c>
      <c r="L22" s="21">
        <v>3000</v>
      </c>
      <c r="M22" s="21">
        <v>3000</v>
      </c>
      <c r="N22" s="21">
        <v>3000</v>
      </c>
      <c r="O22" s="1"/>
    </row>
    <row r="23" spans="1:23" x14ac:dyDescent="0.25">
      <c r="A23" s="17">
        <v>223</v>
      </c>
      <c r="B23" s="18" t="s">
        <v>23</v>
      </c>
      <c r="C23" s="19">
        <v>519</v>
      </c>
      <c r="D23" s="20">
        <v>342</v>
      </c>
      <c r="E23" s="21">
        <v>255</v>
      </c>
      <c r="F23" s="21">
        <v>257</v>
      </c>
      <c r="G23" s="21">
        <v>656</v>
      </c>
      <c r="H23" s="21">
        <v>362</v>
      </c>
      <c r="I23" s="21">
        <v>322</v>
      </c>
      <c r="J23" s="356">
        <v>1000</v>
      </c>
      <c r="K23" s="21">
        <v>1000</v>
      </c>
      <c r="L23" s="21">
        <v>2000</v>
      </c>
      <c r="M23" s="21">
        <v>2000</v>
      </c>
      <c r="N23" s="21">
        <v>2000</v>
      </c>
      <c r="O23" s="1"/>
    </row>
    <row r="24" spans="1:23" x14ac:dyDescent="0.25">
      <c r="A24" s="17">
        <v>223</v>
      </c>
      <c r="B24" s="18" t="s">
        <v>24</v>
      </c>
      <c r="C24" s="19">
        <v>490</v>
      </c>
      <c r="D24" s="20">
        <v>597</v>
      </c>
      <c r="E24" s="21">
        <v>913</v>
      </c>
      <c r="F24" s="21">
        <v>1080</v>
      </c>
      <c r="G24" s="21">
        <v>730</v>
      </c>
      <c r="H24" s="21">
        <v>480</v>
      </c>
      <c r="I24" s="21">
        <v>690</v>
      </c>
      <c r="J24" s="356">
        <v>1000</v>
      </c>
      <c r="K24" s="21">
        <v>1000</v>
      </c>
      <c r="L24" s="21">
        <v>1000</v>
      </c>
      <c r="M24" s="21">
        <v>1000</v>
      </c>
      <c r="N24" s="21">
        <v>1000</v>
      </c>
      <c r="O24" s="1"/>
    </row>
    <row r="25" spans="1:23" x14ac:dyDescent="0.25">
      <c r="A25" s="17">
        <v>223</v>
      </c>
      <c r="B25" s="18" t="s">
        <v>25</v>
      </c>
      <c r="C25" s="19">
        <v>33709</v>
      </c>
      <c r="D25" s="20">
        <v>32850</v>
      </c>
      <c r="E25" s="21">
        <v>30304</v>
      </c>
      <c r="F25" s="21">
        <v>33431</v>
      </c>
      <c r="G25" s="21">
        <v>43133</v>
      </c>
      <c r="H25" s="21">
        <v>36866</v>
      </c>
      <c r="I25" s="21">
        <v>41985</v>
      </c>
      <c r="J25" s="356">
        <v>46000</v>
      </c>
      <c r="K25" s="21">
        <v>46000</v>
      </c>
      <c r="L25" s="21">
        <v>46000</v>
      </c>
      <c r="M25" s="21">
        <v>46000</v>
      </c>
      <c r="N25" s="21">
        <v>46000</v>
      </c>
      <c r="O25" s="1"/>
    </row>
    <row r="26" spans="1:23" x14ac:dyDescent="0.25">
      <c r="A26" s="17">
        <v>223</v>
      </c>
      <c r="B26" s="18" t="s">
        <v>26</v>
      </c>
      <c r="C26" s="19">
        <f>17009</f>
        <v>17009</v>
      </c>
      <c r="D26" s="20">
        <v>17553</v>
      </c>
      <c r="E26" s="21">
        <v>24783</v>
      </c>
      <c r="F26" s="21">
        <v>26360</v>
      </c>
      <c r="G26" s="21">
        <v>30450</v>
      </c>
      <c r="H26" s="21">
        <v>34393</v>
      </c>
      <c r="I26" s="21">
        <v>44768</v>
      </c>
      <c r="J26" s="356">
        <v>45000</v>
      </c>
      <c r="K26" s="21">
        <v>65800</v>
      </c>
      <c r="L26" s="21">
        <v>61000</v>
      </c>
      <c r="M26" s="21">
        <v>61000</v>
      </c>
      <c r="N26" s="21">
        <v>61000</v>
      </c>
      <c r="O26" s="1"/>
    </row>
    <row r="27" spans="1:23" x14ac:dyDescent="0.25">
      <c r="A27" s="17">
        <v>223</v>
      </c>
      <c r="B27" s="18" t="s">
        <v>27</v>
      </c>
      <c r="C27" s="19">
        <v>4</v>
      </c>
      <c r="D27" s="20">
        <v>87</v>
      </c>
      <c r="E27" s="21">
        <v>43</v>
      </c>
      <c r="F27" s="21">
        <v>27</v>
      </c>
      <c r="G27" s="21">
        <v>10</v>
      </c>
      <c r="H27" s="21">
        <v>13</v>
      </c>
      <c r="I27" s="21">
        <v>0</v>
      </c>
      <c r="J27" s="356">
        <v>60</v>
      </c>
      <c r="K27" s="21">
        <v>60</v>
      </c>
      <c r="L27" s="21">
        <v>0</v>
      </c>
      <c r="M27" s="21">
        <v>0</v>
      </c>
      <c r="N27" s="21">
        <v>0</v>
      </c>
      <c r="O27" s="27"/>
    </row>
    <row r="28" spans="1:23" x14ac:dyDescent="0.25">
      <c r="A28" s="17">
        <v>223</v>
      </c>
      <c r="B28" s="18" t="s">
        <v>28</v>
      </c>
      <c r="C28" s="19">
        <v>1568</v>
      </c>
      <c r="D28" s="42">
        <v>45540</v>
      </c>
      <c r="E28" s="45">
        <v>2057</v>
      </c>
      <c r="F28" s="20">
        <v>1746</v>
      </c>
      <c r="G28" s="21">
        <v>2040</v>
      </c>
      <c r="H28" s="21">
        <v>1902</v>
      </c>
      <c r="I28" s="21">
        <v>2313</v>
      </c>
      <c r="J28" s="356">
        <v>2100</v>
      </c>
      <c r="K28" s="21">
        <v>2300</v>
      </c>
      <c r="L28" s="21">
        <v>2100</v>
      </c>
      <c r="M28" s="21">
        <v>2100</v>
      </c>
      <c r="N28" s="21">
        <v>2100</v>
      </c>
      <c r="O28" s="1"/>
    </row>
    <row r="29" spans="1:23" x14ac:dyDescent="0.25">
      <c r="A29" s="17">
        <v>223</v>
      </c>
      <c r="B29" s="18" t="s">
        <v>214</v>
      </c>
      <c r="C29" s="19"/>
      <c r="D29" s="20">
        <v>0</v>
      </c>
      <c r="E29" s="46">
        <v>0</v>
      </c>
      <c r="F29" s="356">
        <v>0</v>
      </c>
      <c r="G29" s="21">
        <v>390</v>
      </c>
      <c r="H29" s="21">
        <v>1080</v>
      </c>
      <c r="I29" s="21">
        <v>1120</v>
      </c>
      <c r="J29" s="356">
        <v>1300</v>
      </c>
      <c r="K29" s="21">
        <v>1100</v>
      </c>
      <c r="L29" s="21">
        <v>1300</v>
      </c>
      <c r="M29" s="21">
        <v>1300</v>
      </c>
      <c r="N29" s="21">
        <v>1300</v>
      </c>
      <c r="O29" s="1"/>
    </row>
    <row r="30" spans="1:23" x14ac:dyDescent="0.25">
      <c r="A30" s="43">
        <v>223</v>
      </c>
      <c r="B30" s="44" t="s">
        <v>29</v>
      </c>
      <c r="C30" s="19">
        <v>0</v>
      </c>
      <c r="D30" s="45">
        <v>0</v>
      </c>
      <c r="E30" s="80">
        <v>41282</v>
      </c>
      <c r="F30" s="80">
        <v>23837</v>
      </c>
      <c r="G30" s="46">
        <v>35324</v>
      </c>
      <c r="H30" s="46">
        <v>46322</v>
      </c>
      <c r="I30" s="46">
        <v>48056</v>
      </c>
      <c r="J30" s="587">
        <v>85900</v>
      </c>
      <c r="K30" s="46">
        <v>66600</v>
      </c>
      <c r="L30" s="46">
        <v>71000</v>
      </c>
      <c r="M30" s="46">
        <v>71000</v>
      </c>
      <c r="N30" s="46">
        <v>71000</v>
      </c>
      <c r="O30" s="27"/>
    </row>
    <row r="31" spans="1:23" ht="15.75" thickBot="1" x14ac:dyDescent="0.3">
      <c r="A31" s="22">
        <v>223</v>
      </c>
      <c r="B31" s="23" t="s">
        <v>30</v>
      </c>
      <c r="C31" s="24">
        <v>6</v>
      </c>
      <c r="D31" s="47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69">
        <v>3400</v>
      </c>
      <c r="K31" s="48">
        <v>3400</v>
      </c>
      <c r="L31" s="79">
        <v>100</v>
      </c>
      <c r="M31" s="48">
        <v>100</v>
      </c>
      <c r="N31" s="48">
        <v>100</v>
      </c>
      <c r="O31" s="27">
        <f>SUM(H19:H31)</f>
        <v>140759</v>
      </c>
      <c r="P31" s="27">
        <f t="shared" ref="P31:U31" si="4">SUM(I19:I31)</f>
        <v>159766</v>
      </c>
      <c r="Q31" s="27">
        <f t="shared" si="4"/>
        <v>211810</v>
      </c>
      <c r="R31" s="27">
        <f t="shared" si="4"/>
        <v>213360</v>
      </c>
      <c r="S31" s="27">
        <f t="shared" si="4"/>
        <v>213500</v>
      </c>
      <c r="T31" s="27">
        <f t="shared" si="4"/>
        <v>213500</v>
      </c>
      <c r="U31" s="27">
        <f t="shared" si="4"/>
        <v>213500</v>
      </c>
      <c r="V31" s="426"/>
      <c r="W31" s="426"/>
    </row>
    <row r="32" spans="1:23" ht="15.75" thickBot="1" x14ac:dyDescent="0.3">
      <c r="A32" s="49" t="s">
        <v>31</v>
      </c>
      <c r="B32" s="50"/>
      <c r="C32" s="336">
        <f t="shared" ref="C32:N32" si="5">SUM(C33)</f>
        <v>363</v>
      </c>
      <c r="D32" s="337">
        <f t="shared" si="5"/>
        <v>258</v>
      </c>
      <c r="E32" s="2">
        <f t="shared" si="5"/>
        <v>396</v>
      </c>
      <c r="F32" s="2">
        <f t="shared" si="5"/>
        <v>52</v>
      </c>
      <c r="G32" s="2">
        <f t="shared" si="5"/>
        <v>9</v>
      </c>
      <c r="H32" s="2">
        <f t="shared" si="5"/>
        <v>11</v>
      </c>
      <c r="I32" s="2">
        <f t="shared" si="5"/>
        <v>15</v>
      </c>
      <c r="J32" s="2">
        <f t="shared" si="5"/>
        <v>50</v>
      </c>
      <c r="K32" s="2">
        <f t="shared" si="5"/>
        <v>50</v>
      </c>
      <c r="L32" s="2">
        <f t="shared" si="5"/>
        <v>50</v>
      </c>
      <c r="M32" s="2">
        <f t="shared" si="5"/>
        <v>50</v>
      </c>
      <c r="N32" s="2">
        <f t="shared" si="5"/>
        <v>50</v>
      </c>
      <c r="O32" s="1"/>
    </row>
    <row r="33" spans="1:17" ht="15.75" thickBot="1" x14ac:dyDescent="0.3">
      <c r="A33" s="51">
        <v>240</v>
      </c>
      <c r="B33" s="47" t="s">
        <v>32</v>
      </c>
      <c r="C33" s="339">
        <v>363</v>
      </c>
      <c r="D33" s="338">
        <v>258</v>
      </c>
      <c r="E33" s="38">
        <v>396</v>
      </c>
      <c r="F33" s="38">
        <v>52</v>
      </c>
      <c r="G33" s="38">
        <v>9</v>
      </c>
      <c r="H33" s="38">
        <v>11</v>
      </c>
      <c r="I33" s="38">
        <v>15</v>
      </c>
      <c r="J33" s="38">
        <v>50</v>
      </c>
      <c r="K33" s="38">
        <v>50</v>
      </c>
      <c r="L33" s="38">
        <v>50</v>
      </c>
      <c r="M33" s="38">
        <v>50</v>
      </c>
      <c r="N33" s="38">
        <v>50</v>
      </c>
      <c r="O33" s="1"/>
    </row>
    <row r="34" spans="1:17" ht="15.75" thickBot="1" x14ac:dyDescent="0.3">
      <c r="A34" s="49" t="s">
        <v>33</v>
      </c>
      <c r="B34" s="50"/>
      <c r="C34" s="336">
        <f t="shared" ref="C34:N34" si="6">SUM(C35:C41)</f>
        <v>36541</v>
      </c>
      <c r="D34" s="336">
        <f t="shared" si="6"/>
        <v>32063</v>
      </c>
      <c r="E34" s="336">
        <f t="shared" si="6"/>
        <v>24990</v>
      </c>
      <c r="F34" s="336">
        <f t="shared" si="6"/>
        <v>28915</v>
      </c>
      <c r="G34" s="336">
        <f t="shared" si="6"/>
        <v>44894</v>
      </c>
      <c r="H34" s="336">
        <f t="shared" si="6"/>
        <v>41751</v>
      </c>
      <c r="I34" s="336">
        <f t="shared" si="6"/>
        <v>42454</v>
      </c>
      <c r="J34" s="336">
        <f t="shared" si="6"/>
        <v>71070</v>
      </c>
      <c r="K34" s="336">
        <f t="shared" si="6"/>
        <v>78830</v>
      </c>
      <c r="L34" s="336">
        <f t="shared" si="6"/>
        <v>60240</v>
      </c>
      <c r="M34" s="336">
        <f t="shared" si="6"/>
        <v>60260</v>
      </c>
      <c r="N34" s="336">
        <f t="shared" si="6"/>
        <v>60280</v>
      </c>
      <c r="O34" s="1"/>
    </row>
    <row r="35" spans="1:17" x14ac:dyDescent="0.25">
      <c r="A35" s="52">
        <v>292</v>
      </c>
      <c r="B35" s="53" t="s">
        <v>34</v>
      </c>
      <c r="C35" s="54">
        <v>1054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821</v>
      </c>
      <c r="J35" s="116">
        <v>0</v>
      </c>
      <c r="K35" s="55"/>
      <c r="L35" s="55">
        <v>0</v>
      </c>
      <c r="M35" s="55"/>
      <c r="N35" s="55">
        <v>0</v>
      </c>
      <c r="O35" s="1"/>
    </row>
    <row r="36" spans="1:17" x14ac:dyDescent="0.25">
      <c r="A36" s="52">
        <v>292</v>
      </c>
      <c r="B36" s="53" t="s">
        <v>35</v>
      </c>
      <c r="C36" s="54">
        <v>326</v>
      </c>
      <c r="D36" s="56">
        <v>279</v>
      </c>
      <c r="E36" s="55">
        <v>241</v>
      </c>
      <c r="F36" s="55">
        <v>247</v>
      </c>
      <c r="G36" s="55">
        <v>152</v>
      </c>
      <c r="H36" s="55">
        <v>25</v>
      </c>
      <c r="I36" s="55">
        <v>0</v>
      </c>
      <c r="J36" s="148">
        <v>0</v>
      </c>
      <c r="K36" s="55"/>
      <c r="L36" s="55">
        <v>0</v>
      </c>
      <c r="M36" s="55">
        <v>0</v>
      </c>
      <c r="N36" s="55">
        <v>0</v>
      </c>
      <c r="O36" s="1"/>
    </row>
    <row r="37" spans="1:17" x14ac:dyDescent="0.25">
      <c r="A37" s="57">
        <v>292</v>
      </c>
      <c r="B37" s="58" t="s">
        <v>36</v>
      </c>
      <c r="C37" s="59">
        <v>1998</v>
      </c>
      <c r="D37" s="60">
        <v>3206</v>
      </c>
      <c r="E37" s="61">
        <v>2949</v>
      </c>
      <c r="F37" s="61">
        <v>441</v>
      </c>
      <c r="G37" s="61">
        <v>10988</v>
      </c>
      <c r="H37" s="61">
        <v>413</v>
      </c>
      <c r="I37" s="61">
        <v>743</v>
      </c>
      <c r="J37" s="116">
        <v>1000</v>
      </c>
      <c r="K37" s="61">
        <v>8000</v>
      </c>
      <c r="L37" s="61">
        <v>10000</v>
      </c>
      <c r="M37" s="61">
        <v>10000</v>
      </c>
      <c r="N37" s="61">
        <v>10000</v>
      </c>
      <c r="O37" s="1"/>
    </row>
    <row r="38" spans="1:17" x14ac:dyDescent="0.25">
      <c r="A38" s="57">
        <v>292</v>
      </c>
      <c r="B38" s="58" t="s">
        <v>37</v>
      </c>
      <c r="C38" s="59">
        <v>16161</v>
      </c>
      <c r="D38" s="60">
        <v>7460</v>
      </c>
      <c r="E38" s="60">
        <v>308</v>
      </c>
      <c r="F38" s="60">
        <v>19</v>
      </c>
      <c r="G38" s="60">
        <v>240</v>
      </c>
      <c r="H38" s="60">
        <v>6</v>
      </c>
      <c r="I38" s="60">
        <v>0</v>
      </c>
      <c r="J38" s="148">
        <v>500</v>
      </c>
      <c r="K38" s="60">
        <v>500</v>
      </c>
      <c r="L38" s="60">
        <v>500</v>
      </c>
      <c r="M38" s="60">
        <v>500</v>
      </c>
      <c r="N38" s="60">
        <v>500</v>
      </c>
      <c r="O38" s="1"/>
    </row>
    <row r="39" spans="1:17" x14ac:dyDescent="0.25">
      <c r="A39" s="57">
        <v>292</v>
      </c>
      <c r="B39" s="18" t="s">
        <v>38</v>
      </c>
      <c r="C39" s="62">
        <v>210</v>
      </c>
      <c r="D39" s="63">
        <v>232</v>
      </c>
      <c r="E39" s="64">
        <v>252</v>
      </c>
      <c r="F39" s="64">
        <v>280</v>
      </c>
      <c r="G39" s="64">
        <v>301</v>
      </c>
      <c r="H39" s="64">
        <v>312</v>
      </c>
      <c r="I39" s="64">
        <v>338</v>
      </c>
      <c r="J39" s="530">
        <v>350</v>
      </c>
      <c r="K39" s="64">
        <v>365</v>
      </c>
      <c r="L39" s="64">
        <v>380</v>
      </c>
      <c r="M39" s="64">
        <v>400</v>
      </c>
      <c r="N39" s="64">
        <v>420</v>
      </c>
      <c r="O39" s="1"/>
    </row>
    <row r="40" spans="1:17" x14ac:dyDescent="0.25">
      <c r="A40" s="57">
        <v>292</v>
      </c>
      <c r="B40" s="58" t="s">
        <v>188</v>
      </c>
      <c r="C40" s="59">
        <f>16422-C39</f>
        <v>16212</v>
      </c>
      <c r="D40" s="61">
        <f>21118-D39</f>
        <v>20886</v>
      </c>
      <c r="E40" s="60">
        <v>21100</v>
      </c>
      <c r="F40" s="60">
        <v>27928</v>
      </c>
      <c r="G40" s="60">
        <v>33213</v>
      </c>
      <c r="H40" s="60">
        <v>40995</v>
      </c>
      <c r="I40" s="60">
        <f>40890-I39</f>
        <v>40552</v>
      </c>
      <c r="J40" s="148">
        <v>69200</v>
      </c>
      <c r="K40" s="60">
        <v>69900</v>
      </c>
      <c r="L40" s="60">
        <f>49730-L39</f>
        <v>49350</v>
      </c>
      <c r="M40" s="60">
        <f>49750-M39</f>
        <v>49350</v>
      </c>
      <c r="N40" s="60">
        <f>49770-N39</f>
        <v>49350</v>
      </c>
      <c r="O40" s="27"/>
      <c r="P40" s="27"/>
      <c r="Q40" s="27"/>
    </row>
    <row r="41" spans="1:17" ht="15.75" thickBot="1" x14ac:dyDescent="0.3">
      <c r="A41" s="57">
        <v>292</v>
      </c>
      <c r="B41" s="58" t="s">
        <v>261</v>
      </c>
      <c r="C41" s="59">
        <v>580</v>
      </c>
      <c r="D41" s="60">
        <v>0</v>
      </c>
      <c r="E41" s="60">
        <v>140</v>
      </c>
      <c r="F41" s="60">
        <v>0</v>
      </c>
      <c r="G41" s="60">
        <v>0</v>
      </c>
      <c r="H41" s="60">
        <v>0</v>
      </c>
      <c r="I41" s="60">
        <v>0</v>
      </c>
      <c r="J41" s="148">
        <v>20</v>
      </c>
      <c r="K41" s="60">
        <v>65</v>
      </c>
      <c r="L41" s="60">
        <v>10</v>
      </c>
      <c r="M41" s="60">
        <v>10</v>
      </c>
      <c r="N41" s="60">
        <v>10</v>
      </c>
      <c r="O41" s="1"/>
    </row>
    <row r="42" spans="1:17" ht="15.75" thickBot="1" x14ac:dyDescent="0.3">
      <c r="A42" s="65" t="s">
        <v>39</v>
      </c>
      <c r="B42" s="340"/>
      <c r="C42" s="336">
        <f t="shared" ref="C42:N42" si="7">SUM(C43:C84)</f>
        <v>537043</v>
      </c>
      <c r="D42" s="359">
        <f t="shared" si="7"/>
        <v>553992</v>
      </c>
      <c r="E42" s="336">
        <f t="shared" si="7"/>
        <v>673247</v>
      </c>
      <c r="F42" s="336">
        <f t="shared" si="7"/>
        <v>814828</v>
      </c>
      <c r="G42" s="336">
        <f t="shared" si="7"/>
        <v>864949</v>
      </c>
      <c r="H42" s="336">
        <f t="shared" si="7"/>
        <v>772149</v>
      </c>
      <c r="I42" s="336">
        <f t="shared" si="7"/>
        <v>1078986</v>
      </c>
      <c r="J42" s="336">
        <f t="shared" si="7"/>
        <v>955422</v>
      </c>
      <c r="K42" s="336">
        <f t="shared" si="7"/>
        <v>1176579</v>
      </c>
      <c r="L42" s="336">
        <f t="shared" si="7"/>
        <v>1306665</v>
      </c>
      <c r="M42" s="336">
        <f t="shared" si="7"/>
        <v>1296235</v>
      </c>
      <c r="N42" s="336">
        <f t="shared" si="7"/>
        <v>1224010</v>
      </c>
      <c r="O42" s="1"/>
    </row>
    <row r="43" spans="1:17" x14ac:dyDescent="0.25">
      <c r="A43" s="67">
        <v>311</v>
      </c>
      <c r="B43" s="341" t="s">
        <v>40</v>
      </c>
      <c r="C43" s="349">
        <v>2000</v>
      </c>
      <c r="D43" s="360">
        <v>8000</v>
      </c>
      <c r="E43" s="349">
        <v>3000</v>
      </c>
      <c r="F43" s="390">
        <v>0</v>
      </c>
      <c r="G43" s="68">
        <v>0</v>
      </c>
      <c r="H43" s="68">
        <v>8000</v>
      </c>
      <c r="I43" s="68">
        <v>3000</v>
      </c>
      <c r="J43" s="68">
        <v>0</v>
      </c>
      <c r="K43" s="68">
        <v>3000</v>
      </c>
      <c r="L43" s="68">
        <v>0</v>
      </c>
      <c r="M43" s="68">
        <v>0</v>
      </c>
      <c r="N43" s="68">
        <v>0</v>
      </c>
      <c r="O43" s="1"/>
    </row>
    <row r="44" spans="1:17" x14ac:dyDescent="0.25">
      <c r="A44" s="71">
        <v>312</v>
      </c>
      <c r="B44" s="76" t="s">
        <v>202</v>
      </c>
      <c r="C44" s="350"/>
      <c r="D44" s="467">
        <v>0</v>
      </c>
      <c r="E44" s="350">
        <v>0</v>
      </c>
      <c r="F44" s="391">
        <v>8895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1"/>
    </row>
    <row r="45" spans="1:17" x14ac:dyDescent="0.25">
      <c r="A45" s="67">
        <v>312</v>
      </c>
      <c r="B45" s="341" t="s">
        <v>254</v>
      </c>
      <c r="C45" s="349">
        <v>2089</v>
      </c>
      <c r="D45" s="347">
        <v>2072</v>
      </c>
      <c r="E45" s="349">
        <v>6211</v>
      </c>
      <c r="F45" s="390">
        <v>3420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1"/>
    </row>
    <row r="46" spans="1:17" x14ac:dyDescent="0.25">
      <c r="A46" s="67">
        <v>312</v>
      </c>
      <c r="B46" s="341" t="s">
        <v>215</v>
      </c>
      <c r="C46" s="350"/>
      <c r="D46" s="347">
        <v>0</v>
      </c>
      <c r="E46" s="350">
        <v>0</v>
      </c>
      <c r="F46" s="391">
        <v>0</v>
      </c>
      <c r="G46" s="70">
        <v>13857</v>
      </c>
      <c r="H46" s="70">
        <v>4619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1"/>
    </row>
    <row r="47" spans="1:17" x14ac:dyDescent="0.25">
      <c r="A47" s="69">
        <v>312</v>
      </c>
      <c r="B47" s="413" t="s">
        <v>239</v>
      </c>
      <c r="C47" s="350"/>
      <c r="D47" s="347">
        <v>0</v>
      </c>
      <c r="E47" s="350">
        <v>0</v>
      </c>
      <c r="F47" s="391">
        <v>0</v>
      </c>
      <c r="G47" s="70">
        <v>0</v>
      </c>
      <c r="H47" s="70">
        <v>2881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1"/>
    </row>
    <row r="48" spans="1:17" x14ac:dyDescent="0.25">
      <c r="A48" s="69">
        <v>312</v>
      </c>
      <c r="B48" s="413" t="s">
        <v>251</v>
      </c>
      <c r="C48" s="350"/>
      <c r="D48" s="347">
        <v>0</v>
      </c>
      <c r="E48" s="350">
        <v>0</v>
      </c>
      <c r="F48" s="391">
        <v>0</v>
      </c>
      <c r="G48" s="70">
        <f>52865+150</f>
        <v>53015</v>
      </c>
      <c r="H48" s="70">
        <v>767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1"/>
    </row>
    <row r="49" spans="1:16" x14ac:dyDescent="0.25">
      <c r="A49" s="67">
        <v>312</v>
      </c>
      <c r="B49" s="341" t="s">
        <v>279</v>
      </c>
      <c r="C49" s="350"/>
      <c r="D49" s="347"/>
      <c r="E49" s="350"/>
      <c r="F49" s="391">
        <v>0</v>
      </c>
      <c r="G49" s="391">
        <v>0</v>
      </c>
      <c r="H49" s="391">
        <v>0</v>
      </c>
      <c r="I49" s="391">
        <v>46784</v>
      </c>
      <c r="J49" s="391">
        <v>0</v>
      </c>
      <c r="K49" s="504">
        <v>23751</v>
      </c>
      <c r="L49" s="70">
        <v>0</v>
      </c>
      <c r="M49" s="70">
        <v>0</v>
      </c>
      <c r="N49" s="70">
        <v>0</v>
      </c>
      <c r="O49" s="1"/>
    </row>
    <row r="50" spans="1:16" x14ac:dyDescent="0.25">
      <c r="A50" s="67">
        <v>312</v>
      </c>
      <c r="B50" s="334" t="s">
        <v>280</v>
      </c>
      <c r="C50" s="350"/>
      <c r="D50" s="347"/>
      <c r="E50" s="350"/>
      <c r="F50" s="391">
        <v>0</v>
      </c>
      <c r="G50" s="391">
        <v>0</v>
      </c>
      <c r="H50" s="391">
        <v>0</v>
      </c>
      <c r="I50" s="391">
        <v>0</v>
      </c>
      <c r="J50" s="391">
        <v>0</v>
      </c>
      <c r="K50" s="505">
        <v>48100</v>
      </c>
      <c r="L50" s="70">
        <v>69225</v>
      </c>
      <c r="M50" s="70">
        <v>69225</v>
      </c>
      <c r="N50" s="70">
        <v>0</v>
      </c>
      <c r="O50" s="1"/>
    </row>
    <row r="51" spans="1:16" x14ac:dyDescent="0.25">
      <c r="A51" s="67">
        <v>312</v>
      </c>
      <c r="B51" s="341" t="s">
        <v>281</v>
      </c>
      <c r="C51" s="350"/>
      <c r="D51" s="347"/>
      <c r="E51" s="350"/>
      <c r="F51" s="391">
        <v>0</v>
      </c>
      <c r="G51" s="391">
        <v>0</v>
      </c>
      <c r="H51" s="391">
        <v>0</v>
      </c>
      <c r="I51" s="391">
        <v>37434</v>
      </c>
      <c r="J51" s="391">
        <v>28000</v>
      </c>
      <c r="K51" s="68">
        <v>13320</v>
      </c>
      <c r="L51" s="70">
        <v>0</v>
      </c>
      <c r="M51" s="70">
        <v>0</v>
      </c>
      <c r="N51" s="70">
        <v>0</v>
      </c>
      <c r="O51" s="1"/>
    </row>
    <row r="52" spans="1:16" x14ac:dyDescent="0.25">
      <c r="A52" s="481">
        <v>312</v>
      </c>
      <c r="B52" s="503" t="s">
        <v>282</v>
      </c>
      <c r="C52" s="350"/>
      <c r="D52" s="347"/>
      <c r="E52" s="350"/>
      <c r="F52" s="391">
        <v>0</v>
      </c>
      <c r="G52" s="391">
        <v>0</v>
      </c>
      <c r="H52" s="391">
        <v>0</v>
      </c>
      <c r="I52" s="391">
        <v>18200</v>
      </c>
      <c r="J52" s="391">
        <v>0</v>
      </c>
      <c r="K52" s="506">
        <v>0</v>
      </c>
      <c r="L52" s="70">
        <v>0</v>
      </c>
      <c r="M52" s="70">
        <v>0</v>
      </c>
      <c r="N52" s="70">
        <v>0</v>
      </c>
      <c r="O52" s="1"/>
    </row>
    <row r="53" spans="1:16" x14ac:dyDescent="0.25">
      <c r="A53" s="71">
        <v>312</v>
      </c>
      <c r="B53" s="334" t="s">
        <v>193</v>
      </c>
      <c r="C53" s="351">
        <v>5791</v>
      </c>
      <c r="D53" s="347">
        <v>2899</v>
      </c>
      <c r="E53" s="351">
        <v>27030</v>
      </c>
      <c r="F53" s="392">
        <v>39080</v>
      </c>
      <c r="G53" s="16">
        <v>33071</v>
      </c>
      <c r="H53" s="16">
        <v>5899</v>
      </c>
      <c r="I53" s="16">
        <v>48939</v>
      </c>
      <c r="J53" s="16">
        <v>55000</v>
      </c>
      <c r="K53" s="16">
        <v>57820</v>
      </c>
      <c r="L53" s="16">
        <f>62400+500</f>
        <v>62900</v>
      </c>
      <c r="M53" s="16">
        <f t="shared" ref="M53:N53" si="8">62400+500</f>
        <v>62900</v>
      </c>
      <c r="N53" s="16">
        <f t="shared" si="8"/>
        <v>62900</v>
      </c>
      <c r="O53" s="1"/>
    </row>
    <row r="54" spans="1:16" x14ac:dyDescent="0.25">
      <c r="A54" s="71">
        <v>312</v>
      </c>
      <c r="B54" s="334" t="s">
        <v>194</v>
      </c>
      <c r="C54" s="351">
        <v>645</v>
      </c>
      <c r="D54" s="347">
        <v>739</v>
      </c>
      <c r="E54" s="351">
        <v>227</v>
      </c>
      <c r="F54" s="392">
        <v>225</v>
      </c>
      <c r="G54" s="16">
        <v>25</v>
      </c>
      <c r="H54" s="16">
        <v>0</v>
      </c>
      <c r="I54" s="16">
        <v>480</v>
      </c>
      <c r="J54" s="16">
        <v>180</v>
      </c>
      <c r="K54" s="16">
        <v>1080</v>
      </c>
      <c r="L54" s="16">
        <v>500</v>
      </c>
      <c r="M54" s="16">
        <v>500</v>
      </c>
      <c r="N54" s="16">
        <v>500</v>
      </c>
      <c r="O54" s="27"/>
    </row>
    <row r="55" spans="1:16" x14ac:dyDescent="0.25">
      <c r="A55" s="71">
        <v>312</v>
      </c>
      <c r="B55" s="114" t="s">
        <v>41</v>
      </c>
      <c r="C55" s="352">
        <v>13737</v>
      </c>
      <c r="D55" s="347">
        <v>15058</v>
      </c>
      <c r="E55" s="14">
        <v>3305</v>
      </c>
      <c r="F55" s="393">
        <v>3082</v>
      </c>
      <c r="G55" s="73">
        <v>1195</v>
      </c>
      <c r="H55" s="73">
        <v>405</v>
      </c>
      <c r="I55" s="73">
        <v>86</v>
      </c>
      <c r="J55" s="73">
        <v>600</v>
      </c>
      <c r="K55" s="73">
        <v>710</v>
      </c>
      <c r="L55" s="73">
        <v>0</v>
      </c>
      <c r="M55" s="73">
        <v>0</v>
      </c>
      <c r="N55" s="73">
        <v>0</v>
      </c>
      <c r="O55" s="27"/>
    </row>
    <row r="56" spans="1:16" x14ac:dyDescent="0.25">
      <c r="A56" s="71">
        <v>312</v>
      </c>
      <c r="B56" s="333" t="s">
        <v>325</v>
      </c>
      <c r="C56" s="352">
        <v>0</v>
      </c>
      <c r="D56" s="347">
        <v>0</v>
      </c>
      <c r="E56" s="14">
        <v>0</v>
      </c>
      <c r="F56" s="393">
        <v>18563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1"/>
    </row>
    <row r="57" spans="1:16" x14ac:dyDescent="0.25">
      <c r="A57" s="71">
        <v>312</v>
      </c>
      <c r="B57" s="333" t="s">
        <v>283</v>
      </c>
      <c r="C57" s="352"/>
      <c r="D57" s="347"/>
      <c r="E57" s="14"/>
      <c r="F57" s="393">
        <v>0</v>
      </c>
      <c r="G57" s="393">
        <v>0</v>
      </c>
      <c r="H57" s="393">
        <v>0</v>
      </c>
      <c r="I57" s="393">
        <v>14148</v>
      </c>
      <c r="J57" s="393">
        <v>0</v>
      </c>
      <c r="K57" s="393">
        <v>0</v>
      </c>
      <c r="L57" s="73">
        <v>0</v>
      </c>
      <c r="M57" s="73">
        <v>0</v>
      </c>
      <c r="N57" s="73">
        <v>0</v>
      </c>
      <c r="O57" s="1"/>
    </row>
    <row r="58" spans="1:16" x14ac:dyDescent="0.25">
      <c r="A58" s="83">
        <v>312</v>
      </c>
      <c r="B58" s="334" t="s">
        <v>284</v>
      </c>
      <c r="C58" s="352"/>
      <c r="D58" s="347"/>
      <c r="E58" s="14"/>
      <c r="F58" s="393">
        <v>0</v>
      </c>
      <c r="G58" s="393">
        <v>0</v>
      </c>
      <c r="H58" s="393">
        <v>0</v>
      </c>
      <c r="I58" s="393">
        <v>11268</v>
      </c>
      <c r="J58" s="393">
        <v>0</v>
      </c>
      <c r="K58" s="393">
        <v>0</v>
      </c>
      <c r="L58" s="73">
        <v>0</v>
      </c>
      <c r="M58" s="73">
        <v>0</v>
      </c>
      <c r="N58" s="73">
        <v>0</v>
      </c>
      <c r="O58" s="1"/>
    </row>
    <row r="59" spans="1:16" x14ac:dyDescent="0.25">
      <c r="A59" s="71">
        <v>312</v>
      </c>
      <c r="B59" s="76" t="s">
        <v>249</v>
      </c>
      <c r="C59" s="352"/>
      <c r="D59" s="347">
        <v>0</v>
      </c>
      <c r="E59" s="14">
        <v>0</v>
      </c>
      <c r="F59" s="393">
        <v>12159</v>
      </c>
      <c r="G59" s="73">
        <f>12025+8883</f>
        <v>20908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1"/>
    </row>
    <row r="60" spans="1:16" x14ac:dyDescent="0.25">
      <c r="A60" s="71">
        <v>312</v>
      </c>
      <c r="B60" s="114" t="s">
        <v>42</v>
      </c>
      <c r="C60" s="352">
        <v>0</v>
      </c>
      <c r="D60" s="347">
        <v>0</v>
      </c>
      <c r="E60" s="14">
        <v>0</v>
      </c>
      <c r="F60" s="393">
        <v>3669</v>
      </c>
      <c r="G60" s="73">
        <v>0</v>
      </c>
      <c r="H60" s="73"/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27"/>
      <c r="P60" s="426"/>
    </row>
    <row r="61" spans="1:16" x14ac:dyDescent="0.25">
      <c r="A61" s="83">
        <v>312</v>
      </c>
      <c r="B61" s="114" t="s">
        <v>338</v>
      </c>
      <c r="C61" s="484"/>
      <c r="D61" s="591"/>
      <c r="E61" s="19"/>
      <c r="F61" s="592"/>
      <c r="G61" s="506"/>
      <c r="H61" s="506"/>
      <c r="I61" s="506"/>
      <c r="J61" s="506">
        <v>0</v>
      </c>
      <c r="K61" s="506"/>
      <c r="L61" s="506">
        <v>5000</v>
      </c>
      <c r="M61" s="506">
        <v>0</v>
      </c>
      <c r="N61" s="506">
        <v>0</v>
      </c>
      <c r="O61" s="27"/>
      <c r="P61" s="426"/>
    </row>
    <row r="62" spans="1:16" x14ac:dyDescent="0.25">
      <c r="A62" s="83">
        <v>312</v>
      </c>
      <c r="B62" s="114" t="s">
        <v>346</v>
      </c>
      <c r="C62" s="484"/>
      <c r="D62" s="591"/>
      <c r="E62" s="19"/>
      <c r="F62" s="592"/>
      <c r="G62" s="506"/>
      <c r="H62" s="506"/>
      <c r="I62" s="506"/>
      <c r="J62" s="506"/>
      <c r="K62" s="506">
        <v>9700</v>
      </c>
      <c r="L62" s="506">
        <v>9680</v>
      </c>
      <c r="M62" s="506"/>
      <c r="N62" s="506"/>
      <c r="O62" s="27"/>
      <c r="P62" s="426"/>
    </row>
    <row r="63" spans="1:16" x14ac:dyDescent="0.25">
      <c r="A63" s="83">
        <v>312</v>
      </c>
      <c r="B63" s="114" t="s">
        <v>347</v>
      </c>
      <c r="C63" s="484"/>
      <c r="D63" s="591"/>
      <c r="E63" s="19"/>
      <c r="F63" s="592"/>
      <c r="G63" s="506"/>
      <c r="H63" s="506"/>
      <c r="I63" s="506"/>
      <c r="J63" s="506"/>
      <c r="K63" s="506">
        <v>1720</v>
      </c>
      <c r="L63" s="506"/>
      <c r="M63" s="506"/>
      <c r="N63" s="506"/>
      <c r="O63" s="27"/>
      <c r="P63" s="426"/>
    </row>
    <row r="64" spans="1:16" x14ac:dyDescent="0.25">
      <c r="A64" s="481">
        <v>312</v>
      </c>
      <c r="B64" s="155" t="s">
        <v>348</v>
      </c>
      <c r="C64" s="482"/>
      <c r="D64" s="565"/>
      <c r="E64" s="566"/>
      <c r="F64" s="567"/>
      <c r="G64" s="568"/>
      <c r="H64" s="568"/>
      <c r="I64" s="568"/>
      <c r="J64" s="568"/>
      <c r="K64" s="568">
        <v>1450</v>
      </c>
      <c r="L64" s="568">
        <v>1450</v>
      </c>
      <c r="M64" s="568"/>
      <c r="N64" s="568"/>
      <c r="O64" s="27"/>
      <c r="P64" s="426"/>
    </row>
    <row r="65" spans="1:17" ht="15.75" thickBot="1" x14ac:dyDescent="0.3">
      <c r="A65" s="74">
        <v>312</v>
      </c>
      <c r="B65" s="81" t="s">
        <v>43</v>
      </c>
      <c r="C65" s="355">
        <v>0</v>
      </c>
      <c r="D65" s="400">
        <v>0</v>
      </c>
      <c r="E65" s="355">
        <v>30</v>
      </c>
      <c r="F65" s="395">
        <v>33</v>
      </c>
      <c r="G65" s="75">
        <v>1536</v>
      </c>
      <c r="H65" s="75">
        <v>37</v>
      </c>
      <c r="I65" s="75">
        <v>40</v>
      </c>
      <c r="J65" s="75">
        <v>50</v>
      </c>
      <c r="K65" s="75">
        <v>50</v>
      </c>
      <c r="L65" s="75">
        <v>50</v>
      </c>
      <c r="M65" s="75">
        <v>50</v>
      </c>
      <c r="N65" s="75">
        <v>50</v>
      </c>
      <c r="O65" s="1"/>
    </row>
    <row r="66" spans="1:17" ht="15.75" thickBot="1" x14ac:dyDescent="0.3">
      <c r="A66" s="330">
        <v>312</v>
      </c>
      <c r="B66" s="342" t="s">
        <v>274</v>
      </c>
      <c r="C66" s="353">
        <v>0</v>
      </c>
      <c r="D66" s="362">
        <v>0</v>
      </c>
      <c r="E66" s="353">
        <v>0</v>
      </c>
      <c r="F66" s="394">
        <v>4439</v>
      </c>
      <c r="G66" s="331">
        <v>4026</v>
      </c>
      <c r="H66" s="331">
        <v>2190</v>
      </c>
      <c r="I66" s="331">
        <v>4289</v>
      </c>
      <c r="J66" s="331">
        <v>5000</v>
      </c>
      <c r="K66" s="331">
        <v>3630</v>
      </c>
      <c r="L66" s="331">
        <v>4000</v>
      </c>
      <c r="M66" s="331">
        <v>4000</v>
      </c>
      <c r="N66" s="331">
        <v>4000</v>
      </c>
      <c r="O66" s="27"/>
    </row>
    <row r="67" spans="1:17" x14ac:dyDescent="0.25">
      <c r="A67" s="71">
        <v>312</v>
      </c>
      <c r="B67" s="84" t="s">
        <v>44</v>
      </c>
      <c r="C67" s="352">
        <v>12616</v>
      </c>
      <c r="D67" s="347">
        <v>16521</v>
      </c>
      <c r="E67" s="351">
        <v>19278</v>
      </c>
      <c r="F67" s="16">
        <v>14249</v>
      </c>
      <c r="G67" s="16">
        <v>16620</v>
      </c>
      <c r="H67" s="16">
        <v>19147</v>
      </c>
      <c r="I67" s="16">
        <v>20044</v>
      </c>
      <c r="J67" s="16">
        <v>21500</v>
      </c>
      <c r="K67" s="16">
        <v>21500</v>
      </c>
      <c r="L67" s="16">
        <v>1600</v>
      </c>
      <c r="M67" s="16">
        <v>1600</v>
      </c>
      <c r="N67" s="16">
        <v>1600</v>
      </c>
      <c r="O67" s="1"/>
    </row>
    <row r="68" spans="1:17" x14ac:dyDescent="0.25">
      <c r="A68" s="71">
        <v>312</v>
      </c>
      <c r="B68" s="114" t="s">
        <v>45</v>
      </c>
      <c r="C68" s="352">
        <v>22490</v>
      </c>
      <c r="D68" s="347">
        <v>18300</v>
      </c>
      <c r="E68" s="351">
        <v>8700</v>
      </c>
      <c r="F68" s="15">
        <v>10200</v>
      </c>
      <c r="G68" s="16">
        <v>10200</v>
      </c>
      <c r="H68" s="16">
        <v>11000</v>
      </c>
      <c r="I68" s="16">
        <v>13000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"/>
    </row>
    <row r="69" spans="1:17" ht="15.75" thickBot="1" x14ac:dyDescent="0.3">
      <c r="A69" s="77">
        <v>312</v>
      </c>
      <c r="B69" s="161" t="s">
        <v>46</v>
      </c>
      <c r="C69" s="354">
        <v>7511</v>
      </c>
      <c r="D69" s="363">
        <v>7851</v>
      </c>
      <c r="E69" s="368">
        <v>8430</v>
      </c>
      <c r="F69" s="79">
        <v>9770</v>
      </c>
      <c r="G69" s="79">
        <v>13229</v>
      </c>
      <c r="H69" s="79">
        <v>8419</v>
      </c>
      <c r="I69" s="79">
        <v>8742</v>
      </c>
      <c r="J69" s="79">
        <v>8950</v>
      </c>
      <c r="K69" s="79">
        <v>5950</v>
      </c>
      <c r="L69" s="79">
        <f>350+5600</f>
        <v>5950</v>
      </c>
      <c r="M69" s="79">
        <f t="shared" ref="M69:N69" si="9">350+5600</f>
        <v>5950</v>
      </c>
      <c r="N69" s="79">
        <f t="shared" si="9"/>
        <v>5950</v>
      </c>
      <c r="O69" s="1"/>
    </row>
    <row r="70" spans="1:17" x14ac:dyDescent="0.25">
      <c r="A70" s="71">
        <v>312</v>
      </c>
      <c r="B70" s="84" t="s">
        <v>349</v>
      </c>
      <c r="C70" s="352">
        <v>2100</v>
      </c>
      <c r="D70" s="364">
        <v>2000</v>
      </c>
      <c r="E70" s="351">
        <v>3500</v>
      </c>
      <c r="F70" s="392">
        <v>0</v>
      </c>
      <c r="G70" s="16">
        <v>0</v>
      </c>
      <c r="H70" s="16">
        <v>3200</v>
      </c>
      <c r="I70" s="16">
        <v>0</v>
      </c>
      <c r="J70" s="16">
        <v>0</v>
      </c>
      <c r="K70" s="16">
        <v>1500</v>
      </c>
      <c r="L70" s="16">
        <v>0</v>
      </c>
      <c r="M70" s="16">
        <v>0</v>
      </c>
      <c r="N70" s="16">
        <v>0</v>
      </c>
      <c r="O70" s="1"/>
    </row>
    <row r="71" spans="1:17" ht="15.75" thickBot="1" x14ac:dyDescent="0.3">
      <c r="A71" s="74">
        <v>312</v>
      </c>
      <c r="B71" s="81" t="s">
        <v>48</v>
      </c>
      <c r="C71" s="355">
        <v>8000</v>
      </c>
      <c r="D71" s="346">
        <v>11300</v>
      </c>
      <c r="E71" s="355">
        <v>13785</v>
      </c>
      <c r="F71" s="395">
        <v>0</v>
      </c>
      <c r="G71" s="75">
        <v>7000</v>
      </c>
      <c r="H71" s="75">
        <v>3200</v>
      </c>
      <c r="I71" s="75">
        <v>3000</v>
      </c>
      <c r="J71" s="75">
        <v>0</v>
      </c>
      <c r="K71" s="75">
        <v>5000</v>
      </c>
      <c r="L71" s="75">
        <v>0</v>
      </c>
      <c r="M71" s="75">
        <v>0</v>
      </c>
      <c r="N71" s="75">
        <v>0</v>
      </c>
      <c r="O71" s="1"/>
    </row>
    <row r="72" spans="1:17" x14ac:dyDescent="0.25">
      <c r="A72" s="71">
        <v>312</v>
      </c>
      <c r="B72" s="333" t="s">
        <v>49</v>
      </c>
      <c r="C72" s="351">
        <v>3966</v>
      </c>
      <c r="D72" s="361">
        <v>4139</v>
      </c>
      <c r="E72" s="369">
        <v>4569</v>
      </c>
      <c r="F72" s="82">
        <v>4904</v>
      </c>
      <c r="G72" s="82">
        <v>5027</v>
      </c>
      <c r="H72" s="82">
        <v>5067</v>
      </c>
      <c r="I72" s="82">
        <v>5167</v>
      </c>
      <c r="J72" s="82">
        <v>5310</v>
      </c>
      <c r="K72" s="82">
        <v>5610</v>
      </c>
      <c r="L72" s="82">
        <f>4800+810+40</f>
        <v>5650</v>
      </c>
      <c r="M72" s="82">
        <f t="shared" ref="M72:N72" si="10">4800+810+40</f>
        <v>5650</v>
      </c>
      <c r="N72" s="82">
        <f t="shared" si="10"/>
        <v>5650</v>
      </c>
      <c r="O72" s="27"/>
      <c r="P72" s="27"/>
      <c r="Q72" s="27"/>
    </row>
    <row r="73" spans="1:17" x14ac:dyDescent="0.25">
      <c r="A73" s="83">
        <v>312</v>
      </c>
      <c r="B73" s="343" t="s">
        <v>50</v>
      </c>
      <c r="C73" s="356">
        <v>3018</v>
      </c>
      <c r="D73" s="365">
        <v>3476</v>
      </c>
      <c r="E73" s="356">
        <v>3771</v>
      </c>
      <c r="F73" s="21">
        <v>4169</v>
      </c>
      <c r="G73" s="21">
        <v>3664</v>
      </c>
      <c r="H73" s="21">
        <v>3593</v>
      </c>
      <c r="I73" s="21">
        <v>4056</v>
      </c>
      <c r="J73" s="21">
        <v>4250</v>
      </c>
      <c r="K73" s="21">
        <v>7460</v>
      </c>
      <c r="L73" s="21">
        <f>7050+300+110</f>
        <v>7460</v>
      </c>
      <c r="M73" s="21">
        <f t="shared" ref="M73:N73" si="11">7050+300+110</f>
        <v>7460</v>
      </c>
      <c r="N73" s="21">
        <f t="shared" si="11"/>
        <v>7460</v>
      </c>
      <c r="O73" s="27"/>
      <c r="P73" s="27"/>
      <c r="Q73" s="27"/>
    </row>
    <row r="74" spans="1:17" x14ac:dyDescent="0.25">
      <c r="A74" s="83">
        <v>312</v>
      </c>
      <c r="B74" s="344" t="s">
        <v>309</v>
      </c>
      <c r="C74" s="357">
        <v>2774</v>
      </c>
      <c r="D74" s="366">
        <v>2919</v>
      </c>
      <c r="E74" s="370">
        <v>2837</v>
      </c>
      <c r="F74" s="33">
        <v>3186</v>
      </c>
      <c r="G74" s="33">
        <v>6764</v>
      </c>
      <c r="H74" s="33">
        <v>11269</v>
      </c>
      <c r="I74" s="33">
        <v>15203</v>
      </c>
      <c r="J74" s="33">
        <v>13200</v>
      </c>
      <c r="K74" s="33">
        <v>20773</v>
      </c>
      <c r="L74" s="33">
        <v>161700</v>
      </c>
      <c r="M74" s="33">
        <v>161700</v>
      </c>
      <c r="N74" s="33">
        <v>161700</v>
      </c>
      <c r="O74" s="27"/>
      <c r="P74" s="27"/>
      <c r="Q74" s="27"/>
    </row>
    <row r="75" spans="1:17" x14ac:dyDescent="0.25">
      <c r="A75" s="71">
        <v>312</v>
      </c>
      <c r="B75" s="114" t="s">
        <v>250</v>
      </c>
      <c r="C75" s="352">
        <v>12162</v>
      </c>
      <c r="D75" s="347">
        <v>12162</v>
      </c>
      <c r="E75" s="371">
        <v>50858</v>
      </c>
      <c r="F75" s="16">
        <v>84215</v>
      </c>
      <c r="G75" s="16">
        <f>11938+71808</f>
        <v>83746</v>
      </c>
      <c r="H75" s="16">
        <v>37246</v>
      </c>
      <c r="I75" s="16">
        <v>78250</v>
      </c>
      <c r="J75" s="16">
        <v>90000</v>
      </c>
      <c r="K75" s="16">
        <v>161850</v>
      </c>
      <c r="L75" s="16">
        <v>190000</v>
      </c>
      <c r="M75" s="16">
        <v>190000</v>
      </c>
      <c r="N75" s="16">
        <v>190000</v>
      </c>
      <c r="O75" s="27"/>
    </row>
    <row r="76" spans="1:17" x14ac:dyDescent="0.25">
      <c r="A76" s="71">
        <v>312</v>
      </c>
      <c r="B76" s="333" t="s">
        <v>189</v>
      </c>
      <c r="C76" s="352">
        <v>0</v>
      </c>
      <c r="D76" s="347">
        <v>0</v>
      </c>
      <c r="E76" s="371">
        <v>0</v>
      </c>
      <c r="F76" s="82">
        <v>4640</v>
      </c>
      <c r="G76" s="16">
        <v>5205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27"/>
    </row>
    <row r="77" spans="1:17" x14ac:dyDescent="0.25">
      <c r="A77" s="83">
        <v>312</v>
      </c>
      <c r="B77" s="114" t="s">
        <v>51</v>
      </c>
      <c r="C77" s="484">
        <v>0</v>
      </c>
      <c r="D77" s="178"/>
      <c r="E77" s="356">
        <v>31104</v>
      </c>
      <c r="F77" s="21">
        <v>33696</v>
      </c>
      <c r="G77" s="21">
        <v>16565</v>
      </c>
      <c r="H77" s="21">
        <v>30801</v>
      </c>
      <c r="I77" s="21">
        <v>47027</v>
      </c>
      <c r="J77" s="21">
        <v>55400</v>
      </c>
      <c r="K77" s="21">
        <v>55400</v>
      </c>
      <c r="L77" s="21">
        <v>58200</v>
      </c>
      <c r="M77" s="21">
        <v>58200</v>
      </c>
      <c r="N77" s="21">
        <v>58200</v>
      </c>
      <c r="O77" s="27"/>
    </row>
    <row r="78" spans="1:17" x14ac:dyDescent="0.25">
      <c r="A78" s="485">
        <v>312</v>
      </c>
      <c r="B78" s="486" t="s">
        <v>266</v>
      </c>
      <c r="C78" s="482"/>
      <c r="D78" s="312"/>
      <c r="E78" s="483"/>
      <c r="F78" s="483">
        <v>0</v>
      </c>
      <c r="G78" s="80">
        <v>0</v>
      </c>
      <c r="H78" s="80">
        <v>10524</v>
      </c>
      <c r="I78" s="80">
        <v>4347</v>
      </c>
      <c r="J78" s="80">
        <v>10600</v>
      </c>
      <c r="K78" s="80">
        <v>6660</v>
      </c>
      <c r="L78" s="80">
        <v>0</v>
      </c>
      <c r="M78" s="80">
        <v>6000</v>
      </c>
      <c r="N78" s="80">
        <v>3000</v>
      </c>
      <c r="O78" s="27"/>
      <c r="P78" s="27"/>
      <c r="Q78" s="27"/>
    </row>
    <row r="79" spans="1:17" ht="15.75" thickBot="1" x14ac:dyDescent="0.3">
      <c r="A79" s="77">
        <v>312</v>
      </c>
      <c r="B79" s="161" t="s">
        <v>326</v>
      </c>
      <c r="C79" s="354"/>
      <c r="D79" s="468"/>
      <c r="E79" s="469"/>
      <c r="F79" s="469">
        <v>0</v>
      </c>
      <c r="G79" s="79">
        <v>0</v>
      </c>
      <c r="H79" s="79">
        <v>4230</v>
      </c>
      <c r="I79" s="79">
        <v>26154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1"/>
    </row>
    <row r="80" spans="1:17" x14ac:dyDescent="0.25">
      <c r="A80" s="71">
        <v>315</v>
      </c>
      <c r="B80" s="76" t="s">
        <v>47</v>
      </c>
      <c r="C80" s="352"/>
      <c r="D80" s="348">
        <v>0</v>
      </c>
      <c r="E80" s="371">
        <v>0</v>
      </c>
      <c r="F80" s="396">
        <v>3000</v>
      </c>
      <c r="G80" s="16">
        <v>3000</v>
      </c>
      <c r="H80" s="16">
        <v>3000</v>
      </c>
      <c r="I80" s="16">
        <v>3000</v>
      </c>
      <c r="J80" s="16">
        <v>3000</v>
      </c>
      <c r="K80" s="16">
        <v>3000</v>
      </c>
      <c r="L80" s="16">
        <v>3000</v>
      </c>
      <c r="M80" s="16">
        <v>3000</v>
      </c>
      <c r="N80" s="16">
        <v>3000</v>
      </c>
      <c r="O80" s="1"/>
    </row>
    <row r="81" spans="1:17" ht="15.75" thickBot="1" x14ac:dyDescent="0.3">
      <c r="A81" s="77">
        <v>315</v>
      </c>
      <c r="B81" s="78" t="s">
        <v>236</v>
      </c>
      <c r="C81" s="354"/>
      <c r="D81" s="468">
        <v>0</v>
      </c>
      <c r="E81" s="469">
        <v>0</v>
      </c>
      <c r="F81" s="470">
        <v>0</v>
      </c>
      <c r="G81" s="79">
        <v>100</v>
      </c>
      <c r="H81" s="79">
        <v>200</v>
      </c>
      <c r="I81" s="79">
        <v>300</v>
      </c>
      <c r="J81" s="79">
        <v>300</v>
      </c>
      <c r="K81" s="79">
        <v>300</v>
      </c>
      <c r="L81" s="79">
        <v>300</v>
      </c>
      <c r="M81" s="79">
        <v>0</v>
      </c>
      <c r="N81" s="79">
        <v>0</v>
      </c>
      <c r="O81" s="27">
        <f>SUM(L80:L81)</f>
        <v>3300</v>
      </c>
    </row>
    <row r="82" spans="1:17" x14ac:dyDescent="0.25">
      <c r="A82" s="512">
        <v>312</v>
      </c>
      <c r="B82" s="513" t="s">
        <v>307</v>
      </c>
      <c r="C82" s="514"/>
      <c r="D82" s="515">
        <v>0</v>
      </c>
      <c r="E82" s="516">
        <v>0</v>
      </c>
      <c r="F82" s="517">
        <v>38</v>
      </c>
      <c r="G82" s="518">
        <v>420</v>
      </c>
      <c r="H82" s="518">
        <v>0</v>
      </c>
      <c r="I82" s="518">
        <v>0</v>
      </c>
      <c r="J82" s="518">
        <v>0</v>
      </c>
      <c r="K82" s="518">
        <v>0</v>
      </c>
      <c r="L82" s="518">
        <v>0</v>
      </c>
      <c r="M82" s="518">
        <v>0</v>
      </c>
      <c r="N82" s="518">
        <v>0</v>
      </c>
      <c r="O82" s="1"/>
    </row>
    <row r="83" spans="1:17" x14ac:dyDescent="0.25">
      <c r="A83" s="512">
        <v>312</v>
      </c>
      <c r="B83" s="513" t="s">
        <v>285</v>
      </c>
      <c r="C83" s="514"/>
      <c r="D83" s="515"/>
      <c r="E83" s="516"/>
      <c r="F83" s="517">
        <v>0</v>
      </c>
      <c r="G83" s="518">
        <v>0</v>
      </c>
      <c r="H83" s="518">
        <v>0</v>
      </c>
      <c r="I83" s="518">
        <v>4818</v>
      </c>
      <c r="J83" s="518">
        <v>19272</v>
      </c>
      <c r="K83" s="518">
        <v>14552</v>
      </c>
      <c r="L83" s="518">
        <v>0</v>
      </c>
      <c r="M83" s="518">
        <v>0</v>
      </c>
      <c r="N83" s="518">
        <v>0</v>
      </c>
      <c r="O83" s="1"/>
    </row>
    <row r="84" spans="1:17" ht="15.75" thickBot="1" x14ac:dyDescent="0.3">
      <c r="A84" s="519">
        <v>312</v>
      </c>
      <c r="B84" s="520" t="s">
        <v>308</v>
      </c>
      <c r="C84" s="521">
        <v>438144</v>
      </c>
      <c r="D84" s="522">
        <v>446556</v>
      </c>
      <c r="E84" s="521">
        <v>486612</v>
      </c>
      <c r="F84" s="523">
        <v>549196</v>
      </c>
      <c r="G84" s="524">
        <v>565776</v>
      </c>
      <c r="H84" s="524">
        <v>596455</v>
      </c>
      <c r="I84" s="524">
        <v>661210</v>
      </c>
      <c r="J84" s="524">
        <v>634810</v>
      </c>
      <c r="K84" s="524">
        <v>702693</v>
      </c>
      <c r="L84" s="524">
        <v>720000</v>
      </c>
      <c r="M84" s="524">
        <v>720000</v>
      </c>
      <c r="N84" s="524">
        <v>720000</v>
      </c>
      <c r="O84" s="27">
        <f>SUM(L44:L79)+L83+L84</f>
        <v>1303365</v>
      </c>
      <c r="P84" s="27">
        <f>SUM(M44:M79)+M83+M84</f>
        <v>1293235</v>
      </c>
      <c r="Q84" s="27">
        <f>SUM(N44:N79)+N83+N84</f>
        <v>1221010</v>
      </c>
    </row>
    <row r="85" spans="1:17" ht="21" customHeight="1" thickBot="1" x14ac:dyDescent="0.3">
      <c r="A85" s="85" t="s">
        <v>52</v>
      </c>
      <c r="B85" s="345"/>
      <c r="C85" s="358">
        <f t="shared" ref="C85:N85" si="12">SUM(C3+C11+C32+C34+C42)</f>
        <v>1734063</v>
      </c>
      <c r="D85" s="367">
        <f t="shared" si="12"/>
        <v>1866680</v>
      </c>
      <c r="E85" s="358">
        <f t="shared" si="12"/>
        <v>2070874</v>
      </c>
      <c r="F85" s="358">
        <f t="shared" si="12"/>
        <v>2201436</v>
      </c>
      <c r="G85" s="358">
        <f t="shared" si="12"/>
        <v>2290508</v>
      </c>
      <c r="H85" s="358">
        <f t="shared" si="12"/>
        <v>2281888</v>
      </c>
      <c r="I85" s="358">
        <f t="shared" si="12"/>
        <v>2681803</v>
      </c>
      <c r="J85" s="358">
        <f t="shared" si="12"/>
        <v>2758503</v>
      </c>
      <c r="K85" s="358">
        <f t="shared" si="12"/>
        <v>2992853</v>
      </c>
      <c r="L85" s="358">
        <f t="shared" si="12"/>
        <v>2952875</v>
      </c>
      <c r="M85" s="358">
        <f t="shared" si="12"/>
        <v>2978465</v>
      </c>
      <c r="N85" s="358">
        <f t="shared" si="12"/>
        <v>2970960</v>
      </c>
      <c r="O85" s="1"/>
    </row>
    <row r="86" spans="1:17" x14ac:dyDescent="0.25">
      <c r="A86" s="87" t="s">
        <v>53</v>
      </c>
      <c r="B86" s="88" t="s">
        <v>54</v>
      </c>
      <c r="C86" s="89">
        <v>5446</v>
      </c>
      <c r="D86" s="89">
        <v>7593</v>
      </c>
      <c r="E86" s="89">
        <v>7551</v>
      </c>
      <c r="F86" s="89">
        <v>355</v>
      </c>
      <c r="G86" s="89">
        <v>1801</v>
      </c>
      <c r="H86" s="89">
        <v>3603</v>
      </c>
      <c r="I86" s="89">
        <v>858</v>
      </c>
      <c r="J86" s="89">
        <v>1550</v>
      </c>
      <c r="K86" s="89">
        <v>1550</v>
      </c>
      <c r="L86" s="89">
        <f>1500</f>
        <v>1500</v>
      </c>
      <c r="M86" s="89">
        <f>1500</f>
        <v>1500</v>
      </c>
      <c r="N86" s="89">
        <f>1500</f>
        <v>1500</v>
      </c>
      <c r="O86" s="1"/>
    </row>
    <row r="87" spans="1:17" x14ac:dyDescent="0.25">
      <c r="A87" s="90" t="s">
        <v>53</v>
      </c>
      <c r="B87" s="88" t="s">
        <v>55</v>
      </c>
      <c r="C87" s="91">
        <v>1300</v>
      </c>
      <c r="D87" s="91">
        <v>1300</v>
      </c>
      <c r="E87" s="91">
        <v>1308</v>
      </c>
      <c r="F87" s="91">
        <v>1250</v>
      </c>
      <c r="G87" s="91">
        <v>1468</v>
      </c>
      <c r="H87" s="91">
        <v>1752</v>
      </c>
      <c r="I87" s="91">
        <v>2450</v>
      </c>
      <c r="J87" s="91">
        <v>3600</v>
      </c>
      <c r="K87" s="91">
        <v>3600</v>
      </c>
      <c r="L87" s="91">
        <v>3600</v>
      </c>
      <c r="M87" s="91">
        <v>3600</v>
      </c>
      <c r="N87" s="91">
        <v>3600</v>
      </c>
      <c r="O87" s="1"/>
    </row>
    <row r="88" spans="1:17" ht="15.75" thickBot="1" x14ac:dyDescent="0.3">
      <c r="A88" s="92" t="s">
        <v>53</v>
      </c>
      <c r="B88" s="93" t="s">
        <v>56</v>
      </c>
      <c r="C88" s="94">
        <v>0</v>
      </c>
      <c r="D88" s="94">
        <v>0</v>
      </c>
      <c r="E88" s="94">
        <v>50402</v>
      </c>
      <c r="F88" s="94">
        <v>28608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1"/>
    </row>
    <row r="89" spans="1:17" ht="15.75" thickBot="1" x14ac:dyDescent="0.3">
      <c r="A89" s="604" t="s">
        <v>57</v>
      </c>
      <c r="B89" s="605"/>
      <c r="C89" s="95">
        <f t="shared" ref="C89:D89" si="13">SUM(C86:C88)</f>
        <v>6746</v>
      </c>
      <c r="D89" s="95">
        <f t="shared" si="13"/>
        <v>8893</v>
      </c>
      <c r="E89" s="95">
        <f t="shared" ref="E89:N89" si="14">SUM(E86:E88)</f>
        <v>59261</v>
      </c>
      <c r="F89" s="95">
        <f t="shared" si="14"/>
        <v>30213</v>
      </c>
      <c r="G89" s="95">
        <f t="shared" si="14"/>
        <v>3269</v>
      </c>
      <c r="H89" s="95">
        <f t="shared" si="14"/>
        <v>5355</v>
      </c>
      <c r="I89" s="95">
        <f t="shared" si="14"/>
        <v>3308</v>
      </c>
      <c r="J89" s="95">
        <f t="shared" si="14"/>
        <v>5150</v>
      </c>
      <c r="K89" s="95">
        <f t="shared" ref="K89:L89" si="15">SUM(K86:K88)</f>
        <v>5150</v>
      </c>
      <c r="L89" s="95">
        <f t="shared" si="15"/>
        <v>5100</v>
      </c>
      <c r="M89" s="95">
        <f t="shared" si="14"/>
        <v>5100</v>
      </c>
      <c r="N89" s="95">
        <f t="shared" si="14"/>
        <v>5100</v>
      </c>
      <c r="O89" s="1"/>
    </row>
    <row r="90" spans="1:17" x14ac:dyDescent="0.25">
      <c r="A90" s="415" t="s">
        <v>53</v>
      </c>
      <c r="B90" s="235" t="s">
        <v>216</v>
      </c>
      <c r="C90" s="416"/>
      <c r="D90" s="238">
        <v>0</v>
      </c>
      <c r="E90" s="238">
        <v>0</v>
      </c>
      <c r="F90" s="238">
        <v>0</v>
      </c>
      <c r="G90" s="238">
        <v>35981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100"/>
    </row>
    <row r="91" spans="1:17" ht="16.5" thickBot="1" x14ac:dyDescent="0.3">
      <c r="A91" s="96" t="s">
        <v>53</v>
      </c>
      <c r="B91" s="97" t="s">
        <v>58</v>
      </c>
      <c r="C91" s="98">
        <v>4930</v>
      </c>
      <c r="D91" s="417">
        <v>10244</v>
      </c>
      <c r="E91" s="418">
        <v>11710</v>
      </c>
      <c r="F91" s="418">
        <v>11266</v>
      </c>
      <c r="G91" s="418">
        <v>11355</v>
      </c>
      <c r="H91" s="418">
        <v>11185</v>
      </c>
      <c r="I91" s="418">
        <v>12200</v>
      </c>
      <c r="J91" s="418">
        <v>12350</v>
      </c>
      <c r="K91" s="418">
        <v>12700</v>
      </c>
      <c r="L91" s="418">
        <v>13600</v>
      </c>
      <c r="M91" s="418">
        <v>13600</v>
      </c>
      <c r="N91" s="418">
        <v>13600</v>
      </c>
      <c r="O91" s="103"/>
    </row>
    <row r="92" spans="1:17" ht="15.75" thickBot="1" x14ac:dyDescent="0.3">
      <c r="A92" s="604" t="s">
        <v>217</v>
      </c>
      <c r="B92" s="605"/>
      <c r="C92" s="98"/>
      <c r="D92" s="414">
        <f>SUM(D90:D91)</f>
        <v>10244</v>
      </c>
      <c r="E92" s="414">
        <f t="shared" ref="E92:G92" si="16">SUM(E90:E91)</f>
        <v>11710</v>
      </c>
      <c r="F92" s="414">
        <f t="shared" si="16"/>
        <v>11266</v>
      </c>
      <c r="G92" s="414">
        <f t="shared" si="16"/>
        <v>47336</v>
      </c>
      <c r="H92" s="414">
        <f t="shared" ref="H92:N92" si="17">SUM(H90:H91)</f>
        <v>11185</v>
      </c>
      <c r="I92" s="414">
        <f t="shared" ref="I92" si="18">SUM(I90:I91)</f>
        <v>12200</v>
      </c>
      <c r="J92" s="414">
        <f t="shared" si="17"/>
        <v>12350</v>
      </c>
      <c r="K92" s="414">
        <f t="shared" ref="K92:L92" si="19">SUM(K90:K91)</f>
        <v>12700</v>
      </c>
      <c r="L92" s="414">
        <f t="shared" si="19"/>
        <v>13600</v>
      </c>
      <c r="M92" s="414">
        <f t="shared" si="17"/>
        <v>13600</v>
      </c>
      <c r="N92" s="414">
        <f t="shared" si="17"/>
        <v>13600</v>
      </c>
      <c r="O92" s="1"/>
    </row>
    <row r="93" spans="1:17" ht="19.5" customHeight="1" thickBot="1" x14ac:dyDescent="0.3">
      <c r="A93" s="629" t="s">
        <v>59</v>
      </c>
      <c r="B93" s="630"/>
      <c r="C93" s="99">
        <f t="shared" ref="C93" si="20">C89+C91</f>
        <v>11676</v>
      </c>
      <c r="D93" s="99">
        <f>D89+D92</f>
        <v>19137</v>
      </c>
      <c r="E93" s="99">
        <f t="shared" ref="E93:G93" si="21">E89+E92</f>
        <v>70971</v>
      </c>
      <c r="F93" s="99">
        <f t="shared" si="21"/>
        <v>41479</v>
      </c>
      <c r="G93" s="99">
        <f t="shared" si="21"/>
        <v>50605</v>
      </c>
      <c r="H93" s="99">
        <f t="shared" ref="H93:N93" si="22">H89+H92</f>
        <v>16540</v>
      </c>
      <c r="I93" s="99">
        <f t="shared" ref="I93" si="23">I89+I92</f>
        <v>15508</v>
      </c>
      <c r="J93" s="99">
        <f t="shared" si="22"/>
        <v>17500</v>
      </c>
      <c r="K93" s="99">
        <f t="shared" ref="K93:L93" si="24">K89+K92</f>
        <v>17850</v>
      </c>
      <c r="L93" s="99">
        <f t="shared" si="24"/>
        <v>18700</v>
      </c>
      <c r="M93" s="99">
        <f t="shared" si="22"/>
        <v>18700</v>
      </c>
      <c r="N93" s="99">
        <f t="shared" si="22"/>
        <v>18700</v>
      </c>
      <c r="O93" s="1"/>
    </row>
    <row r="94" spans="1:17" ht="30.75" customHeight="1" thickBot="1" x14ac:dyDescent="0.3">
      <c r="A94" s="85" t="s">
        <v>60</v>
      </c>
      <c r="B94" s="66"/>
      <c r="C94" s="86">
        <f t="shared" ref="C94:E94" si="25">C85+C93</f>
        <v>1745739</v>
      </c>
      <c r="D94" s="86">
        <f t="shared" si="25"/>
        <v>1885817</v>
      </c>
      <c r="E94" s="86">
        <f t="shared" si="25"/>
        <v>2141845</v>
      </c>
      <c r="F94" s="86">
        <f t="shared" ref="F94:N94" si="26">F85+F93</f>
        <v>2242915</v>
      </c>
      <c r="G94" s="86">
        <f t="shared" si="26"/>
        <v>2341113</v>
      </c>
      <c r="H94" s="86">
        <f t="shared" si="26"/>
        <v>2298428</v>
      </c>
      <c r="I94" s="86">
        <f t="shared" ref="I94" si="27">I85+I93</f>
        <v>2697311</v>
      </c>
      <c r="J94" s="86">
        <f t="shared" si="26"/>
        <v>2776003</v>
      </c>
      <c r="K94" s="86">
        <f t="shared" si="26"/>
        <v>3010703</v>
      </c>
      <c r="L94" s="86">
        <f t="shared" si="26"/>
        <v>2971575</v>
      </c>
      <c r="M94" s="86">
        <f t="shared" si="26"/>
        <v>2997165</v>
      </c>
      <c r="N94" s="86">
        <f t="shared" si="26"/>
        <v>2989660</v>
      </c>
      <c r="O94" s="1"/>
    </row>
    <row r="95" spans="1:17" x14ac:dyDescent="0.25">
      <c r="A95" s="1"/>
      <c r="B95" s="1"/>
      <c r="C95" s="1"/>
      <c r="D95" s="1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"/>
    </row>
    <row r="96" spans="1:17" ht="15.75" x14ac:dyDescent="0.25">
      <c r="A96" s="101"/>
      <c r="B96" s="102"/>
      <c r="C96" s="102"/>
      <c r="D96" s="102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"/>
    </row>
    <row r="97" spans="1:15" ht="18.75" thickBot="1" x14ac:dyDescent="0.3">
      <c r="A97" s="627" t="s">
        <v>61</v>
      </c>
      <c r="B97" s="628"/>
      <c r="C97" s="628"/>
      <c r="D97" s="628"/>
      <c r="E97" s="628"/>
      <c r="F97" s="628"/>
      <c r="G97" s="628"/>
      <c r="H97" s="628"/>
      <c r="I97" s="628"/>
      <c r="J97" s="628"/>
      <c r="K97" s="628"/>
      <c r="L97" s="628"/>
      <c r="M97" s="628"/>
      <c r="N97" s="628"/>
      <c r="O97" s="1"/>
    </row>
    <row r="98" spans="1:15" ht="36" customHeight="1" thickBot="1" x14ac:dyDescent="0.3">
      <c r="A98" s="616" t="s">
        <v>1</v>
      </c>
      <c r="B98" s="617"/>
      <c r="C98" s="389" t="s">
        <v>2</v>
      </c>
      <c r="D98" s="388" t="s">
        <v>3</v>
      </c>
      <c r="E98" s="388" t="s">
        <v>186</v>
      </c>
      <c r="F98" s="388" t="s">
        <v>201</v>
      </c>
      <c r="G98" s="475" t="s">
        <v>237</v>
      </c>
      <c r="H98" s="475" t="s">
        <v>264</v>
      </c>
      <c r="I98" s="475" t="s">
        <v>324</v>
      </c>
      <c r="J98" s="387" t="s">
        <v>328</v>
      </c>
      <c r="K98" s="387" t="s">
        <v>345</v>
      </c>
      <c r="L98" s="387" t="s">
        <v>238</v>
      </c>
      <c r="M98" s="387" t="s">
        <v>265</v>
      </c>
      <c r="N98" s="387" t="s">
        <v>306</v>
      </c>
      <c r="O98" s="1"/>
    </row>
    <row r="99" spans="1:15" ht="15.75" thickBot="1" x14ac:dyDescent="0.3">
      <c r="A99" s="104" t="s">
        <v>62</v>
      </c>
      <c r="B99" s="105"/>
      <c r="C99" s="106">
        <f t="shared" ref="C99:G99" si="28">SUM(C100:C104)</f>
        <v>156377</v>
      </c>
      <c r="D99" s="107">
        <f t="shared" si="28"/>
        <v>174936</v>
      </c>
      <c r="E99" s="106">
        <f t="shared" si="28"/>
        <v>231640</v>
      </c>
      <c r="F99" s="108">
        <f t="shared" si="28"/>
        <v>231049</v>
      </c>
      <c r="G99" s="108">
        <f t="shared" si="28"/>
        <v>232468</v>
      </c>
      <c r="H99" s="108">
        <f t="shared" ref="H99:I99" si="29">SUM(H100:H104)</f>
        <v>243637</v>
      </c>
      <c r="I99" s="108">
        <f t="shared" si="29"/>
        <v>282470</v>
      </c>
      <c r="J99" s="108">
        <f t="shared" ref="J99:N99" si="30">SUM(J100:J104)</f>
        <v>331300</v>
      </c>
      <c r="K99" s="108">
        <f t="shared" si="30"/>
        <v>329185</v>
      </c>
      <c r="L99" s="108">
        <f t="shared" ref="L99" si="31">SUM(L100:L104)</f>
        <v>317110</v>
      </c>
      <c r="M99" s="108">
        <f t="shared" si="30"/>
        <v>325060</v>
      </c>
      <c r="N99" s="108">
        <f t="shared" si="30"/>
        <v>320020</v>
      </c>
      <c r="O99" s="1"/>
    </row>
    <row r="100" spans="1:15" x14ac:dyDescent="0.25">
      <c r="A100" s="109" t="s">
        <v>63</v>
      </c>
      <c r="B100" s="84" t="s">
        <v>64</v>
      </c>
      <c r="C100" s="110">
        <v>80991</v>
      </c>
      <c r="D100" s="111">
        <v>85746</v>
      </c>
      <c r="E100" s="112">
        <v>107957</v>
      </c>
      <c r="F100" s="56">
        <v>109255</v>
      </c>
      <c r="G100" s="56">
        <v>107887</v>
      </c>
      <c r="H100" s="56">
        <v>112333</v>
      </c>
      <c r="I100" s="56">
        <v>136540</v>
      </c>
      <c r="J100" s="112">
        <v>171530</v>
      </c>
      <c r="K100" s="56">
        <v>172010</v>
      </c>
      <c r="L100" s="56">
        <v>155310</v>
      </c>
      <c r="M100" s="56">
        <v>155310</v>
      </c>
      <c r="N100" s="56">
        <v>155310</v>
      </c>
      <c r="O100" s="1"/>
    </row>
    <row r="101" spans="1:15" x14ac:dyDescent="0.25">
      <c r="A101" s="113" t="s">
        <v>65</v>
      </c>
      <c r="B101" s="114" t="s">
        <v>66</v>
      </c>
      <c r="C101" s="62">
        <v>43743</v>
      </c>
      <c r="D101" s="115">
        <v>51946</v>
      </c>
      <c r="E101" s="116">
        <v>68901</v>
      </c>
      <c r="F101" s="61">
        <v>68993</v>
      </c>
      <c r="G101" s="61">
        <v>71900</v>
      </c>
      <c r="H101" s="61">
        <v>73761</v>
      </c>
      <c r="I101" s="61">
        <v>92239</v>
      </c>
      <c r="J101" s="116">
        <v>89970</v>
      </c>
      <c r="K101" s="61">
        <v>91015</v>
      </c>
      <c r="L101" s="61">
        <v>91700</v>
      </c>
      <c r="M101" s="61">
        <v>91650</v>
      </c>
      <c r="N101" s="61">
        <v>91610</v>
      </c>
      <c r="O101" s="1"/>
    </row>
    <row r="102" spans="1:15" x14ac:dyDescent="0.25">
      <c r="A102" s="113" t="s">
        <v>67</v>
      </c>
      <c r="B102" s="114" t="s">
        <v>68</v>
      </c>
      <c r="C102" s="62">
        <v>1742</v>
      </c>
      <c r="D102" s="115">
        <v>3680</v>
      </c>
      <c r="E102" s="116">
        <v>4907</v>
      </c>
      <c r="F102" s="61">
        <v>538</v>
      </c>
      <c r="G102" s="61">
        <v>2440</v>
      </c>
      <c r="H102" s="61">
        <v>1591</v>
      </c>
      <c r="I102" s="61">
        <v>2469</v>
      </c>
      <c r="J102" s="116">
        <v>4200</v>
      </c>
      <c r="K102" s="61">
        <v>4200</v>
      </c>
      <c r="L102" s="61">
        <v>5200</v>
      </c>
      <c r="M102" s="61">
        <v>7200</v>
      </c>
      <c r="N102" s="61">
        <v>5200</v>
      </c>
      <c r="O102" s="1"/>
    </row>
    <row r="103" spans="1:15" x14ac:dyDescent="0.25">
      <c r="A103" s="117" t="s">
        <v>69</v>
      </c>
      <c r="B103" s="114" t="s">
        <v>70</v>
      </c>
      <c r="C103" s="59">
        <v>27812</v>
      </c>
      <c r="D103" s="118">
        <v>31492</v>
      </c>
      <c r="E103" s="116">
        <v>43664</v>
      </c>
      <c r="F103" s="61">
        <v>44203</v>
      </c>
      <c r="G103" s="61">
        <v>45036</v>
      </c>
      <c r="H103" s="61">
        <v>47394</v>
      </c>
      <c r="I103" s="61">
        <v>44851</v>
      </c>
      <c r="J103" s="116">
        <v>55000</v>
      </c>
      <c r="K103" s="61">
        <v>55300</v>
      </c>
      <c r="L103" s="61">
        <v>64900</v>
      </c>
      <c r="M103" s="61">
        <v>64900</v>
      </c>
      <c r="N103" s="61">
        <v>64900</v>
      </c>
      <c r="O103" s="1"/>
    </row>
    <row r="104" spans="1:15" ht="15.75" thickBot="1" x14ac:dyDescent="0.3">
      <c r="A104" s="119" t="s">
        <v>71</v>
      </c>
      <c r="B104" s="120" t="s">
        <v>196</v>
      </c>
      <c r="C104" s="121">
        <v>2089</v>
      </c>
      <c r="D104" s="122">
        <v>2072</v>
      </c>
      <c r="E104" s="123">
        <v>6211</v>
      </c>
      <c r="F104" s="124">
        <v>8060</v>
      </c>
      <c r="G104" s="124">
        <v>5205</v>
      </c>
      <c r="H104" s="124">
        <v>8558</v>
      </c>
      <c r="I104" s="124">
        <v>6371</v>
      </c>
      <c r="J104" s="138">
        <v>10600</v>
      </c>
      <c r="K104" s="124">
        <v>6660</v>
      </c>
      <c r="L104" s="124">
        <v>0</v>
      </c>
      <c r="M104" s="124">
        <v>6000</v>
      </c>
      <c r="N104" s="124">
        <v>3000</v>
      </c>
      <c r="O104" s="1"/>
    </row>
    <row r="105" spans="1:15" ht="15.75" thickBot="1" x14ac:dyDescent="0.3">
      <c r="A105" s="125" t="s">
        <v>72</v>
      </c>
      <c r="B105" s="126"/>
      <c r="C105" s="106">
        <f t="shared" ref="C105:N105" si="32">SUM(C106)</f>
        <v>1395</v>
      </c>
      <c r="D105" s="107">
        <f t="shared" si="32"/>
        <v>1431</v>
      </c>
      <c r="E105" s="106">
        <f t="shared" si="32"/>
        <v>1635</v>
      </c>
      <c r="F105" s="108">
        <f t="shared" ref="F105" si="33">SUM(F106)</f>
        <v>15024.4</v>
      </c>
      <c r="G105" s="108">
        <f t="shared" ref="G105" si="34">SUM(G106)</f>
        <v>19405</v>
      </c>
      <c r="H105" s="108">
        <f t="shared" ref="H105:I105" si="35">SUM(H106)</f>
        <v>6417</v>
      </c>
      <c r="I105" s="108">
        <f t="shared" si="35"/>
        <v>4706</v>
      </c>
      <c r="J105" s="108">
        <f t="shared" si="32"/>
        <v>5000</v>
      </c>
      <c r="K105" s="108">
        <f t="shared" ref="K105" si="36">SUM(K106)</f>
        <v>5015</v>
      </c>
      <c r="L105" s="108">
        <f t="shared" si="32"/>
        <v>2670</v>
      </c>
      <c r="M105" s="108">
        <f t="shared" si="32"/>
        <v>2690</v>
      </c>
      <c r="N105" s="108">
        <f t="shared" si="32"/>
        <v>2710</v>
      </c>
      <c r="O105" s="1"/>
    </row>
    <row r="106" spans="1:15" ht="15.75" thickBot="1" x14ac:dyDescent="0.3">
      <c r="A106" s="127" t="s">
        <v>73</v>
      </c>
      <c r="B106" s="102" t="s">
        <v>219</v>
      </c>
      <c r="C106" s="128">
        <v>1395</v>
      </c>
      <c r="D106" s="129">
        <v>1431</v>
      </c>
      <c r="E106" s="128">
        <v>1635</v>
      </c>
      <c r="F106" s="130">
        <v>15024.4</v>
      </c>
      <c r="G106" s="130">
        <v>19405</v>
      </c>
      <c r="H106" s="130">
        <v>6417</v>
      </c>
      <c r="I106" s="130">
        <v>4706</v>
      </c>
      <c r="J106" s="130">
        <v>5000</v>
      </c>
      <c r="K106" s="130">
        <v>5015</v>
      </c>
      <c r="L106" s="130">
        <v>2670</v>
      </c>
      <c r="M106" s="130">
        <v>2690</v>
      </c>
      <c r="N106" s="130">
        <v>2710</v>
      </c>
      <c r="O106" s="1"/>
    </row>
    <row r="107" spans="1:15" ht="15.75" thickBot="1" x14ac:dyDescent="0.3">
      <c r="A107" s="125" t="s">
        <v>74</v>
      </c>
      <c r="B107" s="126"/>
      <c r="C107" s="106">
        <f t="shared" ref="C107:E107" si="37">SUM(C108:C109)</f>
        <v>9689</v>
      </c>
      <c r="D107" s="107">
        <f t="shared" si="37"/>
        <v>8988</v>
      </c>
      <c r="E107" s="106">
        <f t="shared" si="37"/>
        <v>11263</v>
      </c>
      <c r="F107" s="108">
        <f t="shared" ref="F107" si="38">SUM(F108:F109)</f>
        <v>11779</v>
      </c>
      <c r="G107" s="108">
        <f t="shared" ref="G107" si="39">SUM(G108:G109)</f>
        <v>12901</v>
      </c>
      <c r="H107" s="108">
        <f t="shared" ref="H107:I107" si="40">SUM(H108:H109)</f>
        <v>15196</v>
      </c>
      <c r="I107" s="108">
        <f t="shared" si="40"/>
        <v>27373</v>
      </c>
      <c r="J107" s="108">
        <f t="shared" ref="J107:N107" si="41">SUM(J108:J109)</f>
        <v>24600</v>
      </c>
      <c r="K107" s="108">
        <f t="shared" ref="K107" si="42">SUM(K108:K109)</f>
        <v>79490</v>
      </c>
      <c r="L107" s="108">
        <f t="shared" ref="L107" si="43">SUM(L108:L109)</f>
        <v>96625</v>
      </c>
      <c r="M107" s="108">
        <f t="shared" si="41"/>
        <v>96625</v>
      </c>
      <c r="N107" s="108">
        <f t="shared" si="41"/>
        <v>20900</v>
      </c>
      <c r="O107" s="1"/>
    </row>
    <row r="108" spans="1:15" x14ac:dyDescent="0.25">
      <c r="A108" s="131" t="s">
        <v>75</v>
      </c>
      <c r="B108" s="132" t="s">
        <v>76</v>
      </c>
      <c r="C108" s="133">
        <v>8907</v>
      </c>
      <c r="D108" s="134">
        <v>8297</v>
      </c>
      <c r="E108" s="133">
        <v>10063</v>
      </c>
      <c r="F108" s="135">
        <v>10579</v>
      </c>
      <c r="G108" s="135">
        <v>11158</v>
      </c>
      <c r="H108" s="135">
        <v>13996</v>
      </c>
      <c r="I108" s="135">
        <v>23471</v>
      </c>
      <c r="J108" s="133">
        <v>21300</v>
      </c>
      <c r="K108" s="135">
        <v>22230</v>
      </c>
      <c r="L108" s="135">
        <v>17600</v>
      </c>
      <c r="M108" s="135">
        <v>17600</v>
      </c>
      <c r="N108" s="135">
        <v>17600</v>
      </c>
      <c r="O108" s="1"/>
    </row>
    <row r="109" spans="1:15" ht="15.75" thickBot="1" x14ac:dyDescent="0.3">
      <c r="A109" s="136" t="s">
        <v>77</v>
      </c>
      <c r="B109" s="137" t="s">
        <v>78</v>
      </c>
      <c r="C109" s="138">
        <v>782</v>
      </c>
      <c r="D109" s="139">
        <v>691</v>
      </c>
      <c r="E109" s="138">
        <v>1200</v>
      </c>
      <c r="F109" s="124">
        <v>1200</v>
      </c>
      <c r="G109" s="124">
        <v>1743</v>
      </c>
      <c r="H109" s="124">
        <v>1200</v>
      </c>
      <c r="I109" s="124">
        <v>3902</v>
      </c>
      <c r="J109" s="138">
        <v>3300</v>
      </c>
      <c r="K109" s="124">
        <v>57260</v>
      </c>
      <c r="L109" s="124">
        <v>79025</v>
      </c>
      <c r="M109" s="124">
        <v>79025</v>
      </c>
      <c r="N109" s="124">
        <v>3300</v>
      </c>
      <c r="O109" s="1"/>
    </row>
    <row r="110" spans="1:15" ht="15.75" thickBot="1" x14ac:dyDescent="0.3">
      <c r="A110" s="104" t="s">
        <v>79</v>
      </c>
      <c r="B110" s="140"/>
      <c r="C110" s="106">
        <f t="shared" ref="C110:N110" si="44">SUM(C111:C113)</f>
        <v>56288</v>
      </c>
      <c r="D110" s="107">
        <f t="shared" si="44"/>
        <v>63855</v>
      </c>
      <c r="E110" s="106">
        <f t="shared" si="44"/>
        <v>56565</v>
      </c>
      <c r="F110" s="108">
        <f t="shared" ref="F110" si="45">SUM(F111:F113)</f>
        <v>56275</v>
      </c>
      <c r="G110" s="108">
        <f t="shared" ref="G110" si="46">SUM(G111:G113)</f>
        <v>123539</v>
      </c>
      <c r="H110" s="108">
        <f t="shared" ref="H110:I110" si="47">SUM(H111:H113)</f>
        <v>59938</v>
      </c>
      <c r="I110" s="108">
        <f t="shared" si="47"/>
        <v>63940</v>
      </c>
      <c r="J110" s="108">
        <f t="shared" si="44"/>
        <v>106840</v>
      </c>
      <c r="K110" s="108">
        <f t="shared" ref="K110" si="48">SUM(K111:K113)</f>
        <v>110643</v>
      </c>
      <c r="L110" s="108">
        <f t="shared" ref="L110" si="49">SUM(L111:L113)</f>
        <v>122230</v>
      </c>
      <c r="M110" s="108">
        <f t="shared" si="44"/>
        <v>146810</v>
      </c>
      <c r="N110" s="108">
        <f t="shared" si="44"/>
        <v>218900</v>
      </c>
      <c r="O110" s="1"/>
    </row>
    <row r="111" spans="1:15" x14ac:dyDescent="0.25">
      <c r="A111" s="141" t="s">
        <v>80</v>
      </c>
      <c r="B111" s="142" t="s">
        <v>81</v>
      </c>
      <c r="C111" s="54">
        <v>19779</v>
      </c>
      <c r="D111" s="143">
        <v>23803</v>
      </c>
      <c r="E111" s="144">
        <v>22533</v>
      </c>
      <c r="F111" s="55">
        <v>17512</v>
      </c>
      <c r="G111" s="55">
        <v>22224</v>
      </c>
      <c r="H111" s="55">
        <v>21138</v>
      </c>
      <c r="I111" s="55">
        <v>22676</v>
      </c>
      <c r="J111" s="144">
        <v>45900</v>
      </c>
      <c r="K111" s="55">
        <v>46100</v>
      </c>
      <c r="L111" s="55">
        <v>44750</v>
      </c>
      <c r="M111" s="55">
        <v>29250</v>
      </c>
      <c r="N111" s="55">
        <v>29250</v>
      </c>
      <c r="O111" s="1"/>
    </row>
    <row r="112" spans="1:15" x14ac:dyDescent="0.25">
      <c r="A112" s="117" t="s">
        <v>82</v>
      </c>
      <c r="B112" s="114" t="s">
        <v>83</v>
      </c>
      <c r="C112" s="62">
        <v>17838</v>
      </c>
      <c r="D112" s="145">
        <v>18459</v>
      </c>
      <c r="E112" s="146">
        <v>23593</v>
      </c>
      <c r="F112" s="60">
        <v>24873</v>
      </c>
      <c r="G112" s="60">
        <v>25498</v>
      </c>
      <c r="H112" s="60">
        <v>25064</v>
      </c>
      <c r="I112" s="60">
        <v>27940</v>
      </c>
      <c r="J112" s="148">
        <v>37440</v>
      </c>
      <c r="K112" s="60">
        <v>41043</v>
      </c>
      <c r="L112" s="60">
        <v>39680</v>
      </c>
      <c r="M112" s="60">
        <v>39680</v>
      </c>
      <c r="N112" s="60">
        <v>39680</v>
      </c>
      <c r="O112" s="1"/>
    </row>
    <row r="113" spans="1:15" ht="15.75" thickBot="1" x14ac:dyDescent="0.3">
      <c r="A113" s="117" t="s">
        <v>84</v>
      </c>
      <c r="B113" s="114" t="s">
        <v>85</v>
      </c>
      <c r="C113" s="59">
        <v>18671</v>
      </c>
      <c r="D113" s="147">
        <v>21593</v>
      </c>
      <c r="E113" s="148">
        <v>10439</v>
      </c>
      <c r="F113" s="60">
        <v>13890</v>
      </c>
      <c r="G113" s="60">
        <v>75817</v>
      </c>
      <c r="H113" s="60">
        <v>13736</v>
      </c>
      <c r="I113" s="60">
        <v>13324</v>
      </c>
      <c r="J113" s="148">
        <v>23500</v>
      </c>
      <c r="K113" s="60">
        <v>23500</v>
      </c>
      <c r="L113" s="60">
        <v>37800</v>
      </c>
      <c r="M113" s="60">
        <v>77880</v>
      </c>
      <c r="N113" s="60">
        <v>149970</v>
      </c>
      <c r="O113" s="1"/>
    </row>
    <row r="114" spans="1:15" ht="15.75" thickBot="1" x14ac:dyDescent="0.3">
      <c r="A114" s="621" t="s">
        <v>86</v>
      </c>
      <c r="B114" s="622"/>
      <c r="C114" s="106">
        <f t="shared" ref="C114:E114" si="50">SUM(C115:C118)</f>
        <v>78137</v>
      </c>
      <c r="D114" s="107">
        <f t="shared" si="50"/>
        <v>81463</v>
      </c>
      <c r="E114" s="106">
        <f t="shared" si="50"/>
        <v>90857</v>
      </c>
      <c r="F114" s="108">
        <f t="shared" ref="F114" si="51">SUM(F115:F118)</f>
        <v>85176</v>
      </c>
      <c r="G114" s="108">
        <f t="shared" ref="G114" si="52">SUM(G115:G118)</f>
        <v>98095</v>
      </c>
      <c r="H114" s="108">
        <f t="shared" ref="H114:I114" si="53">SUM(H115:H118)</f>
        <v>102087</v>
      </c>
      <c r="I114" s="108">
        <f t="shared" si="53"/>
        <v>131405</v>
      </c>
      <c r="J114" s="108">
        <f t="shared" ref="J114:N114" si="54">SUM(J115:J118)</f>
        <v>148890</v>
      </c>
      <c r="K114" s="108">
        <f t="shared" ref="K114" si="55">SUM(K115:K118)</f>
        <v>151170</v>
      </c>
      <c r="L114" s="108">
        <f t="shared" ref="L114" si="56">SUM(L115:L118)</f>
        <v>148830</v>
      </c>
      <c r="M114" s="108">
        <f t="shared" si="54"/>
        <v>133400</v>
      </c>
      <c r="N114" s="108">
        <f t="shared" si="54"/>
        <v>134500</v>
      </c>
      <c r="O114" s="1"/>
    </row>
    <row r="115" spans="1:15" x14ac:dyDescent="0.25">
      <c r="A115" s="149" t="s">
        <v>87</v>
      </c>
      <c r="B115" s="150" t="s">
        <v>88</v>
      </c>
      <c r="C115" s="151">
        <v>41225</v>
      </c>
      <c r="D115" s="152">
        <v>46871</v>
      </c>
      <c r="E115" s="153">
        <v>55351</v>
      </c>
      <c r="F115" s="135">
        <v>53221</v>
      </c>
      <c r="G115" s="135">
        <v>57519</v>
      </c>
      <c r="H115" s="135">
        <v>60933</v>
      </c>
      <c r="I115" s="135">
        <v>58869</v>
      </c>
      <c r="J115" s="133">
        <v>84600</v>
      </c>
      <c r="K115" s="135">
        <v>92860</v>
      </c>
      <c r="L115" s="135">
        <v>95830</v>
      </c>
      <c r="M115" s="135">
        <v>83300</v>
      </c>
      <c r="N115" s="135">
        <v>83300</v>
      </c>
      <c r="O115" s="1"/>
    </row>
    <row r="116" spans="1:15" x14ac:dyDescent="0.25">
      <c r="A116" s="117" t="s">
        <v>89</v>
      </c>
      <c r="B116" s="114" t="s">
        <v>90</v>
      </c>
      <c r="C116" s="154">
        <v>33622</v>
      </c>
      <c r="D116" s="145">
        <v>29509</v>
      </c>
      <c r="E116" s="146">
        <v>30304</v>
      </c>
      <c r="F116" s="148">
        <v>27431</v>
      </c>
      <c r="G116" s="148">
        <v>34393</v>
      </c>
      <c r="H116" s="148">
        <v>33810</v>
      </c>
      <c r="I116" s="148">
        <v>65220</v>
      </c>
      <c r="J116" s="148">
        <v>50000</v>
      </c>
      <c r="K116" s="148">
        <v>44020</v>
      </c>
      <c r="L116" s="148">
        <v>39000</v>
      </c>
      <c r="M116" s="148">
        <v>37800</v>
      </c>
      <c r="N116" s="148">
        <v>38900</v>
      </c>
      <c r="O116" s="1"/>
    </row>
    <row r="117" spans="1:15" x14ac:dyDescent="0.25">
      <c r="A117" s="127" t="s">
        <v>91</v>
      </c>
      <c r="B117" s="155" t="s">
        <v>92</v>
      </c>
      <c r="C117" s="156">
        <v>746</v>
      </c>
      <c r="D117" s="157">
        <v>1245</v>
      </c>
      <c r="E117" s="158">
        <v>1073</v>
      </c>
      <c r="F117" s="159">
        <v>1299</v>
      </c>
      <c r="G117" s="159">
        <v>1269</v>
      </c>
      <c r="H117" s="159">
        <v>1302</v>
      </c>
      <c r="I117" s="159">
        <v>1478</v>
      </c>
      <c r="J117" s="159">
        <v>1800</v>
      </c>
      <c r="K117" s="159">
        <v>1800</v>
      </c>
      <c r="L117" s="159">
        <v>2000</v>
      </c>
      <c r="M117" s="159">
        <v>2000</v>
      </c>
      <c r="N117" s="159">
        <v>2000</v>
      </c>
      <c r="O117" s="1"/>
    </row>
    <row r="118" spans="1:15" ht="15.75" thickBot="1" x14ac:dyDescent="0.3">
      <c r="A118" s="160" t="s">
        <v>93</v>
      </c>
      <c r="B118" s="161" t="s">
        <v>94</v>
      </c>
      <c r="C118" s="162">
        <v>2544</v>
      </c>
      <c r="D118" s="163">
        <v>3838</v>
      </c>
      <c r="E118" s="164">
        <v>4129</v>
      </c>
      <c r="F118" s="164">
        <v>3225</v>
      </c>
      <c r="G118" s="170">
        <v>4914</v>
      </c>
      <c r="H118" s="164">
        <v>6042</v>
      </c>
      <c r="I118" s="164">
        <v>5838</v>
      </c>
      <c r="J118" s="170">
        <v>12490</v>
      </c>
      <c r="K118" s="164">
        <v>12490</v>
      </c>
      <c r="L118" s="170">
        <v>12000</v>
      </c>
      <c r="M118" s="164">
        <v>10300</v>
      </c>
      <c r="N118" s="164">
        <v>10300</v>
      </c>
      <c r="O118" s="1"/>
    </row>
    <row r="119" spans="1:15" ht="15.75" thickBot="1" x14ac:dyDescent="0.3">
      <c r="A119" s="104" t="s">
        <v>95</v>
      </c>
      <c r="B119" s="140"/>
      <c r="C119" s="106">
        <f t="shared" ref="C119:E119" si="57">SUM(C120:C123)</f>
        <v>107398</v>
      </c>
      <c r="D119" s="107">
        <f t="shared" si="57"/>
        <v>124762</v>
      </c>
      <c r="E119" s="106">
        <f t="shared" si="57"/>
        <v>130822</v>
      </c>
      <c r="F119" s="106">
        <f t="shared" ref="F119" si="58">SUM(F120:F123)</f>
        <v>125647</v>
      </c>
      <c r="G119" s="106">
        <f t="shared" ref="G119" si="59">SUM(G120:G123)</f>
        <v>124483</v>
      </c>
      <c r="H119" s="106">
        <f t="shared" ref="H119:I119" si="60">SUM(H120:H123)</f>
        <v>151919</v>
      </c>
      <c r="I119" s="106">
        <f t="shared" si="60"/>
        <v>213260</v>
      </c>
      <c r="J119" s="106">
        <f t="shared" ref="J119:N119" si="61">SUM(J120:J123)</f>
        <v>222291</v>
      </c>
      <c r="K119" s="106">
        <f t="shared" ref="K119" si="62">SUM(K120:K123)</f>
        <v>233766</v>
      </c>
      <c r="L119" s="106">
        <f t="shared" ref="L119" si="63">SUM(L120:L123)</f>
        <v>222450</v>
      </c>
      <c r="M119" s="106">
        <f t="shared" si="61"/>
        <v>259900</v>
      </c>
      <c r="N119" s="106">
        <f t="shared" si="61"/>
        <v>259900</v>
      </c>
      <c r="O119" s="1"/>
    </row>
    <row r="120" spans="1:15" x14ac:dyDescent="0.25">
      <c r="A120" s="141" t="s">
        <v>96</v>
      </c>
      <c r="B120" s="84" t="s">
        <v>97</v>
      </c>
      <c r="C120" s="110">
        <v>78470</v>
      </c>
      <c r="D120" s="111">
        <v>88196</v>
      </c>
      <c r="E120" s="165">
        <v>96103</v>
      </c>
      <c r="F120" s="112">
        <v>81828</v>
      </c>
      <c r="G120" s="112">
        <v>92771</v>
      </c>
      <c r="H120" s="112">
        <v>111832</v>
      </c>
      <c r="I120" s="112">
        <v>132591</v>
      </c>
      <c r="J120" s="112">
        <v>155451</v>
      </c>
      <c r="K120" s="112">
        <v>155121</v>
      </c>
      <c r="L120" s="112">
        <v>168170</v>
      </c>
      <c r="M120" s="112">
        <v>207200</v>
      </c>
      <c r="N120" s="112">
        <v>207200</v>
      </c>
      <c r="O120" s="1"/>
    </row>
    <row r="121" spans="1:15" x14ac:dyDescent="0.25">
      <c r="A121" s="141" t="s">
        <v>302</v>
      </c>
      <c r="B121" s="84" t="s">
        <v>323</v>
      </c>
      <c r="C121" s="110"/>
      <c r="D121" s="111"/>
      <c r="E121" s="165"/>
      <c r="F121" s="112"/>
      <c r="G121" s="112"/>
      <c r="H121" s="112">
        <v>0</v>
      </c>
      <c r="I121" s="112">
        <v>0</v>
      </c>
      <c r="J121" s="112">
        <v>0</v>
      </c>
      <c r="K121" s="112">
        <v>2100</v>
      </c>
      <c r="L121" s="112">
        <v>1580</v>
      </c>
      <c r="M121" s="112">
        <v>0</v>
      </c>
      <c r="N121" s="112">
        <v>0</v>
      </c>
      <c r="O121" s="1"/>
    </row>
    <row r="122" spans="1:15" x14ac:dyDescent="0.25">
      <c r="A122" s="166" t="s">
        <v>98</v>
      </c>
      <c r="B122" s="114" t="s">
        <v>99</v>
      </c>
      <c r="C122" s="62">
        <v>18042</v>
      </c>
      <c r="D122" s="145">
        <v>16953</v>
      </c>
      <c r="E122" s="146">
        <v>17218</v>
      </c>
      <c r="F122" s="148">
        <v>27299</v>
      </c>
      <c r="G122" s="148">
        <v>18397</v>
      </c>
      <c r="H122" s="148">
        <v>18379</v>
      </c>
      <c r="I122" s="148">
        <v>61618</v>
      </c>
      <c r="J122" s="148">
        <v>49600</v>
      </c>
      <c r="K122" s="148">
        <v>58100</v>
      </c>
      <c r="L122" s="148">
        <v>35700</v>
      </c>
      <c r="M122" s="148">
        <v>35700</v>
      </c>
      <c r="N122" s="148">
        <v>35700</v>
      </c>
      <c r="O122" s="1"/>
    </row>
    <row r="123" spans="1:15" ht="15.75" thickBot="1" x14ac:dyDescent="0.3">
      <c r="A123" s="167" t="s">
        <v>100</v>
      </c>
      <c r="B123" s="161" t="s">
        <v>101</v>
      </c>
      <c r="C123" s="168">
        <v>10886</v>
      </c>
      <c r="D123" s="169">
        <v>19613</v>
      </c>
      <c r="E123" s="170">
        <v>17501</v>
      </c>
      <c r="F123" s="170">
        <v>16520</v>
      </c>
      <c r="G123" s="170">
        <v>13315</v>
      </c>
      <c r="H123" s="170">
        <v>21708</v>
      </c>
      <c r="I123" s="170">
        <v>19051</v>
      </c>
      <c r="J123" s="170">
        <v>17240</v>
      </c>
      <c r="K123" s="170">
        <v>18445</v>
      </c>
      <c r="L123" s="170">
        <v>17000</v>
      </c>
      <c r="M123" s="170">
        <v>17000</v>
      </c>
      <c r="N123" s="170">
        <v>17000</v>
      </c>
      <c r="O123" s="1"/>
    </row>
    <row r="124" spans="1:15" ht="15.75" thickBot="1" x14ac:dyDescent="0.3">
      <c r="A124" s="171" t="s">
        <v>102</v>
      </c>
      <c r="B124" s="172"/>
      <c r="C124" s="173">
        <f t="shared" ref="C124:E124" si="64">SUM(C125:C128)</f>
        <v>462</v>
      </c>
      <c r="D124" s="174">
        <f t="shared" si="64"/>
        <v>115</v>
      </c>
      <c r="E124" s="173">
        <f t="shared" si="64"/>
        <v>855</v>
      </c>
      <c r="F124" s="173">
        <f t="shared" ref="F124" si="65">SUM(F125:F128)</f>
        <v>216</v>
      </c>
      <c r="G124" s="405">
        <f t="shared" ref="G124" si="66">SUM(G125:G128)</f>
        <v>57760</v>
      </c>
      <c r="H124" s="173">
        <f t="shared" ref="H124:I124" si="67">SUM(H125:H128)</f>
        <v>1097</v>
      </c>
      <c r="I124" s="173">
        <f t="shared" si="67"/>
        <v>520</v>
      </c>
      <c r="J124" s="173">
        <f t="shared" ref="J124:N124" si="68">SUM(J125:J128)</f>
        <v>830</v>
      </c>
      <c r="K124" s="173">
        <f t="shared" ref="K124" si="69">SUM(K125:K128)</f>
        <v>830</v>
      </c>
      <c r="L124" s="173">
        <f t="shared" ref="L124" si="70">SUM(L125:L128)</f>
        <v>850</v>
      </c>
      <c r="M124" s="173">
        <f t="shared" si="68"/>
        <v>850</v>
      </c>
      <c r="N124" s="173">
        <f t="shared" si="68"/>
        <v>850</v>
      </c>
      <c r="O124" s="1"/>
    </row>
    <row r="125" spans="1:15" x14ac:dyDescent="0.25">
      <c r="A125" s="131" t="s">
        <v>103</v>
      </c>
      <c r="B125" s="150" t="s">
        <v>104</v>
      </c>
      <c r="C125" s="175">
        <v>50</v>
      </c>
      <c r="D125" s="176">
        <v>0</v>
      </c>
      <c r="E125" s="153">
        <v>40</v>
      </c>
      <c r="F125" s="177">
        <v>0</v>
      </c>
      <c r="G125" s="177">
        <v>0</v>
      </c>
      <c r="H125" s="177">
        <v>50</v>
      </c>
      <c r="I125" s="177">
        <v>7</v>
      </c>
      <c r="J125" s="153">
        <v>100</v>
      </c>
      <c r="K125" s="177">
        <v>100</v>
      </c>
      <c r="L125" s="177">
        <v>100</v>
      </c>
      <c r="M125" s="177">
        <v>100</v>
      </c>
      <c r="N125" s="177">
        <v>100</v>
      </c>
      <c r="O125" s="1"/>
    </row>
    <row r="126" spans="1:15" x14ac:dyDescent="0.25">
      <c r="A126" s="166" t="s">
        <v>105</v>
      </c>
      <c r="B126" s="114" t="s">
        <v>106</v>
      </c>
      <c r="C126" s="62">
        <v>84</v>
      </c>
      <c r="D126" s="178">
        <v>3</v>
      </c>
      <c r="E126" s="179">
        <v>28</v>
      </c>
      <c r="F126" s="180">
        <v>76</v>
      </c>
      <c r="G126" s="180">
        <v>8</v>
      </c>
      <c r="H126" s="180">
        <v>45</v>
      </c>
      <c r="I126" s="180">
        <v>18</v>
      </c>
      <c r="J126" s="179">
        <v>100</v>
      </c>
      <c r="K126" s="180">
        <v>100</v>
      </c>
      <c r="L126" s="180">
        <v>100</v>
      </c>
      <c r="M126" s="180">
        <v>100</v>
      </c>
      <c r="N126" s="180">
        <v>100</v>
      </c>
      <c r="O126" s="1"/>
    </row>
    <row r="127" spans="1:15" x14ac:dyDescent="0.25">
      <c r="A127" s="166" t="s">
        <v>107</v>
      </c>
      <c r="B127" s="114" t="s">
        <v>108</v>
      </c>
      <c r="C127" s="62">
        <v>328</v>
      </c>
      <c r="D127" s="178">
        <v>112</v>
      </c>
      <c r="E127" s="146">
        <v>487</v>
      </c>
      <c r="F127" s="60">
        <v>140</v>
      </c>
      <c r="G127" s="60">
        <v>235</v>
      </c>
      <c r="H127" s="60">
        <v>235</v>
      </c>
      <c r="I127" s="60">
        <v>495</v>
      </c>
      <c r="J127" s="148">
        <v>630</v>
      </c>
      <c r="K127" s="60">
        <v>630</v>
      </c>
      <c r="L127" s="60">
        <v>650</v>
      </c>
      <c r="M127" s="60">
        <v>650</v>
      </c>
      <c r="N127" s="60">
        <v>650</v>
      </c>
      <c r="O127" s="1"/>
    </row>
    <row r="128" spans="1:15" ht="15.75" thickBot="1" x14ac:dyDescent="0.3">
      <c r="A128" s="183" t="s">
        <v>109</v>
      </c>
      <c r="B128" s="184" t="s">
        <v>206</v>
      </c>
      <c r="C128" s="185">
        <v>0</v>
      </c>
      <c r="D128" s="186">
        <v>0</v>
      </c>
      <c r="E128" s="123">
        <v>300</v>
      </c>
      <c r="F128" s="187">
        <v>0</v>
      </c>
      <c r="G128" s="397">
        <v>57517</v>
      </c>
      <c r="H128" s="187">
        <v>767</v>
      </c>
      <c r="I128" s="187">
        <v>0</v>
      </c>
      <c r="J128" s="187">
        <v>0</v>
      </c>
      <c r="K128" s="187">
        <v>0</v>
      </c>
      <c r="L128" s="187">
        <v>0</v>
      </c>
      <c r="M128" s="187">
        <v>0</v>
      </c>
      <c r="N128" s="187">
        <v>0</v>
      </c>
      <c r="O128" s="1"/>
    </row>
    <row r="129" spans="1:20" ht="15.75" thickBot="1" x14ac:dyDescent="0.3">
      <c r="A129" s="188" t="s">
        <v>110</v>
      </c>
      <c r="B129" s="189"/>
      <c r="C129" s="190">
        <f t="shared" ref="C129:G129" si="71">SUM(C130:C134)</f>
        <v>113224</v>
      </c>
      <c r="D129" s="191">
        <f t="shared" si="71"/>
        <v>129064</v>
      </c>
      <c r="E129" s="190">
        <f t="shared" si="71"/>
        <v>134379</v>
      </c>
      <c r="F129" s="190">
        <f t="shared" ref="F129" si="72">SUM(F130:F134)</f>
        <v>84983</v>
      </c>
      <c r="G129" s="190">
        <f t="shared" si="71"/>
        <v>60618</v>
      </c>
      <c r="H129" s="190">
        <f t="shared" ref="H129:I129" si="73">SUM(H130:H134)</f>
        <v>113059</v>
      </c>
      <c r="I129" s="190">
        <f t="shared" si="73"/>
        <v>113320</v>
      </c>
      <c r="J129" s="190">
        <f t="shared" ref="J129:N129" si="74">SUM(J130:J134)</f>
        <v>131400</v>
      </c>
      <c r="K129" s="190">
        <f t="shared" ref="K129" si="75">SUM(K130:K134)</f>
        <v>140405</v>
      </c>
      <c r="L129" s="190">
        <f t="shared" ref="L129" si="76">SUM(L130:L134)</f>
        <v>131700</v>
      </c>
      <c r="M129" s="190">
        <f t="shared" si="74"/>
        <v>121700</v>
      </c>
      <c r="N129" s="190">
        <f t="shared" si="74"/>
        <v>121700</v>
      </c>
      <c r="O129" s="1"/>
    </row>
    <row r="130" spans="1:20" x14ac:dyDescent="0.25">
      <c r="A130" s="149" t="s">
        <v>111</v>
      </c>
      <c r="B130" s="150" t="s">
        <v>112</v>
      </c>
      <c r="C130" s="175">
        <v>14818</v>
      </c>
      <c r="D130" s="152">
        <v>21592</v>
      </c>
      <c r="E130" s="133">
        <v>16936</v>
      </c>
      <c r="F130" s="135">
        <v>11627</v>
      </c>
      <c r="G130" s="135">
        <v>13339</v>
      </c>
      <c r="H130" s="135">
        <v>25260</v>
      </c>
      <c r="I130" s="135">
        <v>45180</v>
      </c>
      <c r="J130" s="133">
        <v>46000</v>
      </c>
      <c r="K130" s="135">
        <v>45125</v>
      </c>
      <c r="L130" s="135">
        <v>40000</v>
      </c>
      <c r="M130" s="135">
        <v>40000</v>
      </c>
      <c r="N130" s="135">
        <v>40000</v>
      </c>
      <c r="O130" s="1"/>
    </row>
    <row r="131" spans="1:20" x14ac:dyDescent="0.25">
      <c r="A131" s="192" t="s">
        <v>113</v>
      </c>
      <c r="B131" s="193" t="s">
        <v>114</v>
      </c>
      <c r="C131" s="54">
        <v>77935</v>
      </c>
      <c r="D131" s="194">
        <v>86797</v>
      </c>
      <c r="E131" s="144">
        <v>80713</v>
      </c>
      <c r="F131" s="55">
        <v>14925</v>
      </c>
      <c r="G131" s="55">
        <v>23993</v>
      </c>
      <c r="H131" s="55">
        <v>61382</v>
      </c>
      <c r="I131" s="55">
        <v>45013</v>
      </c>
      <c r="J131" s="144">
        <v>55500</v>
      </c>
      <c r="K131" s="55">
        <v>64730</v>
      </c>
      <c r="L131" s="55">
        <v>61600</v>
      </c>
      <c r="M131" s="55">
        <v>54100</v>
      </c>
      <c r="N131" s="55">
        <v>54100</v>
      </c>
      <c r="O131" s="1"/>
    </row>
    <row r="132" spans="1:20" x14ac:dyDescent="0.25">
      <c r="A132" s="192" t="s">
        <v>115</v>
      </c>
      <c r="B132" s="84" t="s">
        <v>116</v>
      </c>
      <c r="C132" s="110">
        <v>3135</v>
      </c>
      <c r="D132" s="195">
        <v>2921</v>
      </c>
      <c r="E132" s="144">
        <v>3189</v>
      </c>
      <c r="F132" s="55">
        <v>8792</v>
      </c>
      <c r="G132" s="55">
        <v>4003</v>
      </c>
      <c r="H132" s="55">
        <v>4467</v>
      </c>
      <c r="I132" s="55">
        <v>4079</v>
      </c>
      <c r="J132" s="144">
        <v>5800</v>
      </c>
      <c r="K132" s="55">
        <v>5800</v>
      </c>
      <c r="L132" s="55">
        <v>5900</v>
      </c>
      <c r="M132" s="55">
        <v>5900</v>
      </c>
      <c r="N132" s="55">
        <v>5900</v>
      </c>
      <c r="O132" s="1"/>
    </row>
    <row r="133" spans="1:20" x14ac:dyDescent="0.25">
      <c r="A133" s="192" t="s">
        <v>117</v>
      </c>
      <c r="B133" s="84" t="s">
        <v>118</v>
      </c>
      <c r="C133" s="110">
        <v>8294</v>
      </c>
      <c r="D133" s="195">
        <v>9794</v>
      </c>
      <c r="E133" s="144">
        <v>11638</v>
      </c>
      <c r="F133" s="55">
        <v>44656</v>
      </c>
      <c r="G133" s="55">
        <v>15204</v>
      </c>
      <c r="H133" s="55">
        <v>12029</v>
      </c>
      <c r="I133" s="55">
        <v>14230</v>
      </c>
      <c r="J133" s="144">
        <v>19000</v>
      </c>
      <c r="K133" s="55">
        <v>19650</v>
      </c>
      <c r="L133" s="55">
        <v>22400</v>
      </c>
      <c r="M133" s="55">
        <v>21700</v>
      </c>
      <c r="N133" s="55">
        <v>21700</v>
      </c>
      <c r="O133" s="1"/>
    </row>
    <row r="134" spans="1:20" ht="15.75" thickBot="1" x14ac:dyDescent="0.3">
      <c r="A134" s="160" t="s">
        <v>119</v>
      </c>
      <c r="B134" s="161" t="s">
        <v>120</v>
      </c>
      <c r="C134" s="181">
        <v>9042</v>
      </c>
      <c r="D134" s="163">
        <v>7960</v>
      </c>
      <c r="E134" s="170">
        <v>21903</v>
      </c>
      <c r="F134" s="182">
        <v>4983</v>
      </c>
      <c r="G134" s="182">
        <v>4079</v>
      </c>
      <c r="H134" s="182">
        <v>9921</v>
      </c>
      <c r="I134" s="182">
        <v>4818</v>
      </c>
      <c r="J134" s="170">
        <v>5100</v>
      </c>
      <c r="K134" s="182">
        <v>5100</v>
      </c>
      <c r="L134" s="182">
        <v>1800</v>
      </c>
      <c r="M134" s="182">
        <v>0</v>
      </c>
      <c r="N134" s="182">
        <v>0</v>
      </c>
      <c r="O134" s="1"/>
    </row>
    <row r="135" spans="1:20" ht="15.75" thickBot="1" x14ac:dyDescent="0.3">
      <c r="A135" s="125" t="s">
        <v>121</v>
      </c>
      <c r="B135" s="126"/>
      <c r="C135" s="106">
        <f t="shared" ref="C135:J135" si="77">SUM(C136:C143)</f>
        <v>308051</v>
      </c>
      <c r="D135" s="406">
        <f t="shared" si="77"/>
        <v>238428</v>
      </c>
      <c r="E135" s="106">
        <f t="shared" si="77"/>
        <v>293934</v>
      </c>
      <c r="F135" s="107">
        <f t="shared" si="77"/>
        <v>290046</v>
      </c>
      <c r="G135" s="107">
        <f t="shared" si="77"/>
        <v>299921</v>
      </c>
      <c r="H135" s="106">
        <f t="shared" si="77"/>
        <v>330122</v>
      </c>
      <c r="I135" s="106">
        <f t="shared" si="77"/>
        <v>372344</v>
      </c>
      <c r="J135" s="106">
        <f t="shared" si="77"/>
        <v>485000</v>
      </c>
      <c r="K135" s="106">
        <f t="shared" ref="K135" si="78">SUM(K136:K143)</f>
        <v>500983</v>
      </c>
      <c r="L135" s="106">
        <f t="shared" ref="L135" si="79">SUM(L136:L143)</f>
        <v>394150</v>
      </c>
      <c r="M135" s="106">
        <f>SUM(M136:M143)</f>
        <v>360150</v>
      </c>
      <c r="N135" s="106">
        <f>SUM(N136:N143)</f>
        <v>360150</v>
      </c>
      <c r="O135" s="1"/>
      <c r="P135" s="27"/>
      <c r="Q135" s="27"/>
    </row>
    <row r="136" spans="1:20" x14ac:dyDescent="0.25">
      <c r="A136" s="196" t="s">
        <v>122</v>
      </c>
      <c r="B136" s="197" t="s">
        <v>123</v>
      </c>
      <c r="C136" s="198">
        <v>104500</v>
      </c>
      <c r="D136" s="199">
        <v>108303</v>
      </c>
      <c r="E136" s="200">
        <v>140876</v>
      </c>
      <c r="F136" s="201">
        <v>135336</v>
      </c>
      <c r="G136" s="201">
        <v>141906</v>
      </c>
      <c r="H136" s="201">
        <v>151918</v>
      </c>
      <c r="I136" s="201">
        <v>169990</v>
      </c>
      <c r="J136" s="200">
        <v>203000</v>
      </c>
      <c r="K136" s="201">
        <v>210633</v>
      </c>
      <c r="L136" s="201">
        <v>200400</v>
      </c>
      <c r="M136" s="201">
        <v>167900</v>
      </c>
      <c r="N136" s="201">
        <v>167900</v>
      </c>
      <c r="O136" s="1"/>
    </row>
    <row r="137" spans="1:20" x14ac:dyDescent="0.25">
      <c r="A137" s="588" t="s">
        <v>124</v>
      </c>
      <c r="B137" s="142" t="s">
        <v>342</v>
      </c>
      <c r="C137" s="589"/>
      <c r="D137" s="590"/>
      <c r="E137" s="112"/>
      <c r="F137" s="56"/>
      <c r="G137" s="56"/>
      <c r="H137" s="56"/>
      <c r="I137" s="56"/>
      <c r="J137" s="112">
        <v>0</v>
      </c>
      <c r="K137" s="56">
        <v>3440</v>
      </c>
      <c r="L137" s="56"/>
      <c r="M137" s="56"/>
      <c r="N137" s="56"/>
      <c r="O137" s="1"/>
    </row>
    <row r="138" spans="1:20" x14ac:dyDescent="0.25">
      <c r="A138" s="202" t="s">
        <v>125</v>
      </c>
      <c r="B138" s="203" t="s">
        <v>126</v>
      </c>
      <c r="C138" s="59">
        <v>119829</v>
      </c>
      <c r="D138" s="147">
        <v>1639</v>
      </c>
      <c r="E138" s="116">
        <v>2223</v>
      </c>
      <c r="F138" s="61">
        <v>583</v>
      </c>
      <c r="G138" s="61">
        <v>1634</v>
      </c>
      <c r="H138" s="61">
        <v>3111</v>
      </c>
      <c r="I138" s="61">
        <v>2056</v>
      </c>
      <c r="J138" s="116">
        <v>3700</v>
      </c>
      <c r="K138" s="61">
        <v>5560</v>
      </c>
      <c r="L138" s="61">
        <v>6500</v>
      </c>
      <c r="M138" s="61">
        <v>5000</v>
      </c>
      <c r="N138" s="61">
        <v>5000</v>
      </c>
      <c r="O138" s="1"/>
    </row>
    <row r="139" spans="1:20" x14ac:dyDescent="0.25">
      <c r="A139" s="202" t="s">
        <v>127</v>
      </c>
      <c r="B139" s="203" t="s">
        <v>128</v>
      </c>
      <c r="C139" s="59">
        <v>10957</v>
      </c>
      <c r="D139" s="147">
        <v>20690</v>
      </c>
      <c r="E139" s="116">
        <v>26156</v>
      </c>
      <c r="F139" s="61">
        <v>21780</v>
      </c>
      <c r="G139" s="61">
        <v>17924</v>
      </c>
      <c r="H139" s="61">
        <v>21799</v>
      </c>
      <c r="I139" s="61">
        <v>32607</v>
      </c>
      <c r="J139" s="116">
        <v>44380</v>
      </c>
      <c r="K139" s="61">
        <v>44380</v>
      </c>
      <c r="L139" s="61">
        <v>36200</v>
      </c>
      <c r="M139" s="61">
        <v>36200</v>
      </c>
      <c r="N139" s="61">
        <v>36200</v>
      </c>
      <c r="O139" s="1"/>
    </row>
    <row r="140" spans="1:20" x14ac:dyDescent="0.25">
      <c r="A140" s="202" t="s">
        <v>129</v>
      </c>
      <c r="B140" s="203" t="s">
        <v>130</v>
      </c>
      <c r="C140" s="59">
        <v>16441</v>
      </c>
      <c r="D140" s="147">
        <v>31538</v>
      </c>
      <c r="E140" s="148">
        <v>34790</v>
      </c>
      <c r="F140" s="60">
        <v>22889</v>
      </c>
      <c r="G140" s="60">
        <v>24312</v>
      </c>
      <c r="H140" s="60">
        <v>25980</v>
      </c>
      <c r="I140" s="60">
        <v>37178</v>
      </c>
      <c r="J140" s="148">
        <v>87002</v>
      </c>
      <c r="K140" s="60">
        <v>87252</v>
      </c>
      <c r="L140" s="60">
        <v>53850</v>
      </c>
      <c r="M140" s="60">
        <v>53850</v>
      </c>
      <c r="N140" s="60">
        <v>53850</v>
      </c>
      <c r="O140" s="1"/>
      <c r="P140" s="381"/>
      <c r="Q140" s="381"/>
      <c r="T140" s="480"/>
    </row>
    <row r="141" spans="1:20" x14ac:dyDescent="0.25">
      <c r="A141" s="202" t="s">
        <v>131</v>
      </c>
      <c r="B141" s="203" t="s">
        <v>195</v>
      </c>
      <c r="C141" s="59">
        <v>16441</v>
      </c>
      <c r="D141" s="147">
        <v>31538</v>
      </c>
      <c r="E141" s="148">
        <v>41280</v>
      </c>
      <c r="F141" s="60">
        <v>95466</v>
      </c>
      <c r="G141" s="60">
        <v>99502</v>
      </c>
      <c r="H141" s="60">
        <v>110851</v>
      </c>
      <c r="I141" s="60">
        <v>111876</v>
      </c>
      <c r="J141" s="148">
        <v>145118</v>
      </c>
      <c r="K141" s="60">
        <v>147588</v>
      </c>
      <c r="L141" s="60">
        <v>94600</v>
      </c>
      <c r="M141" s="60">
        <v>94600</v>
      </c>
      <c r="N141" s="60">
        <v>94600</v>
      </c>
      <c r="O141" s="27">
        <f>SUM(L139:L141)</f>
        <v>184650</v>
      </c>
      <c r="P141" s="27">
        <f t="shared" ref="P141:Q141" si="80">SUM(M139:M141)</f>
        <v>184650</v>
      </c>
      <c r="Q141" s="27">
        <f t="shared" si="80"/>
        <v>184650</v>
      </c>
    </row>
    <row r="142" spans="1:20" x14ac:dyDescent="0.25">
      <c r="A142" s="204" t="s">
        <v>132</v>
      </c>
      <c r="B142" s="203" t="s">
        <v>310</v>
      </c>
      <c r="C142" s="205">
        <v>37289</v>
      </c>
      <c r="D142" s="206">
        <v>42027</v>
      </c>
      <c r="E142" s="207">
        <v>45408</v>
      </c>
      <c r="F142" s="208">
        <v>10455</v>
      </c>
      <c r="G142" s="208">
        <v>10450</v>
      </c>
      <c r="H142" s="208">
        <v>11403</v>
      </c>
      <c r="I142" s="208">
        <v>13407</v>
      </c>
      <c r="J142" s="207">
        <v>500</v>
      </c>
      <c r="K142" s="208">
        <v>1030</v>
      </c>
      <c r="L142" s="208">
        <v>1300</v>
      </c>
      <c r="M142" s="208">
        <v>1300</v>
      </c>
      <c r="N142" s="208">
        <v>1300</v>
      </c>
      <c r="O142" s="1"/>
    </row>
    <row r="143" spans="1:20" ht="15.75" thickBot="1" x14ac:dyDescent="0.3">
      <c r="A143" s="202" t="s">
        <v>133</v>
      </c>
      <c r="B143" s="203" t="s">
        <v>207</v>
      </c>
      <c r="C143" s="205">
        <v>2594</v>
      </c>
      <c r="D143" s="206">
        <v>2693</v>
      </c>
      <c r="E143" s="207">
        <v>3201</v>
      </c>
      <c r="F143" s="208">
        <v>3537</v>
      </c>
      <c r="G143" s="208">
        <v>4193</v>
      </c>
      <c r="H143" s="208">
        <v>5060</v>
      </c>
      <c r="I143" s="208">
        <v>5230</v>
      </c>
      <c r="J143" s="207">
        <v>1300</v>
      </c>
      <c r="K143" s="208">
        <v>1100</v>
      </c>
      <c r="L143" s="208">
        <v>1300</v>
      </c>
      <c r="M143" s="208">
        <v>1300</v>
      </c>
      <c r="N143" s="208">
        <v>1300</v>
      </c>
      <c r="O143" s="1"/>
    </row>
    <row r="144" spans="1:20" ht="15.75" thickBot="1" x14ac:dyDescent="0.3">
      <c r="A144" s="104" t="s">
        <v>134</v>
      </c>
      <c r="B144" s="105"/>
      <c r="C144" s="106">
        <f t="shared" ref="C144:G144" si="81">SUM(C145:C149)</f>
        <v>144398</v>
      </c>
      <c r="D144" s="107">
        <f t="shared" si="81"/>
        <v>164319</v>
      </c>
      <c r="E144" s="106">
        <f t="shared" si="81"/>
        <v>208490</v>
      </c>
      <c r="F144" s="108">
        <f t="shared" ref="F144" si="82">SUM(F145:F149)</f>
        <v>225543</v>
      </c>
      <c r="G144" s="108">
        <f t="shared" si="81"/>
        <v>226265</v>
      </c>
      <c r="H144" s="108">
        <f t="shared" ref="H144:I144" si="83">SUM(H145:H149)</f>
        <v>256253</v>
      </c>
      <c r="I144" s="108">
        <f t="shared" si="83"/>
        <v>330258</v>
      </c>
      <c r="J144" s="108">
        <f t="shared" ref="J144:N144" si="84">SUM(J145:J149)</f>
        <v>345080</v>
      </c>
      <c r="K144" s="108">
        <f t="shared" si="84"/>
        <v>418921</v>
      </c>
      <c r="L144" s="108">
        <f t="shared" ref="L144" si="85">SUM(L145:L149)</f>
        <v>482770</v>
      </c>
      <c r="M144" s="108">
        <f t="shared" si="84"/>
        <v>463550</v>
      </c>
      <c r="N144" s="108">
        <f t="shared" si="84"/>
        <v>463550</v>
      </c>
      <c r="O144" s="1"/>
    </row>
    <row r="145" spans="1:17" x14ac:dyDescent="0.25">
      <c r="A145" s="192" t="s">
        <v>135</v>
      </c>
      <c r="B145" s="84" t="s">
        <v>220</v>
      </c>
      <c r="C145" s="110">
        <v>110782</v>
      </c>
      <c r="D145" s="195">
        <v>133003</v>
      </c>
      <c r="E145" s="144">
        <v>192284</v>
      </c>
      <c r="F145" s="55">
        <v>211686</v>
      </c>
      <c r="G145" s="55">
        <v>216037</v>
      </c>
      <c r="H145" s="55">
        <v>240260</v>
      </c>
      <c r="I145" s="55">
        <v>280328</v>
      </c>
      <c r="J145" s="144">
        <v>329300</v>
      </c>
      <c r="K145" s="55">
        <v>401511</v>
      </c>
      <c r="L145" s="55">
        <v>392070</v>
      </c>
      <c r="M145" s="55">
        <v>382850</v>
      </c>
      <c r="N145" s="55">
        <v>382850</v>
      </c>
      <c r="O145" s="1"/>
    </row>
    <row r="146" spans="1:17" x14ac:dyDescent="0.25">
      <c r="A146" s="192" t="s">
        <v>136</v>
      </c>
      <c r="B146" s="84" t="s">
        <v>137</v>
      </c>
      <c r="C146" s="110">
        <v>6436</v>
      </c>
      <c r="D146" s="195">
        <v>3638</v>
      </c>
      <c r="E146" s="144">
        <v>3241</v>
      </c>
      <c r="F146" s="55">
        <v>490</v>
      </c>
      <c r="G146" s="55">
        <v>174</v>
      </c>
      <c r="H146" s="55">
        <v>382</v>
      </c>
      <c r="I146" s="55">
        <v>912</v>
      </c>
      <c r="J146" s="144">
        <v>680</v>
      </c>
      <c r="K146" s="55">
        <v>1300</v>
      </c>
      <c r="L146" s="55">
        <v>73400</v>
      </c>
      <c r="M146" s="55">
        <v>63400</v>
      </c>
      <c r="N146" s="55">
        <v>63400</v>
      </c>
      <c r="O146" s="1"/>
    </row>
    <row r="147" spans="1:17" x14ac:dyDescent="0.25">
      <c r="A147" s="117" t="s">
        <v>138</v>
      </c>
      <c r="B147" s="114" t="s">
        <v>139</v>
      </c>
      <c r="C147" s="62">
        <v>27180</v>
      </c>
      <c r="D147" s="145">
        <v>27678</v>
      </c>
      <c r="E147" s="146">
        <v>12665</v>
      </c>
      <c r="F147" s="60">
        <v>13300</v>
      </c>
      <c r="G147" s="60">
        <v>10054</v>
      </c>
      <c r="H147" s="60">
        <v>11894</v>
      </c>
      <c r="I147" s="60">
        <v>49018</v>
      </c>
      <c r="J147" s="148">
        <v>14100</v>
      </c>
      <c r="K147" s="60">
        <v>15110</v>
      </c>
      <c r="L147" s="60">
        <v>16300</v>
      </c>
      <c r="M147" s="60">
        <v>16300</v>
      </c>
      <c r="N147" s="60">
        <v>16300</v>
      </c>
      <c r="O147" s="1"/>
    </row>
    <row r="148" spans="1:17" x14ac:dyDescent="0.25">
      <c r="A148" s="117" t="s">
        <v>140</v>
      </c>
      <c r="B148" s="114" t="s">
        <v>141</v>
      </c>
      <c r="C148" s="62">
        <v>0</v>
      </c>
      <c r="D148" s="145">
        <v>0</v>
      </c>
      <c r="E148" s="146">
        <v>0</v>
      </c>
      <c r="F148" s="60">
        <v>67</v>
      </c>
      <c r="G148" s="60">
        <v>0</v>
      </c>
      <c r="H148" s="60">
        <v>3217</v>
      </c>
      <c r="I148" s="60">
        <v>0</v>
      </c>
      <c r="J148" s="148">
        <v>500</v>
      </c>
      <c r="K148" s="60">
        <v>500</v>
      </c>
      <c r="L148" s="60">
        <v>500</v>
      </c>
      <c r="M148" s="60">
        <v>500</v>
      </c>
      <c r="N148" s="60">
        <v>500</v>
      </c>
      <c r="O148" s="1"/>
    </row>
    <row r="149" spans="1:17" ht="15.75" thickBot="1" x14ac:dyDescent="0.3">
      <c r="A149" s="160" t="s">
        <v>142</v>
      </c>
      <c r="B149" s="161" t="s">
        <v>143</v>
      </c>
      <c r="C149" s="181">
        <v>0</v>
      </c>
      <c r="D149" s="163">
        <v>0</v>
      </c>
      <c r="E149" s="164">
        <v>300</v>
      </c>
      <c r="F149" s="182">
        <v>0</v>
      </c>
      <c r="G149" s="182">
        <v>0</v>
      </c>
      <c r="H149" s="182">
        <v>500</v>
      </c>
      <c r="I149" s="182">
        <v>0</v>
      </c>
      <c r="J149" s="170">
        <v>500</v>
      </c>
      <c r="K149" s="182">
        <v>500</v>
      </c>
      <c r="L149" s="182">
        <v>500</v>
      </c>
      <c r="M149" s="182">
        <v>500</v>
      </c>
      <c r="N149" s="182">
        <v>500</v>
      </c>
      <c r="O149" s="1"/>
      <c r="P149" s="27"/>
      <c r="Q149" s="27"/>
    </row>
    <row r="150" spans="1:17" ht="24.75" customHeight="1" thickBot="1" x14ac:dyDescent="0.3">
      <c r="A150" s="209" t="s">
        <v>144</v>
      </c>
      <c r="B150" s="172"/>
      <c r="C150" s="210">
        <f t="shared" ref="C150:J150" si="86">SUM(C99+C105+C107+C110+C114+C119+C124+C129+C135+C144)</f>
        <v>975419</v>
      </c>
      <c r="D150" s="211">
        <f t="shared" si="86"/>
        <v>987361</v>
      </c>
      <c r="E150" s="210">
        <f t="shared" si="86"/>
        <v>1160440</v>
      </c>
      <c r="F150" s="210">
        <f t="shared" si="86"/>
        <v>1125738.3999999999</v>
      </c>
      <c r="G150" s="212">
        <f t="shared" si="86"/>
        <v>1255455</v>
      </c>
      <c r="H150" s="212">
        <f t="shared" si="86"/>
        <v>1279725</v>
      </c>
      <c r="I150" s="212">
        <f t="shared" si="86"/>
        <v>1539596</v>
      </c>
      <c r="J150" s="212">
        <f t="shared" si="86"/>
        <v>1801231</v>
      </c>
      <c r="K150" s="250">
        <f t="shared" ref="K150" si="87">SUM(K99+K105+K107+K110+K114+K119+K124+K129+K135+K144)</f>
        <v>1970408</v>
      </c>
      <c r="L150" s="212">
        <f t="shared" ref="L150" si="88">SUM(L99+L105+L107+L110+L114+L119+L124+L129+L135+L144)</f>
        <v>1919385</v>
      </c>
      <c r="M150" s="212">
        <f>SUM(M99+M105+M107+M110+M114+M119+M124+M129+M135+M144)</f>
        <v>1910735</v>
      </c>
      <c r="N150" s="212">
        <f>SUM(N99+N105+N107+N110+N114+N119+N124+N129+N135+N144)</f>
        <v>1903180</v>
      </c>
      <c r="O150" s="1"/>
      <c r="P150" s="27"/>
      <c r="Q150" s="27"/>
    </row>
    <row r="151" spans="1:17" x14ac:dyDescent="0.25">
      <c r="A151" s="507" t="s">
        <v>124</v>
      </c>
      <c r="B151" s="213" t="s">
        <v>343</v>
      </c>
      <c r="C151" s="214">
        <f t="shared" ref="C151:H151" si="89">C84</f>
        <v>438144</v>
      </c>
      <c r="D151" s="215">
        <f t="shared" si="89"/>
        <v>446556</v>
      </c>
      <c r="E151" s="372">
        <f t="shared" si="89"/>
        <v>486612</v>
      </c>
      <c r="F151" s="372">
        <f t="shared" si="89"/>
        <v>549196</v>
      </c>
      <c r="G151" s="216">
        <f t="shared" si="89"/>
        <v>565776</v>
      </c>
      <c r="H151" s="216">
        <f t="shared" si="89"/>
        <v>596455</v>
      </c>
      <c r="I151" s="216">
        <f>I84-8740</f>
        <v>652470</v>
      </c>
      <c r="J151" s="216">
        <f>J84+J232</f>
        <v>643550</v>
      </c>
      <c r="K151" s="216">
        <f>K84+K232</f>
        <v>711433</v>
      </c>
      <c r="L151" s="216">
        <f>L84</f>
        <v>720000</v>
      </c>
      <c r="M151" s="216">
        <f>M84</f>
        <v>720000</v>
      </c>
      <c r="N151" s="216">
        <f>N84</f>
        <v>720000</v>
      </c>
      <c r="O151" s="1"/>
      <c r="P151" s="27"/>
      <c r="Q151" s="27"/>
    </row>
    <row r="152" spans="1:17" x14ac:dyDescent="0.25">
      <c r="A152" s="508" t="s">
        <v>124</v>
      </c>
      <c r="B152" s="227" t="s">
        <v>286</v>
      </c>
      <c r="C152" s="228"/>
      <c r="D152" s="229"/>
      <c r="E152" s="229"/>
      <c r="F152" s="229">
        <v>0</v>
      </c>
      <c r="G152" s="230">
        <v>0</v>
      </c>
      <c r="H152" s="230">
        <v>0</v>
      </c>
      <c r="I152" s="230">
        <f>I83</f>
        <v>4818</v>
      </c>
      <c r="J152" s="230">
        <v>19272</v>
      </c>
      <c r="K152" s="230">
        <v>14552</v>
      </c>
      <c r="L152" s="230">
        <f>L83</f>
        <v>0</v>
      </c>
      <c r="M152" s="230">
        <f t="shared" ref="M152:N152" si="90">M83</f>
        <v>0</v>
      </c>
      <c r="N152" s="230">
        <f t="shared" si="90"/>
        <v>0</v>
      </c>
      <c r="O152" s="1"/>
      <c r="P152" s="27"/>
      <c r="Q152" s="27"/>
    </row>
    <row r="153" spans="1:17" x14ac:dyDescent="0.25">
      <c r="A153" s="509" t="s">
        <v>124</v>
      </c>
      <c r="B153" s="218" t="s">
        <v>145</v>
      </c>
      <c r="C153" s="219">
        <f>C86</f>
        <v>5446</v>
      </c>
      <c r="D153" s="220">
        <f>D86+100</f>
        <v>7693</v>
      </c>
      <c r="E153" s="373">
        <f t="shared" ref="E153:N153" si="91">E86</f>
        <v>7551</v>
      </c>
      <c r="F153" s="373">
        <f t="shared" si="91"/>
        <v>355</v>
      </c>
      <c r="G153" s="221">
        <f t="shared" si="91"/>
        <v>1801</v>
      </c>
      <c r="H153" s="221">
        <f t="shared" si="91"/>
        <v>3603</v>
      </c>
      <c r="I153" s="221">
        <f t="shared" ref="I153" si="92">I86</f>
        <v>858</v>
      </c>
      <c r="J153" s="221">
        <f t="shared" si="91"/>
        <v>1550</v>
      </c>
      <c r="K153" s="221">
        <f t="shared" si="91"/>
        <v>1550</v>
      </c>
      <c r="L153" s="221">
        <f t="shared" si="91"/>
        <v>1500</v>
      </c>
      <c r="M153" s="221">
        <f t="shared" si="91"/>
        <v>1500</v>
      </c>
      <c r="N153" s="221">
        <f t="shared" si="91"/>
        <v>1500</v>
      </c>
      <c r="O153" s="1"/>
    </row>
    <row r="154" spans="1:17" x14ac:dyDescent="0.25">
      <c r="A154" s="509" t="s">
        <v>124</v>
      </c>
      <c r="B154" s="218" t="s">
        <v>146</v>
      </c>
      <c r="C154" s="219">
        <v>0</v>
      </c>
      <c r="D154" s="220">
        <v>0</v>
      </c>
      <c r="E154" s="373">
        <v>50402</v>
      </c>
      <c r="F154" s="373">
        <v>28608</v>
      </c>
      <c r="G154" s="541">
        <v>8097</v>
      </c>
      <c r="H154" s="221">
        <f>H88</f>
        <v>0</v>
      </c>
      <c r="I154" s="221">
        <f>I88</f>
        <v>0</v>
      </c>
      <c r="J154" s="221">
        <f>J88</f>
        <v>0</v>
      </c>
      <c r="K154" s="221">
        <v>0</v>
      </c>
      <c r="L154" s="221">
        <f>L88</f>
        <v>0</v>
      </c>
      <c r="M154" s="221">
        <f>M88</f>
        <v>0</v>
      </c>
      <c r="N154" s="221">
        <f>N88</f>
        <v>0</v>
      </c>
      <c r="O154" s="1"/>
      <c r="P154" s="27"/>
      <c r="Q154" s="27"/>
    </row>
    <row r="155" spans="1:17" ht="15.75" thickBot="1" x14ac:dyDescent="0.3">
      <c r="A155" s="510" t="s">
        <v>124</v>
      </c>
      <c r="B155" s="222" t="s">
        <v>147</v>
      </c>
      <c r="C155" s="223">
        <v>0</v>
      </c>
      <c r="D155" s="224">
        <v>0</v>
      </c>
      <c r="E155" s="374">
        <v>2702</v>
      </c>
      <c r="F155" s="374">
        <v>1605</v>
      </c>
      <c r="G155" s="225">
        <v>765</v>
      </c>
      <c r="H155" s="225">
        <v>0</v>
      </c>
      <c r="I155" s="225">
        <v>1606</v>
      </c>
      <c r="J155" s="225">
        <v>1700</v>
      </c>
      <c r="K155" s="225">
        <v>1700</v>
      </c>
      <c r="L155" s="225">
        <v>0</v>
      </c>
      <c r="M155" s="225">
        <v>0</v>
      </c>
      <c r="N155" s="225">
        <v>0</v>
      </c>
      <c r="O155" s="27">
        <f>SUM(L151:L155)</f>
        <v>721500</v>
      </c>
    </row>
    <row r="156" spans="1:17" x14ac:dyDescent="0.25">
      <c r="A156" s="226" t="s">
        <v>125</v>
      </c>
      <c r="B156" s="227" t="s">
        <v>148</v>
      </c>
      <c r="C156" s="228">
        <v>19000</v>
      </c>
      <c r="D156" s="229">
        <f>22500-2500</f>
        <v>20000</v>
      </c>
      <c r="E156" s="375">
        <v>22500</v>
      </c>
      <c r="F156" s="375">
        <v>32600</v>
      </c>
      <c r="G156" s="230">
        <v>32600</v>
      </c>
      <c r="H156" s="230">
        <v>33600</v>
      </c>
      <c r="I156" s="230">
        <v>35400</v>
      </c>
      <c r="J156" s="230">
        <v>34400</v>
      </c>
      <c r="K156" s="230">
        <v>34400</v>
      </c>
      <c r="L156" s="230">
        <v>34400</v>
      </c>
      <c r="M156" s="230">
        <v>34400</v>
      </c>
      <c r="N156" s="230">
        <v>34400</v>
      </c>
      <c r="O156" s="27"/>
    </row>
    <row r="157" spans="1:17" ht="15.75" thickBot="1" x14ac:dyDescent="0.3">
      <c r="A157" s="217" t="s">
        <v>125</v>
      </c>
      <c r="B157" s="218" t="s">
        <v>149</v>
      </c>
      <c r="C157" s="219">
        <f t="shared" ref="C157:J157" si="93">C87</f>
        <v>1300</v>
      </c>
      <c r="D157" s="220">
        <f t="shared" si="93"/>
        <v>1300</v>
      </c>
      <c r="E157" s="373">
        <f t="shared" si="93"/>
        <v>1308</v>
      </c>
      <c r="F157" s="373">
        <f t="shared" si="93"/>
        <v>1250</v>
      </c>
      <c r="G157" s="221">
        <f t="shared" si="93"/>
        <v>1468</v>
      </c>
      <c r="H157" s="221">
        <f t="shared" si="93"/>
        <v>1752</v>
      </c>
      <c r="I157" s="221">
        <f t="shared" ref="I157" si="94">I87</f>
        <v>2450</v>
      </c>
      <c r="J157" s="221">
        <f t="shared" si="93"/>
        <v>3600</v>
      </c>
      <c r="K157" s="221">
        <v>3600</v>
      </c>
      <c r="L157" s="221">
        <f>L87</f>
        <v>3600</v>
      </c>
      <c r="M157" s="221">
        <f>M87</f>
        <v>3600</v>
      </c>
      <c r="N157" s="221">
        <f>N87</f>
        <v>3600</v>
      </c>
      <c r="O157" s="27">
        <f>SUM(L156:L157)</f>
        <v>38000</v>
      </c>
    </row>
    <row r="158" spans="1:17" ht="15.75" thickBot="1" x14ac:dyDescent="0.3">
      <c r="A158" s="623" t="s">
        <v>150</v>
      </c>
      <c r="B158" s="624"/>
      <c r="C158" s="231">
        <f t="shared" ref="C158:G158" si="95">SUM(C151:C157)</f>
        <v>463890</v>
      </c>
      <c r="D158" s="232">
        <f t="shared" si="95"/>
        <v>475549</v>
      </c>
      <c r="E158" s="376">
        <f t="shared" si="95"/>
        <v>571075</v>
      </c>
      <c r="F158" s="376">
        <f t="shared" si="95"/>
        <v>613614</v>
      </c>
      <c r="G158" s="233">
        <f t="shared" si="95"/>
        <v>610507</v>
      </c>
      <c r="H158" s="233">
        <f t="shared" ref="H158" si="96">SUM(H151:H157)</f>
        <v>635410</v>
      </c>
      <c r="I158" s="233">
        <f t="shared" ref="I158" si="97">SUM(I151:I157)</f>
        <v>697602</v>
      </c>
      <c r="J158" s="233">
        <f t="shared" ref="J158:N158" si="98">SUM(J151:J157)</f>
        <v>704072</v>
      </c>
      <c r="K158" s="233">
        <f t="shared" si="98"/>
        <v>767235</v>
      </c>
      <c r="L158" s="233">
        <f>SUM(L151:L157)</f>
        <v>759500</v>
      </c>
      <c r="M158" s="233">
        <f t="shared" si="98"/>
        <v>759500</v>
      </c>
      <c r="N158" s="233">
        <f t="shared" si="98"/>
        <v>759500</v>
      </c>
      <c r="O158" s="27"/>
    </row>
    <row r="159" spans="1:17" x14ac:dyDescent="0.25">
      <c r="A159" s="234" t="s">
        <v>125</v>
      </c>
      <c r="B159" s="235" t="s">
        <v>151</v>
      </c>
      <c r="C159" s="236">
        <f>69000-4930</f>
        <v>64070</v>
      </c>
      <c r="D159" s="237">
        <f>190500+13510-9254</f>
        <v>194756</v>
      </c>
      <c r="E159" s="236">
        <f t="shared" ref="E159" si="99">190500+13510</f>
        <v>204010</v>
      </c>
      <c r="F159" s="398">
        <v>247438</v>
      </c>
      <c r="G159" s="238">
        <v>217828</v>
      </c>
      <c r="H159" s="238">
        <v>257640</v>
      </c>
      <c r="I159" s="238">
        <v>291720</v>
      </c>
      <c r="J159" s="238">
        <v>294050</v>
      </c>
      <c r="K159" s="238">
        <v>294050</v>
      </c>
      <c r="L159" s="238">
        <v>298000</v>
      </c>
      <c r="M159" s="238">
        <v>314200</v>
      </c>
      <c r="N159" s="238">
        <v>314200</v>
      </c>
      <c r="O159" s="1"/>
    </row>
    <row r="160" spans="1:17" x14ac:dyDescent="0.25">
      <c r="A160" s="239" t="s">
        <v>125</v>
      </c>
      <c r="B160" s="240" t="s">
        <v>252</v>
      </c>
      <c r="C160" s="241"/>
      <c r="D160" s="242">
        <v>0</v>
      </c>
      <c r="E160" s="241">
        <v>0</v>
      </c>
      <c r="F160" s="399">
        <v>0</v>
      </c>
      <c r="G160" s="89">
        <f>35981+420</f>
        <v>36401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0</v>
      </c>
      <c r="N160" s="89">
        <v>0</v>
      </c>
      <c r="O160" s="27"/>
    </row>
    <row r="161" spans="1:26" ht="15.75" thickBot="1" x14ac:dyDescent="0.3">
      <c r="A161" s="239" t="s">
        <v>125</v>
      </c>
      <c r="B161" s="240" t="s">
        <v>152</v>
      </c>
      <c r="C161" s="241">
        <f>C91</f>
        <v>4930</v>
      </c>
      <c r="D161" s="242">
        <f>D91</f>
        <v>10244</v>
      </c>
      <c r="E161" s="241">
        <f>E91</f>
        <v>11710</v>
      </c>
      <c r="F161" s="399">
        <v>11266</v>
      </c>
      <c r="G161" s="89">
        <f>G91</f>
        <v>11355</v>
      </c>
      <c r="H161" s="89">
        <f>H91</f>
        <v>11185</v>
      </c>
      <c r="I161" s="89">
        <f>I91</f>
        <v>12200</v>
      </c>
      <c r="J161" s="89">
        <f>J91</f>
        <v>12350</v>
      </c>
      <c r="K161" s="89">
        <f t="shared" ref="K161" si="100">K91</f>
        <v>12700</v>
      </c>
      <c r="L161" s="89">
        <f>L91</f>
        <v>13600</v>
      </c>
      <c r="M161" s="89">
        <f>M91</f>
        <v>13600</v>
      </c>
      <c r="N161" s="89">
        <f>N91</f>
        <v>13600</v>
      </c>
      <c r="O161" s="1"/>
    </row>
    <row r="162" spans="1:26" ht="15.75" thickBot="1" x14ac:dyDescent="0.3">
      <c r="A162" s="625" t="s">
        <v>153</v>
      </c>
      <c r="B162" s="626"/>
      <c r="C162" s="243">
        <f t="shared" ref="C162:D162" si="101">SUM(C159:C161)</f>
        <v>69000</v>
      </c>
      <c r="D162" s="244">
        <f t="shared" si="101"/>
        <v>205000</v>
      </c>
      <c r="E162" s="243">
        <f t="shared" ref="E162:G162" si="102">SUM(E159:E161)</f>
        <v>215720</v>
      </c>
      <c r="F162" s="243">
        <f t="shared" ref="F162" si="103">SUM(F159:F161)</f>
        <v>258704</v>
      </c>
      <c r="G162" s="245">
        <f t="shared" si="102"/>
        <v>265584</v>
      </c>
      <c r="H162" s="245">
        <f t="shared" ref="H162" si="104">SUM(H159:H161)</f>
        <v>268825</v>
      </c>
      <c r="I162" s="245">
        <f t="shared" ref="I162" si="105">SUM(I159:I161)</f>
        <v>303920</v>
      </c>
      <c r="J162" s="245">
        <f t="shared" ref="J162:N162" si="106">SUM(J159:J161)</f>
        <v>306400</v>
      </c>
      <c r="K162" s="245">
        <f t="shared" ref="K162" si="107">SUM(K159:K161)</f>
        <v>306750</v>
      </c>
      <c r="L162" s="245">
        <f t="shared" ref="L162" si="108">SUM(L159:L161)</f>
        <v>311600</v>
      </c>
      <c r="M162" s="245">
        <f t="shared" si="106"/>
        <v>327800</v>
      </c>
      <c r="N162" s="245">
        <f t="shared" si="106"/>
        <v>327800</v>
      </c>
      <c r="O162" s="1"/>
    </row>
    <row r="163" spans="1:26" ht="22.5" customHeight="1" thickBot="1" x14ac:dyDescent="0.3">
      <c r="A163" s="619" t="s">
        <v>154</v>
      </c>
      <c r="B163" s="620"/>
      <c r="C163" s="246">
        <f t="shared" ref="C163:G163" si="109">C158+C162</f>
        <v>532890</v>
      </c>
      <c r="D163" s="247">
        <f t="shared" si="109"/>
        <v>680549</v>
      </c>
      <c r="E163" s="246">
        <f t="shared" si="109"/>
        <v>786795</v>
      </c>
      <c r="F163" s="246">
        <f t="shared" ref="F163" si="110">F158+F162</f>
        <v>872318</v>
      </c>
      <c r="G163" s="248">
        <f t="shared" si="109"/>
        <v>876091</v>
      </c>
      <c r="H163" s="248">
        <f t="shared" ref="H163" si="111">H158+H162</f>
        <v>904235</v>
      </c>
      <c r="I163" s="248">
        <f t="shared" ref="I163" si="112">I158+I162</f>
        <v>1001522</v>
      </c>
      <c r="J163" s="248">
        <f t="shared" ref="J163:N163" si="113">J158+J162</f>
        <v>1010472</v>
      </c>
      <c r="K163" s="248">
        <f t="shared" si="113"/>
        <v>1073985</v>
      </c>
      <c r="L163" s="248">
        <f t="shared" ref="L163" si="114">L158+L162</f>
        <v>1071100</v>
      </c>
      <c r="M163" s="248">
        <f t="shared" si="113"/>
        <v>1087300</v>
      </c>
      <c r="N163" s="248">
        <f t="shared" si="113"/>
        <v>1087300</v>
      </c>
      <c r="O163" s="1"/>
    </row>
    <row r="164" spans="1:26" ht="27.75" customHeight="1" thickBot="1" x14ac:dyDescent="0.3">
      <c r="A164" s="249" t="s">
        <v>155</v>
      </c>
      <c r="B164" s="140"/>
      <c r="C164" s="250">
        <f t="shared" ref="C164:N164" si="115">C150+C163</f>
        <v>1508309</v>
      </c>
      <c r="D164" s="251">
        <f t="shared" si="115"/>
        <v>1667910</v>
      </c>
      <c r="E164" s="250">
        <f t="shared" si="115"/>
        <v>1947235</v>
      </c>
      <c r="F164" s="250">
        <f t="shared" ref="F164" si="116">F150+F163</f>
        <v>1998056.4</v>
      </c>
      <c r="G164" s="252">
        <f t="shared" si="115"/>
        <v>2131546</v>
      </c>
      <c r="H164" s="252">
        <f t="shared" si="115"/>
        <v>2183960</v>
      </c>
      <c r="I164" s="252">
        <f t="shared" ref="I164" si="117">I150+I163</f>
        <v>2541118</v>
      </c>
      <c r="J164" s="252">
        <f t="shared" si="115"/>
        <v>2811703</v>
      </c>
      <c r="K164" s="252">
        <f t="shared" si="115"/>
        <v>3044393</v>
      </c>
      <c r="L164" s="252">
        <f>L150+L163</f>
        <v>2990485</v>
      </c>
      <c r="M164" s="252">
        <f t="shared" si="115"/>
        <v>2998035</v>
      </c>
      <c r="N164" s="252">
        <f t="shared" si="115"/>
        <v>2990480</v>
      </c>
      <c r="O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26" ht="18.75" thickBot="1" x14ac:dyDescent="0.3">
      <c r="A167" s="631" t="s">
        <v>156</v>
      </c>
      <c r="B167" s="632"/>
      <c r="C167" s="632"/>
      <c r="D167" s="632"/>
      <c r="E167" s="632"/>
      <c r="F167" s="632"/>
      <c r="G167" s="632"/>
      <c r="H167" s="632"/>
      <c r="I167" s="632"/>
      <c r="J167" s="632"/>
      <c r="K167" s="632"/>
      <c r="L167" s="632"/>
      <c r="M167" s="632"/>
      <c r="N167" s="632"/>
      <c r="O167" s="1"/>
    </row>
    <row r="168" spans="1:26" ht="38.25" customHeight="1" thickBot="1" x14ac:dyDescent="0.3">
      <c r="A168" s="616" t="s">
        <v>1</v>
      </c>
      <c r="B168" s="618"/>
      <c r="C168" s="388" t="s">
        <v>2</v>
      </c>
      <c r="D168" s="388" t="s">
        <v>3</v>
      </c>
      <c r="E168" s="388" t="s">
        <v>186</v>
      </c>
      <c r="F168" s="388" t="s">
        <v>201</v>
      </c>
      <c r="G168" s="475" t="s">
        <v>237</v>
      </c>
      <c r="H168" s="475" t="s">
        <v>264</v>
      </c>
      <c r="I168" s="475" t="s">
        <v>324</v>
      </c>
      <c r="J168" s="387" t="s">
        <v>328</v>
      </c>
      <c r="K168" s="387" t="s">
        <v>345</v>
      </c>
      <c r="L168" s="387" t="s">
        <v>238</v>
      </c>
      <c r="M168" s="387" t="s">
        <v>265</v>
      </c>
      <c r="N168" s="387" t="s">
        <v>306</v>
      </c>
      <c r="O168" s="1"/>
    </row>
    <row r="169" spans="1:26" ht="16.5" thickBot="1" x14ac:dyDescent="0.3">
      <c r="A169" s="610" t="s">
        <v>157</v>
      </c>
      <c r="B169" s="611"/>
      <c r="C169" s="253">
        <f t="shared" ref="C169:N169" si="118">SUM(C170:C187)</f>
        <v>10502</v>
      </c>
      <c r="D169" s="253">
        <f t="shared" si="118"/>
        <v>445</v>
      </c>
      <c r="E169" s="253">
        <f t="shared" si="118"/>
        <v>196343</v>
      </c>
      <c r="F169" s="253">
        <f t="shared" si="118"/>
        <v>118970</v>
      </c>
      <c r="G169" s="253">
        <f t="shared" si="118"/>
        <v>93063</v>
      </c>
      <c r="H169" s="253">
        <f t="shared" si="118"/>
        <v>79290</v>
      </c>
      <c r="I169" s="253">
        <f t="shared" si="118"/>
        <v>316209</v>
      </c>
      <c r="J169" s="253">
        <f t="shared" si="118"/>
        <v>1143050</v>
      </c>
      <c r="K169" s="253">
        <f t="shared" si="118"/>
        <v>2827690</v>
      </c>
      <c r="L169" s="253">
        <f t="shared" si="118"/>
        <v>2593450</v>
      </c>
      <c r="M169" s="253">
        <f t="shared" si="118"/>
        <v>0</v>
      </c>
      <c r="N169" s="253">
        <f t="shared" si="118"/>
        <v>0</v>
      </c>
      <c r="O169" s="1"/>
    </row>
    <row r="170" spans="1:26" ht="15.75" thickBot="1" x14ac:dyDescent="0.3">
      <c r="A170" s="77">
        <v>231</v>
      </c>
      <c r="B170" s="465" t="s">
        <v>240</v>
      </c>
      <c r="C170" s="254">
        <v>5251</v>
      </c>
      <c r="D170" s="254">
        <v>0</v>
      </c>
      <c r="E170" s="254">
        <v>0</v>
      </c>
      <c r="F170" s="254">
        <v>0</v>
      </c>
      <c r="G170" s="255">
        <v>0</v>
      </c>
      <c r="H170" s="255">
        <v>3991</v>
      </c>
      <c r="I170" s="255">
        <v>0</v>
      </c>
      <c r="J170" s="255">
        <v>0</v>
      </c>
      <c r="K170" s="255">
        <v>0</v>
      </c>
      <c r="L170" s="255">
        <v>0</v>
      </c>
      <c r="M170" s="255"/>
      <c r="N170" s="255"/>
      <c r="O170" s="1"/>
    </row>
    <row r="171" spans="1:26" ht="15.75" thickBot="1" x14ac:dyDescent="0.3">
      <c r="A171" s="77">
        <v>233</v>
      </c>
      <c r="B171" s="78" t="s">
        <v>158</v>
      </c>
      <c r="C171" s="254">
        <v>5251</v>
      </c>
      <c r="D171" s="254">
        <v>445</v>
      </c>
      <c r="E171" s="254">
        <v>3091</v>
      </c>
      <c r="F171" s="254">
        <v>56</v>
      </c>
      <c r="G171" s="255">
        <v>2912</v>
      </c>
      <c r="H171" s="255">
        <v>1255</v>
      </c>
      <c r="I171" s="255">
        <v>4034</v>
      </c>
      <c r="J171" s="255">
        <v>5000</v>
      </c>
      <c r="K171" s="255">
        <v>13000</v>
      </c>
      <c r="L171" s="255">
        <v>3000</v>
      </c>
      <c r="M171" s="255"/>
      <c r="N171" s="255"/>
      <c r="O171" s="1"/>
    </row>
    <row r="172" spans="1:26" ht="15.75" thickBot="1" x14ac:dyDescent="0.3">
      <c r="A172" s="407">
        <v>321</v>
      </c>
      <c r="B172" s="408" t="s">
        <v>208</v>
      </c>
      <c r="C172" s="256"/>
      <c r="D172" s="419">
        <v>0</v>
      </c>
      <c r="E172" s="419">
        <v>0</v>
      </c>
      <c r="F172" s="419">
        <v>0</v>
      </c>
      <c r="G172" s="420">
        <v>766</v>
      </c>
      <c r="H172" s="420">
        <v>120</v>
      </c>
      <c r="I172" s="420">
        <v>0</v>
      </c>
      <c r="J172" s="420">
        <v>0</v>
      </c>
      <c r="K172" s="420">
        <v>0</v>
      </c>
      <c r="L172" s="420">
        <v>0</v>
      </c>
      <c r="M172" s="420"/>
      <c r="N172" s="420"/>
      <c r="O172" s="1"/>
    </row>
    <row r="173" spans="1:26" x14ac:dyDescent="0.25">
      <c r="A173" s="261">
        <v>322</v>
      </c>
      <c r="B173" s="76" t="s">
        <v>358</v>
      </c>
      <c r="C173" s="262"/>
      <c r="D173" s="262"/>
      <c r="E173" s="262"/>
      <c r="F173" s="262">
        <v>0</v>
      </c>
      <c r="G173" s="263">
        <v>0</v>
      </c>
      <c r="H173" s="263">
        <v>0</v>
      </c>
      <c r="I173" s="263">
        <v>91304</v>
      </c>
      <c r="J173" s="263">
        <v>434700</v>
      </c>
      <c r="K173" s="263">
        <v>434700</v>
      </c>
      <c r="L173" s="263">
        <v>430000</v>
      </c>
      <c r="M173" s="263"/>
      <c r="N173" s="383"/>
      <c r="O173" s="27"/>
    </row>
    <row r="174" spans="1:26" x14ac:dyDescent="0.25">
      <c r="A174" s="261">
        <v>322</v>
      </c>
      <c r="B174" s="264" t="s">
        <v>359</v>
      </c>
      <c r="C174" s="262"/>
      <c r="D174" s="262"/>
      <c r="E174" s="262"/>
      <c r="F174" s="259">
        <v>0</v>
      </c>
      <c r="G174" s="260">
        <v>0</v>
      </c>
      <c r="H174" s="263">
        <v>0</v>
      </c>
      <c r="I174" s="263">
        <v>0</v>
      </c>
      <c r="J174" s="260">
        <v>178000</v>
      </c>
      <c r="K174" s="260">
        <v>145000</v>
      </c>
      <c r="L174" s="260">
        <v>145000</v>
      </c>
      <c r="M174" s="260"/>
      <c r="N174" s="257"/>
      <c r="O174" s="1"/>
    </row>
    <row r="175" spans="1:26" x14ac:dyDescent="0.25">
      <c r="A175" s="261">
        <v>322</v>
      </c>
      <c r="B175" s="84" t="s">
        <v>295</v>
      </c>
      <c r="C175" s="262"/>
      <c r="D175" s="262"/>
      <c r="E175" s="262"/>
      <c r="F175" s="259">
        <v>0</v>
      </c>
      <c r="G175" s="260">
        <v>0</v>
      </c>
      <c r="H175" s="263">
        <v>0</v>
      </c>
      <c r="I175" s="263">
        <v>0</v>
      </c>
      <c r="J175" s="263">
        <v>190000</v>
      </c>
      <c r="K175" s="263">
        <v>190000</v>
      </c>
      <c r="L175" s="263"/>
      <c r="M175" s="260"/>
      <c r="N175" s="257"/>
      <c r="O175" s="1"/>
      <c r="P175" s="27"/>
      <c r="Q175" s="27"/>
      <c r="X175" s="426"/>
      <c r="Y175" s="426"/>
      <c r="Z175" s="426"/>
    </row>
    <row r="176" spans="1:26" x14ac:dyDescent="0.25">
      <c r="A176" s="261">
        <v>322</v>
      </c>
      <c r="B176" s="84" t="s">
        <v>336</v>
      </c>
      <c r="C176" s="262"/>
      <c r="D176" s="262"/>
      <c r="E176" s="262"/>
      <c r="F176" s="259"/>
      <c r="G176" s="260"/>
      <c r="H176" s="263"/>
      <c r="I176" s="263"/>
      <c r="J176" s="263"/>
      <c r="K176" s="263"/>
      <c r="L176" s="263"/>
      <c r="M176" s="260"/>
      <c r="N176" s="257"/>
      <c r="O176" s="1"/>
      <c r="P176" s="27"/>
      <c r="Q176" s="27"/>
      <c r="X176" s="426"/>
      <c r="Y176" s="426"/>
      <c r="Z176" s="426"/>
    </row>
    <row r="177" spans="1:26" x14ac:dyDescent="0.25">
      <c r="A177" s="261">
        <v>322</v>
      </c>
      <c r="B177" s="84" t="s">
        <v>350</v>
      </c>
      <c r="C177" s="262"/>
      <c r="D177" s="262"/>
      <c r="E177" s="262"/>
      <c r="F177" s="259"/>
      <c r="G177" s="260"/>
      <c r="H177" s="263"/>
      <c r="I177" s="263"/>
      <c r="J177" s="263"/>
      <c r="K177" s="263">
        <v>138300</v>
      </c>
      <c r="L177" s="263">
        <v>138200</v>
      </c>
      <c r="M177" s="260"/>
      <c r="N177" s="257"/>
      <c r="O177" s="1"/>
      <c r="P177" s="27"/>
      <c r="Q177" s="27"/>
      <c r="X177" s="426"/>
      <c r="Y177" s="426"/>
      <c r="Z177" s="426"/>
    </row>
    <row r="178" spans="1:26" x14ac:dyDescent="0.25">
      <c r="A178" s="258">
        <v>322</v>
      </c>
      <c r="B178" s="72" t="s">
        <v>160</v>
      </c>
      <c r="C178" s="259"/>
      <c r="D178" s="259"/>
      <c r="E178" s="259">
        <v>193252</v>
      </c>
      <c r="F178" s="259">
        <v>0</v>
      </c>
      <c r="G178" s="260">
        <v>0</v>
      </c>
      <c r="H178" s="260">
        <v>0</v>
      </c>
      <c r="I178" s="260">
        <v>0</v>
      </c>
      <c r="J178" s="260">
        <v>300000</v>
      </c>
      <c r="K178" s="260">
        <v>300000</v>
      </c>
      <c r="L178" s="260"/>
      <c r="M178" s="260"/>
      <c r="N178" s="260"/>
      <c r="O178" s="1"/>
    </row>
    <row r="179" spans="1:26" x14ac:dyDescent="0.25">
      <c r="A179" s="258">
        <v>322</v>
      </c>
      <c r="B179" s="114" t="s">
        <v>351</v>
      </c>
      <c r="C179" s="256"/>
      <c r="D179" s="259"/>
      <c r="E179" s="259"/>
      <c r="F179" s="259"/>
      <c r="G179" s="260"/>
      <c r="H179" s="263"/>
      <c r="I179" s="260"/>
      <c r="J179" s="257"/>
      <c r="K179" s="257"/>
      <c r="L179" s="257">
        <v>196500</v>
      </c>
      <c r="M179" s="257"/>
      <c r="N179" s="257"/>
      <c r="O179" s="1"/>
    </row>
    <row r="180" spans="1:26" x14ac:dyDescent="0.25">
      <c r="A180" s="258">
        <v>322</v>
      </c>
      <c r="B180" s="264" t="s">
        <v>287</v>
      </c>
      <c r="C180" s="256"/>
      <c r="D180" s="259"/>
      <c r="E180" s="259"/>
      <c r="F180" s="259">
        <v>0</v>
      </c>
      <c r="G180" s="260">
        <v>0</v>
      </c>
      <c r="H180" s="263">
        <v>0</v>
      </c>
      <c r="I180" s="383">
        <v>79648</v>
      </c>
      <c r="J180" s="257">
        <v>0</v>
      </c>
      <c r="K180" s="257">
        <v>100000</v>
      </c>
      <c r="L180" s="257">
        <v>70000</v>
      </c>
      <c r="M180" s="257"/>
      <c r="N180" s="257"/>
      <c r="O180" s="1"/>
    </row>
    <row r="181" spans="1:26" x14ac:dyDescent="0.25">
      <c r="A181" s="511">
        <v>322</v>
      </c>
      <c r="B181" s="528" t="s">
        <v>288</v>
      </c>
      <c r="C181" s="256"/>
      <c r="D181" s="259"/>
      <c r="E181" s="259"/>
      <c r="F181" s="259">
        <v>0</v>
      </c>
      <c r="G181" s="260">
        <v>0</v>
      </c>
      <c r="H181" s="260">
        <v>0</v>
      </c>
      <c r="I181" s="257">
        <v>141223</v>
      </c>
      <c r="J181" s="257">
        <v>35350</v>
      </c>
      <c r="K181" s="257">
        <v>35350</v>
      </c>
      <c r="L181" s="257">
        <f>140750-105400</f>
        <v>35350</v>
      </c>
      <c r="M181" s="257"/>
      <c r="N181" s="257"/>
      <c r="O181" s="1"/>
    </row>
    <row r="182" spans="1:26" x14ac:dyDescent="0.25">
      <c r="A182" s="83">
        <v>322</v>
      </c>
      <c r="B182" s="72" t="s">
        <v>209</v>
      </c>
      <c r="C182" s="256"/>
      <c r="D182" s="259"/>
      <c r="E182" s="259"/>
      <c r="F182" s="259">
        <v>0</v>
      </c>
      <c r="G182" s="260">
        <v>0</v>
      </c>
      <c r="H182" s="260">
        <v>0</v>
      </c>
      <c r="I182" s="257">
        <v>0</v>
      </c>
      <c r="J182" s="257">
        <v>0</v>
      </c>
      <c r="K182" s="257">
        <v>0</v>
      </c>
      <c r="L182" s="257"/>
      <c r="M182" s="257"/>
      <c r="N182" s="257"/>
      <c r="O182" s="1"/>
    </row>
    <row r="183" spans="1:26" x14ac:dyDescent="0.25">
      <c r="A183" s="258">
        <v>322</v>
      </c>
      <c r="B183" s="72" t="s">
        <v>353</v>
      </c>
      <c r="C183" s="256"/>
      <c r="D183" s="259"/>
      <c r="E183" s="259"/>
      <c r="F183" s="259"/>
      <c r="G183" s="260"/>
      <c r="H183" s="260"/>
      <c r="I183" s="257"/>
      <c r="J183" s="257"/>
      <c r="K183" s="257">
        <v>0</v>
      </c>
      <c r="L183" s="257">
        <v>50000</v>
      </c>
      <c r="M183" s="257"/>
      <c r="N183" s="257"/>
      <c r="O183" s="1"/>
    </row>
    <row r="184" spans="1:26" x14ac:dyDescent="0.25">
      <c r="A184" s="258">
        <v>322</v>
      </c>
      <c r="B184" s="72" t="s">
        <v>355</v>
      </c>
      <c r="C184" s="256"/>
      <c r="D184" s="259"/>
      <c r="E184" s="259"/>
      <c r="F184" s="259"/>
      <c r="G184" s="260"/>
      <c r="H184" s="260"/>
      <c r="I184" s="257"/>
      <c r="J184" s="257"/>
      <c r="K184" s="257">
        <v>323640</v>
      </c>
      <c r="L184" s="257">
        <v>379400</v>
      </c>
      <c r="M184" s="257"/>
      <c r="N184" s="257"/>
      <c r="O184" s="1"/>
    </row>
    <row r="185" spans="1:26" x14ac:dyDescent="0.25">
      <c r="A185" s="258">
        <v>322</v>
      </c>
      <c r="B185" s="72" t="s">
        <v>198</v>
      </c>
      <c r="C185" s="259"/>
      <c r="D185" s="259"/>
      <c r="E185" s="259">
        <v>0</v>
      </c>
      <c r="F185" s="259">
        <v>0</v>
      </c>
      <c r="G185" s="260">
        <v>89385</v>
      </c>
      <c r="H185" s="260">
        <v>73924</v>
      </c>
      <c r="I185" s="260">
        <v>0</v>
      </c>
      <c r="J185" s="260">
        <v>0</v>
      </c>
      <c r="K185" s="260">
        <v>0</v>
      </c>
      <c r="L185" s="260"/>
      <c r="M185" s="260"/>
      <c r="N185" s="260"/>
      <c r="O185" s="1"/>
    </row>
    <row r="186" spans="1:26" x14ac:dyDescent="0.25">
      <c r="A186" s="261">
        <v>322</v>
      </c>
      <c r="B186" s="76" t="s">
        <v>356</v>
      </c>
      <c r="C186" s="262"/>
      <c r="D186" s="262"/>
      <c r="E186" s="262"/>
      <c r="F186" s="262"/>
      <c r="G186" s="263"/>
      <c r="H186" s="263"/>
      <c r="I186" s="263"/>
      <c r="J186" s="263"/>
      <c r="K186" s="263">
        <v>1147700</v>
      </c>
      <c r="L186" s="263">
        <v>1146000</v>
      </c>
      <c r="M186" s="263"/>
      <c r="N186" s="263"/>
      <c r="O186" s="1"/>
    </row>
    <row r="187" spans="1:26" ht="15.75" thickBot="1" x14ac:dyDescent="0.3">
      <c r="A187" s="261">
        <v>322</v>
      </c>
      <c r="B187" s="76" t="s">
        <v>159</v>
      </c>
      <c r="C187" s="262"/>
      <c r="D187" s="262"/>
      <c r="E187" s="262">
        <v>0</v>
      </c>
      <c r="F187" s="262">
        <v>118914</v>
      </c>
      <c r="G187" s="263">
        <v>0</v>
      </c>
      <c r="H187" s="263">
        <v>0</v>
      </c>
      <c r="I187" s="263">
        <v>0</v>
      </c>
      <c r="J187" s="263">
        <v>0</v>
      </c>
      <c r="K187" s="263">
        <v>0</v>
      </c>
      <c r="L187" s="263"/>
      <c r="M187" s="263"/>
      <c r="N187" s="263"/>
      <c r="O187" s="27">
        <f>SUM(L173:L187)</f>
        <v>2590450</v>
      </c>
    </row>
    <row r="188" spans="1:26" ht="16.5" thickBot="1" x14ac:dyDescent="0.3">
      <c r="A188" s="610" t="s">
        <v>161</v>
      </c>
      <c r="B188" s="611"/>
      <c r="C188" s="253">
        <f t="shared" ref="C188:N188" si="119">SUM(C189:C224)</f>
        <v>54067</v>
      </c>
      <c r="D188" s="253">
        <f t="shared" si="119"/>
        <v>22442</v>
      </c>
      <c r="E188" s="253">
        <f t="shared" si="119"/>
        <v>290525</v>
      </c>
      <c r="F188" s="253">
        <f t="shared" si="119"/>
        <v>211426</v>
      </c>
      <c r="G188" s="253">
        <f t="shared" si="119"/>
        <v>247102</v>
      </c>
      <c r="H188" s="253">
        <f t="shared" si="119"/>
        <v>115817</v>
      </c>
      <c r="I188" s="253">
        <f t="shared" si="119"/>
        <v>373572</v>
      </c>
      <c r="J188" s="253">
        <f t="shared" si="119"/>
        <v>2034046</v>
      </c>
      <c r="K188" s="253">
        <f t="shared" si="119"/>
        <v>3616986</v>
      </c>
      <c r="L188" s="253">
        <f t="shared" si="119"/>
        <v>3144736</v>
      </c>
      <c r="M188" s="253">
        <f t="shared" si="119"/>
        <v>0</v>
      </c>
      <c r="N188" s="253">
        <f t="shared" si="119"/>
        <v>0</v>
      </c>
      <c r="O188" s="27">
        <f>L188-L169</f>
        <v>551286</v>
      </c>
    </row>
    <row r="189" spans="1:26" x14ac:dyDescent="0.25">
      <c r="A189" s="266" t="s">
        <v>63</v>
      </c>
      <c r="B189" s="267" t="s">
        <v>162</v>
      </c>
      <c r="C189" s="268"/>
      <c r="D189" s="268"/>
      <c r="E189" s="268">
        <v>0</v>
      </c>
      <c r="F189" s="268">
        <v>131248</v>
      </c>
      <c r="G189" s="268">
        <v>0</v>
      </c>
      <c r="H189" s="268">
        <v>0</v>
      </c>
      <c r="I189" s="268">
        <v>0</v>
      </c>
      <c r="J189" s="268">
        <v>0</v>
      </c>
      <c r="K189" s="268">
        <v>0</v>
      </c>
      <c r="L189" s="268">
        <v>0</v>
      </c>
      <c r="M189" s="268"/>
      <c r="N189" s="268"/>
      <c r="O189" s="1"/>
    </row>
    <row r="190" spans="1:26" ht="15.75" thickBot="1" x14ac:dyDescent="0.3">
      <c r="A190" s="271" t="s">
        <v>63</v>
      </c>
      <c r="B190" s="272" t="s">
        <v>190</v>
      </c>
      <c r="C190" s="273"/>
      <c r="D190" s="273"/>
      <c r="E190" s="273">
        <v>26434</v>
      </c>
      <c r="F190" s="273">
        <v>3587</v>
      </c>
      <c r="G190" s="273">
        <v>0</v>
      </c>
      <c r="H190" s="273">
        <v>0</v>
      </c>
      <c r="I190" s="273">
        <v>0</v>
      </c>
      <c r="J190" s="273">
        <v>0</v>
      </c>
      <c r="K190" s="273">
        <v>0</v>
      </c>
      <c r="L190" s="273">
        <v>0</v>
      </c>
      <c r="M190" s="273"/>
      <c r="N190" s="273"/>
      <c r="O190" s="1"/>
    </row>
    <row r="191" spans="1:26" x14ac:dyDescent="0.25">
      <c r="A191" s="275" t="s">
        <v>82</v>
      </c>
      <c r="B191" s="265" t="s">
        <v>163</v>
      </c>
      <c r="C191" s="276"/>
      <c r="D191" s="276"/>
      <c r="E191" s="276">
        <v>0</v>
      </c>
      <c r="F191" s="276">
        <v>0</v>
      </c>
      <c r="G191" s="276">
        <v>5400</v>
      </c>
      <c r="H191" s="276">
        <v>0</v>
      </c>
      <c r="I191" s="276">
        <v>0</v>
      </c>
      <c r="J191" s="276">
        <v>1500</v>
      </c>
      <c r="K191" s="276">
        <v>1500</v>
      </c>
      <c r="L191" s="276">
        <v>1500</v>
      </c>
      <c r="M191" s="276"/>
      <c r="N191" s="276"/>
      <c r="O191" s="1"/>
    </row>
    <row r="192" spans="1:26" x14ac:dyDescent="0.25">
      <c r="A192" s="277" t="s">
        <v>84</v>
      </c>
      <c r="B192" s="478" t="s">
        <v>262</v>
      </c>
      <c r="C192" s="279"/>
      <c r="D192" s="279"/>
      <c r="E192" s="279"/>
      <c r="F192" s="279">
        <v>0</v>
      </c>
      <c r="G192" s="279">
        <v>0</v>
      </c>
      <c r="H192" s="279">
        <v>0</v>
      </c>
      <c r="I192" s="279">
        <v>2943</v>
      </c>
      <c r="J192" s="279">
        <v>0</v>
      </c>
      <c r="K192" s="279">
        <v>0</v>
      </c>
      <c r="L192" s="279"/>
      <c r="M192" s="279"/>
      <c r="N192" s="279"/>
      <c r="O192" s="1"/>
    </row>
    <row r="193" spans="1:15" ht="15.75" thickBot="1" x14ac:dyDescent="0.3">
      <c r="A193" s="271" t="s">
        <v>84</v>
      </c>
      <c r="B193" s="382" t="s">
        <v>199</v>
      </c>
      <c r="C193" s="273"/>
      <c r="D193" s="273"/>
      <c r="E193" s="273">
        <v>0</v>
      </c>
      <c r="F193" s="273">
        <v>6813</v>
      </c>
      <c r="G193" s="273">
        <v>0</v>
      </c>
      <c r="H193" s="273">
        <v>20321</v>
      </c>
      <c r="I193" s="273">
        <v>0</v>
      </c>
      <c r="J193" s="273">
        <v>0</v>
      </c>
      <c r="K193" s="273">
        <v>0</v>
      </c>
      <c r="L193" s="273"/>
      <c r="M193" s="273"/>
      <c r="N193" s="273"/>
      <c r="O193" s="1"/>
    </row>
    <row r="194" spans="1:15" x14ac:dyDescent="0.25">
      <c r="A194" s="280" t="s">
        <v>87</v>
      </c>
      <c r="B194" s="563" t="s">
        <v>334</v>
      </c>
      <c r="C194" s="282"/>
      <c r="D194" s="282"/>
      <c r="E194" s="282"/>
      <c r="F194" s="282"/>
      <c r="G194" s="282"/>
      <c r="H194" s="282"/>
      <c r="I194" s="282"/>
      <c r="J194" s="282"/>
      <c r="K194" s="282">
        <v>154700</v>
      </c>
      <c r="L194" s="282">
        <v>151200</v>
      </c>
      <c r="M194" s="282"/>
      <c r="N194" s="282"/>
      <c r="O194" s="1"/>
    </row>
    <row r="195" spans="1:15" x14ac:dyDescent="0.25">
      <c r="A195" s="280" t="s">
        <v>89</v>
      </c>
      <c r="B195" s="281" t="s">
        <v>210</v>
      </c>
      <c r="C195" s="282"/>
      <c r="D195" s="282"/>
      <c r="E195" s="282"/>
      <c r="F195" s="282">
        <v>0</v>
      </c>
      <c r="G195" s="282">
        <v>15200</v>
      </c>
      <c r="H195" s="282">
        <v>0</v>
      </c>
      <c r="I195" s="282">
        <v>0</v>
      </c>
      <c r="J195" s="282">
        <v>0</v>
      </c>
      <c r="K195" s="282">
        <v>0</v>
      </c>
      <c r="L195" s="282"/>
      <c r="M195" s="282"/>
      <c r="N195" s="282"/>
      <c r="O195" s="27"/>
    </row>
    <row r="196" spans="1:15" x14ac:dyDescent="0.25">
      <c r="A196" s="269" t="s">
        <v>89</v>
      </c>
      <c r="B196" s="283" t="s">
        <v>197</v>
      </c>
      <c r="C196" s="270"/>
      <c r="D196" s="270"/>
      <c r="E196" s="270">
        <v>213721</v>
      </c>
      <c r="F196" s="270">
        <v>0</v>
      </c>
      <c r="G196" s="270">
        <f>390</f>
        <v>390</v>
      </c>
      <c r="H196" s="270">
        <v>0</v>
      </c>
      <c r="I196" s="270">
        <v>0</v>
      </c>
      <c r="J196" s="270">
        <v>390000</v>
      </c>
      <c r="K196" s="270">
        <v>0</v>
      </c>
      <c r="L196" s="270"/>
      <c r="M196" s="270"/>
      <c r="N196" s="270"/>
      <c r="O196" s="1"/>
    </row>
    <row r="197" spans="1:15" x14ac:dyDescent="0.25">
      <c r="A197" s="280" t="s">
        <v>89</v>
      </c>
      <c r="B197" s="281" t="s">
        <v>335</v>
      </c>
      <c r="C197" s="279"/>
      <c r="D197" s="270"/>
      <c r="E197" s="270"/>
      <c r="F197" s="270">
        <v>0</v>
      </c>
      <c r="G197" s="270">
        <v>38416</v>
      </c>
      <c r="H197" s="270">
        <v>0</v>
      </c>
      <c r="I197" s="270">
        <v>0</v>
      </c>
      <c r="J197" s="270">
        <v>0</v>
      </c>
      <c r="K197" s="270">
        <v>370000</v>
      </c>
      <c r="L197" s="270">
        <v>100000</v>
      </c>
      <c r="M197" s="270"/>
      <c r="N197" s="270"/>
      <c r="O197" s="1"/>
    </row>
    <row r="198" spans="1:15" x14ac:dyDescent="0.25">
      <c r="A198" s="580" t="s">
        <v>93</v>
      </c>
      <c r="B198" s="581" t="s">
        <v>352</v>
      </c>
      <c r="C198" s="279"/>
      <c r="D198" s="282"/>
      <c r="E198" s="282"/>
      <c r="F198" s="282"/>
      <c r="G198" s="282"/>
      <c r="H198" s="282"/>
      <c r="I198" s="282"/>
      <c r="J198" s="282"/>
      <c r="K198" s="282"/>
      <c r="L198" s="282">
        <v>196500</v>
      </c>
      <c r="M198" s="282"/>
      <c r="N198" s="282"/>
      <c r="O198" s="1"/>
    </row>
    <row r="199" spans="1:15" ht="15.75" thickBot="1" x14ac:dyDescent="0.3">
      <c r="A199" s="495" t="s">
        <v>93</v>
      </c>
      <c r="B199" s="496" t="s">
        <v>211</v>
      </c>
      <c r="C199" s="274"/>
      <c r="D199" s="273"/>
      <c r="E199" s="273"/>
      <c r="F199" s="273">
        <v>0</v>
      </c>
      <c r="G199" s="273">
        <v>3547</v>
      </c>
      <c r="H199" s="273">
        <v>0</v>
      </c>
      <c r="I199" s="273">
        <v>0</v>
      </c>
      <c r="J199" s="273">
        <v>0</v>
      </c>
      <c r="K199" s="273">
        <v>0</v>
      </c>
      <c r="L199" s="273"/>
      <c r="M199" s="273"/>
      <c r="N199" s="273"/>
      <c r="O199" s="1"/>
    </row>
    <row r="200" spans="1:15" x14ac:dyDescent="0.25">
      <c r="A200" s="277" t="s">
        <v>164</v>
      </c>
      <c r="B200" s="278" t="s">
        <v>165</v>
      </c>
      <c r="C200" s="279">
        <v>2107</v>
      </c>
      <c r="D200" s="279">
        <v>114</v>
      </c>
      <c r="E200" s="279">
        <v>0</v>
      </c>
      <c r="F200" s="279">
        <v>0</v>
      </c>
      <c r="G200" s="279">
        <v>140</v>
      </c>
      <c r="H200" s="279">
        <v>0</v>
      </c>
      <c r="I200" s="279">
        <v>0</v>
      </c>
      <c r="J200" s="279">
        <v>25000</v>
      </c>
      <c r="K200" s="279">
        <v>21650</v>
      </c>
      <c r="L200" s="279">
        <v>23000</v>
      </c>
      <c r="M200" s="279"/>
      <c r="N200" s="279"/>
      <c r="O200" s="1"/>
    </row>
    <row r="201" spans="1:15" x14ac:dyDescent="0.25">
      <c r="A201" s="284" t="s">
        <v>164</v>
      </c>
      <c r="B201" s="283" t="s">
        <v>200</v>
      </c>
      <c r="C201" s="270">
        <v>49262</v>
      </c>
      <c r="D201" s="270">
        <v>19728</v>
      </c>
      <c r="E201" s="270">
        <v>10645</v>
      </c>
      <c r="F201" s="270">
        <v>20733</v>
      </c>
      <c r="G201" s="270">
        <v>21493</v>
      </c>
      <c r="H201" s="270">
        <v>2827</v>
      </c>
      <c r="I201" s="270">
        <v>42726</v>
      </c>
      <c r="J201" s="270">
        <v>30000</v>
      </c>
      <c r="K201" s="270">
        <v>30000</v>
      </c>
      <c r="L201" s="270">
        <v>30000</v>
      </c>
      <c r="M201" s="270"/>
      <c r="N201" s="270"/>
      <c r="O201" s="1"/>
    </row>
    <row r="202" spans="1:15" x14ac:dyDescent="0.25">
      <c r="A202" s="284" t="s">
        <v>96</v>
      </c>
      <c r="B202" s="401" t="s">
        <v>192</v>
      </c>
      <c r="C202" s="270"/>
      <c r="D202" s="270"/>
      <c r="E202" s="270"/>
      <c r="F202" s="270">
        <v>0</v>
      </c>
      <c r="G202" s="270">
        <v>0</v>
      </c>
      <c r="H202" s="270">
        <v>0</v>
      </c>
      <c r="I202" s="270">
        <v>0</v>
      </c>
      <c r="J202" s="270">
        <v>0</v>
      </c>
      <c r="K202" s="270">
        <v>0</v>
      </c>
      <c r="L202" s="270"/>
      <c r="M202" s="270"/>
      <c r="N202" s="270"/>
      <c r="O202" s="27"/>
    </row>
    <row r="203" spans="1:15" x14ac:dyDescent="0.25">
      <c r="A203" s="287" t="s">
        <v>96</v>
      </c>
      <c r="B203" s="285" t="s">
        <v>203</v>
      </c>
      <c r="C203" s="270"/>
      <c r="D203" s="270">
        <v>2600</v>
      </c>
      <c r="E203" s="270">
        <v>0</v>
      </c>
      <c r="F203" s="270">
        <v>35581</v>
      </c>
      <c r="G203" s="270">
        <v>11503</v>
      </c>
      <c r="H203" s="270">
        <v>0</v>
      </c>
      <c r="I203" s="270">
        <v>17212</v>
      </c>
      <c r="J203" s="270">
        <v>10000</v>
      </c>
      <c r="K203" s="270">
        <f>3000+7000</f>
        <v>10000</v>
      </c>
      <c r="L203" s="270">
        <v>10000</v>
      </c>
      <c r="M203" s="270"/>
      <c r="N203" s="270"/>
      <c r="O203" s="27"/>
    </row>
    <row r="204" spans="1:15" x14ac:dyDescent="0.25">
      <c r="A204" s="288" t="s">
        <v>96</v>
      </c>
      <c r="B204" s="421" t="s">
        <v>218</v>
      </c>
      <c r="C204" s="270"/>
      <c r="D204" s="270"/>
      <c r="E204" s="270"/>
      <c r="F204" s="270">
        <v>0</v>
      </c>
      <c r="G204" s="270">
        <v>2136</v>
      </c>
      <c r="H204" s="270">
        <v>0</v>
      </c>
      <c r="I204" s="270">
        <v>0</v>
      </c>
      <c r="J204" s="270">
        <v>0</v>
      </c>
      <c r="K204" s="270">
        <v>0</v>
      </c>
      <c r="L204" s="270"/>
      <c r="M204" s="270"/>
      <c r="N204" s="270"/>
      <c r="O204" s="1"/>
    </row>
    <row r="205" spans="1:15" x14ac:dyDescent="0.25">
      <c r="A205" s="284" t="s">
        <v>96</v>
      </c>
      <c r="B205" s="283" t="s">
        <v>187</v>
      </c>
      <c r="C205" s="270"/>
      <c r="D205" s="270"/>
      <c r="E205" s="270">
        <v>36425</v>
      </c>
      <c r="F205" s="270">
        <v>0</v>
      </c>
      <c r="G205" s="270">
        <v>0</v>
      </c>
      <c r="H205" s="270">
        <v>0</v>
      </c>
      <c r="I205" s="270">
        <v>0</v>
      </c>
      <c r="J205" s="270">
        <v>0</v>
      </c>
      <c r="K205" s="270">
        <v>0</v>
      </c>
      <c r="L205" s="270"/>
      <c r="M205" s="270"/>
      <c r="N205" s="270"/>
      <c r="O205" s="1"/>
    </row>
    <row r="206" spans="1:15" x14ac:dyDescent="0.25">
      <c r="A206" s="284" t="s">
        <v>96</v>
      </c>
      <c r="B206" s="498" t="s">
        <v>360</v>
      </c>
      <c r="C206" s="270"/>
      <c r="D206" s="270"/>
      <c r="E206" s="270"/>
      <c r="F206" s="270">
        <v>0</v>
      </c>
      <c r="G206" s="270">
        <v>6363</v>
      </c>
      <c r="H206" s="270">
        <v>10854</v>
      </c>
      <c r="I206" s="270">
        <v>1014</v>
      </c>
      <c r="J206" s="270">
        <v>100000</v>
      </c>
      <c r="K206" s="270">
        <v>50000</v>
      </c>
      <c r="L206" s="270">
        <v>221836</v>
      </c>
      <c r="M206" s="270"/>
      <c r="N206" s="270"/>
      <c r="O206" s="1"/>
    </row>
    <row r="207" spans="1:15" x14ac:dyDescent="0.25">
      <c r="A207" s="287" t="s">
        <v>302</v>
      </c>
      <c r="B207" s="536" t="s">
        <v>344</v>
      </c>
      <c r="C207" s="279"/>
      <c r="D207" s="279"/>
      <c r="E207" s="279"/>
      <c r="F207" s="276">
        <v>0</v>
      </c>
      <c r="G207" s="276">
        <v>0</v>
      </c>
      <c r="H207" s="276">
        <v>0</v>
      </c>
      <c r="I207" s="276">
        <v>0</v>
      </c>
      <c r="J207" s="276">
        <v>218000</v>
      </c>
      <c r="K207" s="276">
        <v>196900</v>
      </c>
      <c r="L207" s="276">
        <v>216000</v>
      </c>
      <c r="M207" s="276"/>
      <c r="N207" s="276"/>
      <c r="O207" s="1"/>
    </row>
    <row r="208" spans="1:15" x14ac:dyDescent="0.25">
      <c r="A208" s="287" t="s">
        <v>98</v>
      </c>
      <c r="B208" s="497" t="s">
        <v>275</v>
      </c>
      <c r="C208" s="279"/>
      <c r="D208" s="279"/>
      <c r="E208" s="279"/>
      <c r="F208" s="276">
        <v>0</v>
      </c>
      <c r="G208" s="276">
        <v>0</v>
      </c>
      <c r="H208" s="276">
        <v>0</v>
      </c>
      <c r="I208" s="276">
        <v>0</v>
      </c>
      <c r="J208" s="276">
        <v>85000</v>
      </c>
      <c r="K208" s="276">
        <v>197000</v>
      </c>
      <c r="L208" s="276">
        <v>112000</v>
      </c>
      <c r="M208" s="276"/>
      <c r="N208" s="276"/>
      <c r="O208" s="27"/>
    </row>
    <row r="209" spans="1:15" x14ac:dyDescent="0.25">
      <c r="A209" s="284" t="s">
        <v>100</v>
      </c>
      <c r="B209" s="498" t="s">
        <v>276</v>
      </c>
      <c r="C209" s="279"/>
      <c r="D209" s="279"/>
      <c r="E209" s="279"/>
      <c r="F209" s="270">
        <v>0</v>
      </c>
      <c r="G209" s="270">
        <v>0</v>
      </c>
      <c r="H209" s="270">
        <v>0</v>
      </c>
      <c r="I209" s="270">
        <v>9100</v>
      </c>
      <c r="J209" s="270"/>
      <c r="K209" s="270">
        <v>0</v>
      </c>
      <c r="L209" s="270">
        <v>0</v>
      </c>
      <c r="M209" s="270"/>
      <c r="N209" s="270"/>
      <c r="O209" s="27"/>
    </row>
    <row r="210" spans="1:15" ht="15.75" thickBot="1" x14ac:dyDescent="0.3">
      <c r="A210" s="499" t="s">
        <v>100</v>
      </c>
      <c r="B210" s="500" t="s">
        <v>277</v>
      </c>
      <c r="C210" s="274"/>
      <c r="D210" s="274"/>
      <c r="E210" s="274"/>
      <c r="F210" s="273">
        <v>0</v>
      </c>
      <c r="G210" s="273">
        <v>0</v>
      </c>
      <c r="H210" s="273">
        <v>0</v>
      </c>
      <c r="I210" s="273">
        <v>84885</v>
      </c>
      <c r="J210" s="273">
        <v>0</v>
      </c>
      <c r="K210" s="273">
        <v>0</v>
      </c>
      <c r="L210" s="273">
        <v>0</v>
      </c>
      <c r="M210" s="273"/>
      <c r="N210" s="273"/>
      <c r="O210" s="27"/>
    </row>
    <row r="211" spans="1:15" x14ac:dyDescent="0.25">
      <c r="A211" s="287" t="s">
        <v>111</v>
      </c>
      <c r="B211" s="285" t="s">
        <v>166</v>
      </c>
      <c r="C211" s="276"/>
      <c r="D211" s="276"/>
      <c r="E211" s="276">
        <v>0</v>
      </c>
      <c r="F211" s="276">
        <v>0</v>
      </c>
      <c r="G211" s="276">
        <v>38201</v>
      </c>
      <c r="H211" s="276">
        <v>2478</v>
      </c>
      <c r="I211" s="276">
        <v>0</v>
      </c>
      <c r="J211" s="276">
        <v>0</v>
      </c>
      <c r="K211" s="276">
        <v>0</v>
      </c>
      <c r="L211" s="276">
        <v>0</v>
      </c>
      <c r="M211" s="276"/>
      <c r="N211" s="276"/>
      <c r="O211" s="27"/>
    </row>
    <row r="212" spans="1:15" ht="15" customHeight="1" x14ac:dyDescent="0.25">
      <c r="A212" s="289" t="s">
        <v>111</v>
      </c>
      <c r="B212" s="290" t="s">
        <v>167</v>
      </c>
      <c r="C212" s="282"/>
      <c r="D212" s="282"/>
      <c r="E212" s="282">
        <v>0</v>
      </c>
      <c r="F212" s="282">
        <v>0</v>
      </c>
      <c r="G212" s="282">
        <v>0</v>
      </c>
      <c r="H212" s="282">
        <v>0</v>
      </c>
      <c r="I212" s="282">
        <v>0</v>
      </c>
      <c r="J212" s="282">
        <v>0</v>
      </c>
      <c r="K212" s="282">
        <v>0</v>
      </c>
      <c r="L212" s="282">
        <v>0</v>
      </c>
      <c r="M212" s="279"/>
      <c r="N212" s="279"/>
      <c r="O212" s="1"/>
    </row>
    <row r="213" spans="1:15" x14ac:dyDescent="0.25">
      <c r="A213" s="289" t="s">
        <v>111</v>
      </c>
      <c r="B213" s="290" t="s">
        <v>278</v>
      </c>
      <c r="C213" s="282"/>
      <c r="D213" s="282"/>
      <c r="E213" s="282">
        <v>0</v>
      </c>
      <c r="F213" s="282">
        <v>0</v>
      </c>
      <c r="G213" s="282">
        <v>0</v>
      </c>
      <c r="H213" s="282">
        <v>0</v>
      </c>
      <c r="I213" s="282">
        <v>51987</v>
      </c>
      <c r="J213" s="282">
        <v>202000</v>
      </c>
      <c r="K213" s="282">
        <v>207000</v>
      </c>
      <c r="L213" s="282">
        <v>196100</v>
      </c>
      <c r="M213" s="282"/>
      <c r="N213" s="282"/>
      <c r="O213" s="1"/>
    </row>
    <row r="214" spans="1:15" x14ac:dyDescent="0.25">
      <c r="A214" s="289" t="s">
        <v>111</v>
      </c>
      <c r="B214" s="290" t="s">
        <v>332</v>
      </c>
      <c r="C214" s="282"/>
      <c r="D214" s="282"/>
      <c r="E214" s="282"/>
      <c r="F214" s="282"/>
      <c r="G214" s="282"/>
      <c r="H214" s="282"/>
      <c r="I214" s="282"/>
      <c r="J214" s="282"/>
      <c r="K214" s="282"/>
      <c r="L214" s="282">
        <v>30000</v>
      </c>
      <c r="M214" s="282"/>
      <c r="N214" s="282"/>
      <c r="O214" s="1"/>
    </row>
    <row r="215" spans="1:15" x14ac:dyDescent="0.25">
      <c r="A215" s="289" t="s">
        <v>111</v>
      </c>
      <c r="B215" s="290" t="s">
        <v>339</v>
      </c>
      <c r="C215" s="282"/>
      <c r="D215" s="282"/>
      <c r="E215" s="282"/>
      <c r="F215" s="282"/>
      <c r="G215" s="282"/>
      <c r="H215" s="282"/>
      <c r="I215" s="282"/>
      <c r="J215" s="282"/>
      <c r="K215" s="282"/>
      <c r="L215" s="282">
        <v>55000</v>
      </c>
      <c r="M215" s="282"/>
      <c r="N215" s="282"/>
      <c r="O215" s="1"/>
    </row>
    <row r="216" spans="1:15" x14ac:dyDescent="0.25">
      <c r="A216" s="289" t="s">
        <v>113</v>
      </c>
      <c r="B216" s="290" t="s">
        <v>331</v>
      </c>
      <c r="C216" s="282"/>
      <c r="D216" s="282"/>
      <c r="E216" s="282">
        <v>3300</v>
      </c>
      <c r="F216" s="282">
        <v>0</v>
      </c>
      <c r="G216" s="282">
        <v>0</v>
      </c>
      <c r="H216" s="282">
        <v>0</v>
      </c>
      <c r="I216" s="282">
        <v>0</v>
      </c>
      <c r="J216" s="282">
        <v>0</v>
      </c>
      <c r="K216" s="282">
        <v>0</v>
      </c>
      <c r="L216" s="282">
        <v>15000</v>
      </c>
      <c r="M216" s="282"/>
      <c r="N216" s="282"/>
      <c r="O216" s="1"/>
    </row>
    <row r="217" spans="1:15" x14ac:dyDescent="0.25">
      <c r="A217" s="289" t="s">
        <v>113</v>
      </c>
      <c r="B217" s="283" t="s">
        <v>303</v>
      </c>
      <c r="C217" s="282"/>
      <c r="D217" s="282"/>
      <c r="E217" s="282"/>
      <c r="F217" s="282">
        <v>0</v>
      </c>
      <c r="G217" s="282">
        <v>0</v>
      </c>
      <c r="H217" s="282">
        <v>0</v>
      </c>
      <c r="I217" s="282">
        <v>0</v>
      </c>
      <c r="J217" s="282">
        <v>200000</v>
      </c>
      <c r="K217" s="282">
        <v>192000</v>
      </c>
      <c r="L217" s="282">
        <v>0</v>
      </c>
      <c r="M217" s="282"/>
      <c r="N217" s="282"/>
      <c r="O217" s="27"/>
    </row>
    <row r="218" spans="1:15" ht="15.75" customHeight="1" thickBot="1" x14ac:dyDescent="0.3">
      <c r="A218" s="286" t="s">
        <v>113</v>
      </c>
      <c r="B218" s="501" t="s">
        <v>327</v>
      </c>
      <c r="C218" s="273">
        <v>2698</v>
      </c>
      <c r="D218" s="273"/>
      <c r="E218" s="273">
        <v>0</v>
      </c>
      <c r="F218" s="273">
        <v>0</v>
      </c>
      <c r="G218" s="273">
        <v>0</v>
      </c>
      <c r="H218" s="273">
        <v>0</v>
      </c>
      <c r="I218" s="273">
        <v>2083</v>
      </c>
      <c r="J218" s="273">
        <v>100886</v>
      </c>
      <c r="K218" s="273">
        <v>382526</v>
      </c>
      <c r="L218" s="273">
        <v>412400</v>
      </c>
      <c r="M218" s="273"/>
      <c r="N218" s="273"/>
      <c r="O218" s="1"/>
    </row>
    <row r="219" spans="1:15" x14ac:dyDescent="0.25">
      <c r="A219" s="292" t="s">
        <v>122</v>
      </c>
      <c r="B219" s="265" t="s">
        <v>212</v>
      </c>
      <c r="C219" s="276"/>
      <c r="D219" s="276"/>
      <c r="E219" s="276"/>
      <c r="F219" s="276">
        <v>0</v>
      </c>
      <c r="G219" s="276">
        <v>0</v>
      </c>
      <c r="H219" s="276">
        <v>0</v>
      </c>
      <c r="I219" s="276">
        <v>161622</v>
      </c>
      <c r="J219" s="276">
        <v>656010</v>
      </c>
      <c r="K219" s="276">
        <v>656010</v>
      </c>
      <c r="L219" s="276">
        <v>245000</v>
      </c>
      <c r="M219" s="276"/>
      <c r="N219" s="276"/>
      <c r="O219" s="1"/>
    </row>
    <row r="220" spans="1:15" x14ac:dyDescent="0.25">
      <c r="A220" s="289" t="s">
        <v>124</v>
      </c>
      <c r="B220" s="402" t="s">
        <v>204</v>
      </c>
      <c r="C220" s="279"/>
      <c r="D220" s="270"/>
      <c r="E220" s="270"/>
      <c r="F220" s="270">
        <v>2220</v>
      </c>
      <c r="G220" s="270">
        <v>3073</v>
      </c>
      <c r="H220" s="270">
        <v>0</v>
      </c>
      <c r="I220" s="270">
        <v>0</v>
      </c>
      <c r="J220" s="270">
        <v>0</v>
      </c>
      <c r="K220" s="270">
        <v>0</v>
      </c>
      <c r="L220" s="270">
        <v>0</v>
      </c>
      <c r="M220" s="270"/>
      <c r="N220" s="270"/>
      <c r="O220" s="1"/>
    </row>
    <row r="221" spans="1:15" x14ac:dyDescent="0.25">
      <c r="A221" s="289" t="s">
        <v>124</v>
      </c>
      <c r="B221" s="537" t="s">
        <v>293</v>
      </c>
      <c r="C221" s="279"/>
      <c r="D221" s="282"/>
      <c r="E221" s="282"/>
      <c r="F221" s="282">
        <v>0</v>
      </c>
      <c r="G221" s="282">
        <v>0</v>
      </c>
      <c r="H221" s="282">
        <v>0</v>
      </c>
      <c r="I221" s="282">
        <v>0</v>
      </c>
      <c r="J221" s="282">
        <v>8200</v>
      </c>
      <c r="K221" s="282">
        <v>1147700</v>
      </c>
      <c r="L221" s="282">
        <v>1129200</v>
      </c>
      <c r="M221" s="282"/>
      <c r="N221" s="282"/>
      <c r="O221" s="1"/>
    </row>
    <row r="222" spans="1:15" ht="15" customHeight="1" thickBot="1" x14ac:dyDescent="0.3">
      <c r="A222" s="293" t="s">
        <v>124</v>
      </c>
      <c r="B222" s="502" t="s">
        <v>205</v>
      </c>
      <c r="C222" s="274"/>
      <c r="D222" s="273"/>
      <c r="E222" s="273"/>
      <c r="F222" s="273">
        <v>11244</v>
      </c>
      <c r="G222" s="273">
        <v>0</v>
      </c>
      <c r="H222" s="273">
        <v>0</v>
      </c>
      <c r="I222" s="273">
        <v>0</v>
      </c>
      <c r="J222" s="273">
        <v>0</v>
      </c>
      <c r="K222" s="273">
        <v>0</v>
      </c>
      <c r="L222" s="273">
        <v>0</v>
      </c>
      <c r="M222" s="273"/>
      <c r="N222" s="273"/>
      <c r="O222" s="1"/>
    </row>
    <row r="223" spans="1:15" ht="15" customHeight="1" thickBot="1" x14ac:dyDescent="0.3">
      <c r="A223" s="291" t="s">
        <v>125</v>
      </c>
      <c r="B223" s="538" t="s">
        <v>304</v>
      </c>
      <c r="C223" s="274"/>
      <c r="D223" s="274"/>
      <c r="E223" s="274"/>
      <c r="F223" s="274">
        <v>0</v>
      </c>
      <c r="G223" s="274">
        <v>0</v>
      </c>
      <c r="H223" s="274">
        <v>0</v>
      </c>
      <c r="I223" s="274">
        <v>0</v>
      </c>
      <c r="J223" s="274">
        <v>7450</v>
      </c>
      <c r="K223" s="274">
        <v>0</v>
      </c>
      <c r="L223" s="274">
        <v>0</v>
      </c>
      <c r="M223" s="274"/>
      <c r="N223" s="274"/>
      <c r="O223" s="1"/>
    </row>
    <row r="224" spans="1:15" ht="15" customHeight="1" thickBot="1" x14ac:dyDescent="0.3">
      <c r="A224" s="291" t="s">
        <v>135</v>
      </c>
      <c r="B224" s="409" t="s">
        <v>213</v>
      </c>
      <c r="C224" s="274"/>
      <c r="D224" s="274"/>
      <c r="E224" s="274">
        <v>0</v>
      </c>
      <c r="F224" s="274">
        <v>0</v>
      </c>
      <c r="G224" s="274">
        <v>101240</v>
      </c>
      <c r="H224" s="274">
        <v>79337</v>
      </c>
      <c r="I224" s="274">
        <v>0</v>
      </c>
      <c r="J224" s="274">
        <v>0</v>
      </c>
      <c r="K224" s="274">
        <v>0</v>
      </c>
      <c r="L224" s="274">
        <v>0</v>
      </c>
      <c r="M224" s="274"/>
      <c r="N224" s="274"/>
      <c r="O224" s="296"/>
    </row>
    <row r="225" spans="1:17" x14ac:dyDescent="0.25">
      <c r="A225" s="294"/>
      <c r="B225" s="295"/>
      <c r="C225" s="295"/>
      <c r="D225" s="295"/>
      <c r="E225" s="296"/>
      <c r="F225" s="296"/>
      <c r="G225" s="296"/>
      <c r="H225" s="296"/>
      <c r="I225" s="296"/>
      <c r="J225" s="296"/>
      <c r="K225" s="296"/>
      <c r="L225" s="296"/>
      <c r="M225" s="296"/>
      <c r="N225" s="296"/>
      <c r="O225" s="1"/>
    </row>
    <row r="226" spans="1:17" x14ac:dyDescent="0.25">
      <c r="A226" s="297"/>
      <c r="B226" s="298"/>
      <c r="C226" s="298"/>
      <c r="D226" s="298"/>
      <c r="E226" s="299"/>
      <c r="F226" s="299"/>
      <c r="G226" s="299"/>
      <c r="H226" s="299"/>
      <c r="I226" s="299"/>
      <c r="J226" s="299"/>
      <c r="K226" s="299"/>
      <c r="L226" s="299"/>
      <c r="M226" s="299"/>
      <c r="N226" s="299"/>
      <c r="O226" s="1"/>
    </row>
    <row r="227" spans="1:17" ht="18.75" thickBot="1" x14ac:dyDescent="0.3">
      <c r="A227" s="612" t="s">
        <v>168</v>
      </c>
      <c r="B227" s="613"/>
      <c r="C227" s="613"/>
      <c r="D227" s="613"/>
      <c r="E227" s="613"/>
      <c r="F227" s="613"/>
      <c r="G227" s="613"/>
      <c r="H227" s="613"/>
      <c r="I227" s="613"/>
      <c r="J227" s="613"/>
      <c r="K227" s="613"/>
      <c r="L227" s="613"/>
      <c r="M227" s="613"/>
      <c r="N227" s="613"/>
      <c r="O227" s="27"/>
    </row>
    <row r="228" spans="1:17" ht="38.25" customHeight="1" thickBot="1" x14ac:dyDescent="0.3">
      <c r="A228" s="616" t="s">
        <v>1</v>
      </c>
      <c r="B228" s="618"/>
      <c r="C228" s="388" t="s">
        <v>2</v>
      </c>
      <c r="D228" s="388" t="s">
        <v>3</v>
      </c>
      <c r="E228" s="388" t="s">
        <v>186</v>
      </c>
      <c r="F228" s="388" t="s">
        <v>201</v>
      </c>
      <c r="G228" s="475" t="s">
        <v>237</v>
      </c>
      <c r="H228" s="475" t="s">
        <v>264</v>
      </c>
      <c r="I228" s="475" t="s">
        <v>324</v>
      </c>
      <c r="J228" s="387" t="s">
        <v>328</v>
      </c>
      <c r="K228" s="387" t="s">
        <v>345</v>
      </c>
      <c r="L228" s="387" t="s">
        <v>238</v>
      </c>
      <c r="M228" s="387" t="s">
        <v>265</v>
      </c>
      <c r="N228" s="387" t="s">
        <v>306</v>
      </c>
      <c r="O228" s="27"/>
    </row>
    <row r="229" spans="1:17" ht="19.5" customHeight="1" thickBot="1" x14ac:dyDescent="0.3">
      <c r="A229" s="410" t="s">
        <v>169</v>
      </c>
      <c r="B229" s="411"/>
      <c r="C229" s="412">
        <f>SUM(C230:C248)</f>
        <v>87331</v>
      </c>
      <c r="D229" s="412">
        <f t="shared" ref="D229:E229" si="120">SUM(D231:D249)</f>
        <v>129336</v>
      </c>
      <c r="E229" s="412">
        <f t="shared" si="120"/>
        <v>137207</v>
      </c>
      <c r="F229" s="412">
        <f>SUM(F230:F249)</f>
        <v>174149</v>
      </c>
      <c r="G229" s="412">
        <f t="shared" ref="G229:N229" si="121">SUM(G230:G249)</f>
        <v>249113</v>
      </c>
      <c r="H229" s="412">
        <f t="shared" si="121"/>
        <v>158714</v>
      </c>
      <c r="I229" s="412">
        <f t="shared" ref="I229" si="122">SUM(I230:I249)</f>
        <v>377462</v>
      </c>
      <c r="J229" s="412">
        <f t="shared" si="121"/>
        <v>931297</v>
      </c>
      <c r="K229" s="412">
        <f t="shared" si="121"/>
        <v>824026</v>
      </c>
      <c r="L229" s="412">
        <f t="shared" si="121"/>
        <v>571286</v>
      </c>
      <c r="M229" s="412">
        <f t="shared" si="121"/>
        <v>2000</v>
      </c>
      <c r="N229" s="412">
        <f t="shared" si="121"/>
        <v>2000</v>
      </c>
      <c r="O229" s="27"/>
    </row>
    <row r="230" spans="1:17" x14ac:dyDescent="0.25">
      <c r="A230" s="403">
        <v>453</v>
      </c>
      <c r="B230" s="404" t="s">
        <v>259</v>
      </c>
      <c r="C230" s="64">
        <v>0</v>
      </c>
      <c r="D230" s="64"/>
      <c r="E230" s="64">
        <v>0</v>
      </c>
      <c r="F230" s="64">
        <v>4901</v>
      </c>
      <c r="G230" s="64">
        <v>2349</v>
      </c>
      <c r="H230" s="64">
        <v>6000</v>
      </c>
      <c r="I230" s="64"/>
      <c r="J230" s="64">
        <v>0</v>
      </c>
      <c r="K230" s="64">
        <v>0</v>
      </c>
      <c r="L230" s="64">
        <v>0</v>
      </c>
      <c r="M230" s="64">
        <v>0</v>
      </c>
      <c r="N230" s="64">
        <v>0</v>
      </c>
      <c r="O230" s="27"/>
    </row>
    <row r="231" spans="1:17" x14ac:dyDescent="0.25">
      <c r="A231" s="403">
        <v>453</v>
      </c>
      <c r="B231" s="404" t="s">
        <v>256</v>
      </c>
      <c r="C231" s="64">
        <v>997</v>
      </c>
      <c r="D231" s="64">
        <v>561</v>
      </c>
      <c r="E231" s="64">
        <v>834</v>
      </c>
      <c r="F231" s="64">
        <v>10439</v>
      </c>
      <c r="G231" s="64">
        <v>18370</v>
      </c>
      <c r="H231" s="64">
        <v>24725</v>
      </c>
      <c r="I231" s="64">
        <v>5580</v>
      </c>
      <c r="J231" s="64">
        <v>24000</v>
      </c>
      <c r="K231" s="64">
        <v>22300</v>
      </c>
      <c r="L231" s="64">
        <f>10000+4000</f>
        <v>14000</v>
      </c>
      <c r="M231" s="64">
        <v>0</v>
      </c>
      <c r="N231" s="64">
        <v>0</v>
      </c>
      <c r="O231" s="27"/>
    </row>
    <row r="232" spans="1:17" x14ac:dyDescent="0.25">
      <c r="A232" s="403">
        <v>453</v>
      </c>
      <c r="B232" s="404" t="s">
        <v>298</v>
      </c>
      <c r="C232" s="477"/>
      <c r="D232" s="477"/>
      <c r="E232" s="477"/>
      <c r="F232" s="530">
        <v>0</v>
      </c>
      <c r="G232" s="64">
        <v>0</v>
      </c>
      <c r="H232" s="64">
        <v>0</v>
      </c>
      <c r="I232" s="64"/>
      <c r="J232" s="64">
        <v>8740</v>
      </c>
      <c r="K232" s="64">
        <v>8740</v>
      </c>
      <c r="L232" s="64">
        <v>0</v>
      </c>
      <c r="M232" s="64">
        <v>0</v>
      </c>
      <c r="N232" s="64">
        <v>0</v>
      </c>
      <c r="O232" s="27"/>
    </row>
    <row r="233" spans="1:17" x14ac:dyDescent="0.25">
      <c r="A233" s="403">
        <v>453</v>
      </c>
      <c r="B233" s="404" t="s">
        <v>290</v>
      </c>
      <c r="C233" s="64"/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1329</v>
      </c>
      <c r="J233" s="64">
        <v>1000</v>
      </c>
      <c r="K233" s="64">
        <v>600</v>
      </c>
      <c r="L233" s="64">
        <v>1500</v>
      </c>
      <c r="M233" s="64">
        <v>0</v>
      </c>
      <c r="N233" s="64">
        <v>0</v>
      </c>
      <c r="O233" s="27"/>
    </row>
    <row r="234" spans="1:17" x14ac:dyDescent="0.25">
      <c r="A234" s="560">
        <v>453</v>
      </c>
      <c r="B234" s="377" t="s">
        <v>257</v>
      </c>
      <c r="C234" s="477"/>
      <c r="D234" s="477">
        <v>0</v>
      </c>
      <c r="E234" s="477">
        <v>0</v>
      </c>
      <c r="F234" s="477">
        <v>0</v>
      </c>
      <c r="G234" s="477">
        <v>0</v>
      </c>
      <c r="H234" s="530">
        <v>64328</v>
      </c>
      <c r="I234" s="64">
        <v>12679</v>
      </c>
      <c r="J234" s="64">
        <v>1000</v>
      </c>
      <c r="K234" s="64">
        <f>760+330</f>
        <v>1090</v>
      </c>
      <c r="L234" s="530">
        <v>2500</v>
      </c>
      <c r="M234" s="64">
        <v>0</v>
      </c>
      <c r="N234" s="64">
        <v>0</v>
      </c>
      <c r="O234" s="27"/>
    </row>
    <row r="235" spans="1:17" ht="15.75" thickBot="1" x14ac:dyDescent="0.3">
      <c r="A235" s="476">
        <v>453</v>
      </c>
      <c r="B235" s="487" t="s">
        <v>255</v>
      </c>
      <c r="C235" s="477">
        <v>709</v>
      </c>
      <c r="D235" s="477"/>
      <c r="E235" s="477">
        <v>480</v>
      </c>
      <c r="F235" s="477">
        <v>2009</v>
      </c>
      <c r="G235" s="477">
        <v>251</v>
      </c>
      <c r="H235" s="477">
        <v>0</v>
      </c>
      <c r="I235" s="477">
        <v>722</v>
      </c>
      <c r="J235" s="477">
        <v>2000</v>
      </c>
      <c r="K235" s="477">
        <v>2000</v>
      </c>
      <c r="L235" s="477">
        <v>2000</v>
      </c>
      <c r="M235" s="477">
        <v>2000</v>
      </c>
      <c r="N235" s="477">
        <v>2000</v>
      </c>
      <c r="O235" s="27"/>
    </row>
    <row r="236" spans="1:17" ht="15.75" thickBot="1" x14ac:dyDescent="0.3">
      <c r="A236" s="303">
        <v>453</v>
      </c>
      <c r="B236" s="304" t="s">
        <v>258</v>
      </c>
      <c r="C236" s="305"/>
      <c r="D236" s="305">
        <v>0</v>
      </c>
      <c r="E236" s="305">
        <v>0</v>
      </c>
      <c r="F236" s="305">
        <v>0</v>
      </c>
      <c r="G236" s="305">
        <v>0</v>
      </c>
      <c r="H236" s="305">
        <v>0</v>
      </c>
      <c r="I236" s="305">
        <v>2024</v>
      </c>
      <c r="J236" s="305">
        <v>0</v>
      </c>
      <c r="K236" s="305">
        <v>0</v>
      </c>
      <c r="L236" s="305">
        <v>0</v>
      </c>
      <c r="M236" s="305">
        <v>0</v>
      </c>
      <c r="N236" s="305">
        <v>0</v>
      </c>
      <c r="O236" s="569">
        <f>SUM(L230:L236)</f>
        <v>20000</v>
      </c>
      <c r="P236" s="569">
        <f t="shared" ref="P236:Q236" si="123">SUM(M230:M236)</f>
        <v>2000</v>
      </c>
      <c r="Q236" s="569">
        <f t="shared" si="123"/>
        <v>2000</v>
      </c>
    </row>
    <row r="237" spans="1:17" x14ac:dyDescent="0.25">
      <c r="A237" s="476">
        <v>453</v>
      </c>
      <c r="B237" s="487" t="s">
        <v>292</v>
      </c>
      <c r="C237" s="477"/>
      <c r="D237" s="477"/>
      <c r="E237" s="477"/>
      <c r="F237" s="477">
        <v>0</v>
      </c>
      <c r="G237" s="477">
        <v>0</v>
      </c>
      <c r="H237" s="477">
        <v>0</v>
      </c>
      <c r="I237" s="477"/>
      <c r="J237" s="477">
        <v>105400</v>
      </c>
      <c r="K237" s="477">
        <v>105400</v>
      </c>
      <c r="L237" s="477">
        <f>105400</f>
        <v>105400</v>
      </c>
      <c r="M237" s="477">
        <v>0</v>
      </c>
      <c r="N237" s="477">
        <v>0</v>
      </c>
      <c r="O237" s="27"/>
      <c r="P237" s="27"/>
      <c r="Q237" s="27"/>
    </row>
    <row r="238" spans="1:17" x14ac:dyDescent="0.25">
      <c r="A238" s="300">
        <v>453</v>
      </c>
      <c r="B238" s="301" t="s">
        <v>297</v>
      </c>
      <c r="C238" s="302"/>
      <c r="D238" s="302"/>
      <c r="E238" s="302"/>
      <c r="F238" s="302">
        <v>0</v>
      </c>
      <c r="G238" s="302">
        <v>0</v>
      </c>
      <c r="H238" s="302">
        <v>0</v>
      </c>
      <c r="I238" s="302"/>
      <c r="J238" s="302">
        <v>91310</v>
      </c>
      <c r="K238" s="302">
        <v>91310</v>
      </c>
      <c r="L238" s="302">
        <v>0</v>
      </c>
      <c r="M238" s="302">
        <v>0</v>
      </c>
      <c r="N238" s="302">
        <v>0</v>
      </c>
      <c r="O238" s="27"/>
      <c r="P238" s="27"/>
      <c r="Q238" s="27"/>
    </row>
    <row r="239" spans="1:17" x14ac:dyDescent="0.25">
      <c r="A239" s="403">
        <v>453</v>
      </c>
      <c r="B239" s="404" t="s">
        <v>294</v>
      </c>
      <c r="C239" s="64"/>
      <c r="D239" s="64"/>
      <c r="E239" s="64"/>
      <c r="F239" s="64">
        <v>0</v>
      </c>
      <c r="G239" s="64">
        <v>0</v>
      </c>
      <c r="H239" s="64">
        <v>0</v>
      </c>
      <c r="I239" s="64"/>
      <c r="J239" s="64">
        <v>79700</v>
      </c>
      <c r="K239" s="64">
        <v>79700</v>
      </c>
      <c r="L239" s="64">
        <v>0</v>
      </c>
      <c r="M239" s="64">
        <v>0</v>
      </c>
      <c r="N239" s="64">
        <v>0</v>
      </c>
      <c r="O239" s="27"/>
    </row>
    <row r="240" spans="1:17" x14ac:dyDescent="0.25">
      <c r="A240" s="488">
        <v>453</v>
      </c>
      <c r="B240" s="377" t="s">
        <v>305</v>
      </c>
      <c r="C240" s="489"/>
      <c r="D240" s="489"/>
      <c r="E240" s="489"/>
      <c r="F240" s="489">
        <v>0</v>
      </c>
      <c r="G240" s="489">
        <v>0</v>
      </c>
      <c r="H240" s="489">
        <v>0</v>
      </c>
      <c r="I240" s="489"/>
      <c r="J240" s="489">
        <v>70000</v>
      </c>
      <c r="K240" s="489">
        <v>70000</v>
      </c>
      <c r="L240" s="489">
        <v>100000</v>
      </c>
      <c r="M240" s="489">
        <v>0</v>
      </c>
      <c r="N240" s="489">
        <v>0</v>
      </c>
    </row>
    <row r="241" spans="1:19" ht="15.75" thickBot="1" x14ac:dyDescent="0.3">
      <c r="A241" s="476">
        <v>453</v>
      </c>
      <c r="B241" s="487" t="s">
        <v>241</v>
      </c>
      <c r="C241" s="477"/>
      <c r="D241" s="477">
        <v>0</v>
      </c>
      <c r="E241" s="477">
        <v>0</v>
      </c>
      <c r="F241" s="477">
        <v>0</v>
      </c>
      <c r="G241" s="477">
        <v>0</v>
      </c>
      <c r="H241" s="477">
        <v>0</v>
      </c>
      <c r="I241" s="477"/>
      <c r="J241" s="477">
        <v>886</v>
      </c>
      <c r="K241" s="477">
        <v>886</v>
      </c>
      <c r="L241" s="477">
        <v>886</v>
      </c>
      <c r="M241" s="477">
        <v>0</v>
      </c>
      <c r="N241" s="477">
        <v>0</v>
      </c>
      <c r="O241" s="27">
        <f>SUM(L237:L241)</f>
        <v>206286</v>
      </c>
      <c r="P241" s="27">
        <f>SUM(M237:M241)</f>
        <v>0</v>
      </c>
      <c r="Q241" s="27">
        <f>SUM(N237:N241)</f>
        <v>0</v>
      </c>
      <c r="S241" s="426">
        <f>O188</f>
        <v>551286</v>
      </c>
    </row>
    <row r="242" spans="1:19" x14ac:dyDescent="0.25">
      <c r="A242" s="378">
        <v>454</v>
      </c>
      <c r="B242" s="379" t="s">
        <v>299</v>
      </c>
      <c r="C242" s="380"/>
      <c r="D242" s="380"/>
      <c r="E242" s="380"/>
      <c r="F242" s="380">
        <v>0</v>
      </c>
      <c r="G242" s="380">
        <v>65231</v>
      </c>
      <c r="H242" s="380">
        <v>0</v>
      </c>
      <c r="I242" s="380">
        <v>0</v>
      </c>
      <c r="J242" s="380">
        <v>0</v>
      </c>
      <c r="K242" s="380">
        <v>0</v>
      </c>
      <c r="L242" s="380"/>
      <c r="M242" s="380">
        <v>0</v>
      </c>
      <c r="N242" s="380">
        <v>0</v>
      </c>
      <c r="S242" s="426">
        <f>S241-O241-O243</f>
        <v>0</v>
      </c>
    </row>
    <row r="243" spans="1:19" ht="15.75" thickBot="1" x14ac:dyDescent="0.3">
      <c r="A243" s="303">
        <v>454</v>
      </c>
      <c r="B243" s="304" t="s">
        <v>267</v>
      </c>
      <c r="C243" s="305">
        <v>85625</v>
      </c>
      <c r="D243" s="305">
        <v>128713</v>
      </c>
      <c r="E243" s="305">
        <v>135867</v>
      </c>
      <c r="F243" s="305">
        <v>92456</v>
      </c>
      <c r="G243" s="305">
        <v>154805</v>
      </c>
      <c r="H243" s="305">
        <v>36647</v>
      </c>
      <c r="I243" s="305">
        <v>333707</v>
      </c>
      <c r="J243" s="305">
        <v>543700</v>
      </c>
      <c r="K243" s="305">
        <v>442000</v>
      </c>
      <c r="L243" s="305">
        <f>152000+193000</f>
        <v>345000</v>
      </c>
      <c r="M243" s="305">
        <v>0</v>
      </c>
      <c r="N243" s="305">
        <v>0</v>
      </c>
      <c r="O243" s="27">
        <f>SUM(L242:L243)</f>
        <v>345000</v>
      </c>
      <c r="P243" s="27">
        <f t="shared" ref="P243:Q243" si="124">SUM(M242:M243)</f>
        <v>0</v>
      </c>
      <c r="Q243" s="27">
        <f t="shared" si="124"/>
        <v>0</v>
      </c>
    </row>
    <row r="244" spans="1:19" ht="15" customHeight="1" x14ac:dyDescent="0.25">
      <c r="A244" s="476">
        <v>456</v>
      </c>
      <c r="B244" s="377" t="s">
        <v>242</v>
      </c>
      <c r="C244" s="477"/>
      <c r="D244" s="477">
        <v>0</v>
      </c>
      <c r="E244" s="477">
        <v>0</v>
      </c>
      <c r="F244" s="477">
        <v>0</v>
      </c>
      <c r="G244" s="477">
        <v>0</v>
      </c>
      <c r="H244" s="477">
        <v>27000</v>
      </c>
      <c r="I244" s="477">
        <v>21421</v>
      </c>
      <c r="J244" s="477">
        <v>3421</v>
      </c>
      <c r="K244" s="477">
        <v>0</v>
      </c>
      <c r="L244" s="477">
        <v>0</v>
      </c>
      <c r="M244" s="477">
        <v>0</v>
      </c>
      <c r="N244" s="477">
        <v>0</v>
      </c>
      <c r="O244" s="1"/>
    </row>
    <row r="245" spans="1:19" ht="14.25" customHeight="1" x14ac:dyDescent="0.25">
      <c r="A245" s="403">
        <v>456</v>
      </c>
      <c r="B245" s="404" t="s">
        <v>243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/>
      <c r="J245" s="64">
        <v>40</v>
      </c>
      <c r="K245" s="64">
        <v>0</v>
      </c>
      <c r="L245" s="64">
        <v>0</v>
      </c>
      <c r="M245" s="64">
        <v>0</v>
      </c>
      <c r="N245" s="64">
        <v>0</v>
      </c>
      <c r="O245" s="27"/>
    </row>
    <row r="246" spans="1:19" ht="15.75" thickBot="1" x14ac:dyDescent="0.3">
      <c r="A246" s="488">
        <v>456</v>
      </c>
      <c r="B246" s="377" t="s">
        <v>260</v>
      </c>
      <c r="C246" s="489"/>
      <c r="D246" s="489">
        <v>62</v>
      </c>
      <c r="E246" s="489">
        <v>26</v>
      </c>
      <c r="F246" s="489">
        <v>28</v>
      </c>
      <c r="G246" s="489">
        <v>10</v>
      </c>
      <c r="H246" s="489">
        <v>14</v>
      </c>
      <c r="I246" s="489"/>
      <c r="J246" s="489">
        <v>100</v>
      </c>
      <c r="K246" s="489">
        <v>0</v>
      </c>
      <c r="L246" s="489">
        <v>0</v>
      </c>
      <c r="M246" s="489">
        <v>0</v>
      </c>
      <c r="N246" s="489">
        <v>0</v>
      </c>
      <c r="O246" s="27">
        <f>SUM(L244:L246)</f>
        <v>0</v>
      </c>
      <c r="P246" s="27">
        <f t="shared" ref="P246:Q246" si="125">SUM(M244:M246)</f>
        <v>0</v>
      </c>
      <c r="Q246" s="27">
        <f t="shared" si="125"/>
        <v>0</v>
      </c>
    </row>
    <row r="247" spans="1:19" x14ac:dyDescent="0.25">
      <c r="A247" s="378">
        <v>513</v>
      </c>
      <c r="B247" s="379" t="s">
        <v>170</v>
      </c>
      <c r="C247" s="380">
        <v>0</v>
      </c>
      <c r="D247" s="380"/>
      <c r="E247" s="380">
        <v>0</v>
      </c>
      <c r="F247" s="380">
        <v>0</v>
      </c>
      <c r="G247" s="380">
        <v>0</v>
      </c>
      <c r="H247" s="380">
        <v>0</v>
      </c>
      <c r="I247" s="380"/>
      <c r="J247" s="380">
        <v>0</v>
      </c>
      <c r="K247" s="380">
        <v>0</v>
      </c>
      <c r="L247" s="380">
        <v>0</v>
      </c>
      <c r="M247" s="380">
        <v>0</v>
      </c>
      <c r="N247" s="380">
        <v>0</v>
      </c>
      <c r="O247" s="27"/>
    </row>
    <row r="248" spans="1:19" ht="15.75" thickBot="1" x14ac:dyDescent="0.3">
      <c r="A248" s="303">
        <v>514</v>
      </c>
      <c r="B248" s="425" t="s">
        <v>191</v>
      </c>
      <c r="C248" s="305">
        <v>0</v>
      </c>
      <c r="D248" s="305"/>
      <c r="E248" s="305">
        <v>0</v>
      </c>
      <c r="F248" s="305">
        <v>64316</v>
      </c>
      <c r="G248" s="305">
        <v>0</v>
      </c>
      <c r="H248" s="305">
        <v>0</v>
      </c>
      <c r="I248" s="305"/>
      <c r="J248" s="305">
        <v>0</v>
      </c>
      <c r="K248" s="305">
        <v>0</v>
      </c>
      <c r="L248" s="305">
        <v>0</v>
      </c>
      <c r="M248" s="305">
        <v>0</v>
      </c>
      <c r="N248" s="305">
        <v>0</v>
      </c>
      <c r="O248" s="27"/>
    </row>
    <row r="249" spans="1:19" ht="15.75" thickBot="1" x14ac:dyDescent="0.3">
      <c r="A249" s="422">
        <v>453</v>
      </c>
      <c r="B249" s="423" t="s">
        <v>263</v>
      </c>
      <c r="C249" s="424">
        <v>0</v>
      </c>
      <c r="D249" s="424">
        <v>0</v>
      </c>
      <c r="E249" s="424">
        <v>0</v>
      </c>
      <c r="F249" s="424">
        <v>0</v>
      </c>
      <c r="G249" s="424">
        <v>8097</v>
      </c>
      <c r="H249" s="424">
        <v>0</v>
      </c>
      <c r="I249" s="424">
        <v>0</v>
      </c>
      <c r="J249" s="424">
        <v>0</v>
      </c>
      <c r="K249" s="424">
        <v>0</v>
      </c>
      <c r="L249" s="424">
        <v>0</v>
      </c>
      <c r="M249" s="424">
        <v>0</v>
      </c>
      <c r="N249" s="424">
        <v>0</v>
      </c>
      <c r="O249" s="1"/>
    </row>
    <row r="250" spans="1:19" ht="16.5" thickBot="1" x14ac:dyDescent="0.3">
      <c r="A250" s="410" t="s">
        <v>171</v>
      </c>
      <c r="B250" s="411"/>
      <c r="C250" s="412">
        <f t="shared" ref="C250:N250" si="126">SUM(C251:C255)</f>
        <v>789</v>
      </c>
      <c r="D250" s="412">
        <f t="shared" si="126"/>
        <v>879</v>
      </c>
      <c r="E250" s="412">
        <f t="shared" si="126"/>
        <v>882</v>
      </c>
      <c r="F250" s="412">
        <f t="shared" si="126"/>
        <v>916</v>
      </c>
      <c r="G250" s="412">
        <f t="shared" si="126"/>
        <v>940</v>
      </c>
      <c r="H250" s="412">
        <f t="shared" si="126"/>
        <v>9990</v>
      </c>
      <c r="I250" s="412">
        <f t="shared" ref="I250" si="127">SUM(I251:I255)</f>
        <v>19009</v>
      </c>
      <c r="J250" s="412">
        <f t="shared" si="126"/>
        <v>4601</v>
      </c>
      <c r="K250" s="412">
        <f t="shared" si="126"/>
        <v>1040</v>
      </c>
      <c r="L250" s="412">
        <f t="shared" si="126"/>
        <v>1090</v>
      </c>
      <c r="M250" s="412">
        <f t="shared" si="126"/>
        <v>1130</v>
      </c>
      <c r="N250" s="412">
        <f t="shared" si="126"/>
        <v>1180</v>
      </c>
      <c r="O250" s="1"/>
    </row>
    <row r="251" spans="1:19" ht="17.25" customHeight="1" x14ac:dyDescent="0.25">
      <c r="A251" s="306">
        <v>819</v>
      </c>
      <c r="B251" s="307" t="s">
        <v>172</v>
      </c>
      <c r="C251" s="201">
        <v>0</v>
      </c>
      <c r="D251" s="201">
        <v>62</v>
      </c>
      <c r="E251" s="201">
        <v>26</v>
      </c>
      <c r="F251" s="201">
        <v>28</v>
      </c>
      <c r="G251" s="201">
        <v>10</v>
      </c>
      <c r="H251" s="201">
        <v>14</v>
      </c>
      <c r="I251" s="201">
        <v>0</v>
      </c>
      <c r="J251" s="201">
        <v>100</v>
      </c>
      <c r="K251" s="201">
        <v>0</v>
      </c>
      <c r="L251" s="201">
        <v>0</v>
      </c>
      <c r="M251" s="201">
        <v>0</v>
      </c>
      <c r="N251" s="201">
        <v>0</v>
      </c>
      <c r="O251" s="1"/>
    </row>
    <row r="252" spans="1:19" x14ac:dyDescent="0.25">
      <c r="A252" s="308">
        <v>819</v>
      </c>
      <c r="B252" s="309" t="s">
        <v>244</v>
      </c>
      <c r="C252" s="56"/>
      <c r="D252" s="56"/>
      <c r="E252" s="56"/>
      <c r="F252" s="56">
        <v>0</v>
      </c>
      <c r="G252" s="56">
        <v>6</v>
      </c>
      <c r="H252" s="56">
        <v>15</v>
      </c>
      <c r="I252" s="56">
        <v>9</v>
      </c>
      <c r="J252" s="56">
        <v>40</v>
      </c>
      <c r="K252" s="56">
        <v>0</v>
      </c>
      <c r="L252" s="56">
        <v>0</v>
      </c>
      <c r="M252" s="56">
        <v>0</v>
      </c>
      <c r="N252" s="56">
        <v>0</v>
      </c>
      <c r="O252" s="1"/>
    </row>
    <row r="253" spans="1:19" x14ac:dyDescent="0.25">
      <c r="A253" s="308">
        <v>819</v>
      </c>
      <c r="B253" s="466" t="s">
        <v>245</v>
      </c>
      <c r="C253" s="56"/>
      <c r="D253" s="56"/>
      <c r="E253" s="56"/>
      <c r="F253" s="56">
        <v>0</v>
      </c>
      <c r="G253" s="56">
        <v>0</v>
      </c>
      <c r="H253" s="56">
        <v>9000</v>
      </c>
      <c r="I253" s="56">
        <v>18000</v>
      </c>
      <c r="J253" s="56">
        <v>3421</v>
      </c>
      <c r="K253" s="56">
        <v>0</v>
      </c>
      <c r="L253" s="56">
        <v>0</v>
      </c>
      <c r="M253" s="56">
        <v>0</v>
      </c>
      <c r="N253" s="56">
        <v>0</v>
      </c>
      <c r="O253" s="157"/>
    </row>
    <row r="254" spans="1:19" ht="15" customHeight="1" x14ac:dyDescent="0.25">
      <c r="A254" s="308">
        <v>821</v>
      </c>
      <c r="B254" s="309" t="s">
        <v>289</v>
      </c>
      <c r="C254" s="56">
        <v>0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>
        <v>0</v>
      </c>
      <c r="O254" s="157"/>
    </row>
    <row r="255" spans="1:19" ht="15.75" thickBot="1" x14ac:dyDescent="0.3">
      <c r="A255" s="310">
        <v>821</v>
      </c>
      <c r="B255" s="311" t="s">
        <v>173</v>
      </c>
      <c r="C255" s="187">
        <v>789</v>
      </c>
      <c r="D255" s="187">
        <v>817</v>
      </c>
      <c r="E255" s="187">
        <v>856</v>
      </c>
      <c r="F255" s="187">
        <v>888</v>
      </c>
      <c r="G255" s="124">
        <v>924</v>
      </c>
      <c r="H255" s="124">
        <v>961</v>
      </c>
      <c r="I255" s="124">
        <v>1000</v>
      </c>
      <c r="J255" s="124">
        <v>1040</v>
      </c>
      <c r="K255" s="124">
        <v>1040</v>
      </c>
      <c r="L255" s="124">
        <v>1090</v>
      </c>
      <c r="M255" s="124">
        <v>1130</v>
      </c>
      <c r="N255" s="124">
        <v>1180</v>
      </c>
      <c r="O255" s="295"/>
    </row>
    <row r="256" spans="1:19" x14ac:dyDescent="0.25">
      <c r="A256" s="297"/>
      <c r="B256" s="312"/>
      <c r="C256" s="312"/>
      <c r="D256" s="312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"/>
    </row>
    <row r="257" spans="1:17" ht="15.75" x14ac:dyDescent="0.25">
      <c r="A257" s="101"/>
      <c r="B257" s="295"/>
      <c r="C257" s="295"/>
      <c r="D257" s="295"/>
      <c r="E257" s="295"/>
      <c r="F257" s="295"/>
      <c r="G257" s="295"/>
      <c r="H257" s="295"/>
      <c r="I257" s="295"/>
      <c r="J257" s="295"/>
      <c r="K257" s="295"/>
      <c r="L257" s="295"/>
      <c r="M257" s="295"/>
      <c r="N257" s="295"/>
    </row>
    <row r="258" spans="1:17" ht="25.5" customHeight="1" thickBot="1" x14ac:dyDescent="0.3">
      <c r="A258" s="614" t="s">
        <v>174</v>
      </c>
      <c r="B258" s="615"/>
      <c r="C258" s="615"/>
      <c r="D258" s="615"/>
      <c r="E258" s="615"/>
      <c r="F258" s="615"/>
      <c r="G258" s="615"/>
      <c r="H258" s="615"/>
      <c r="I258" s="615"/>
      <c r="J258" s="615"/>
      <c r="K258" s="615"/>
      <c r="L258" s="615"/>
      <c r="M258" s="615"/>
      <c r="N258" s="615"/>
      <c r="O258" s="1"/>
    </row>
    <row r="259" spans="1:17" ht="59.25" customHeight="1" thickBot="1" x14ac:dyDescent="0.3">
      <c r="A259" s="616" t="s">
        <v>1</v>
      </c>
      <c r="B259" s="618"/>
      <c r="C259" s="388" t="s">
        <v>2</v>
      </c>
      <c r="D259" s="388" t="s">
        <v>3</v>
      </c>
      <c r="E259" s="388" t="s">
        <v>186</v>
      </c>
      <c r="F259" s="388" t="s">
        <v>201</v>
      </c>
      <c r="G259" s="475" t="s">
        <v>237</v>
      </c>
      <c r="H259" s="475" t="s">
        <v>264</v>
      </c>
      <c r="I259" s="475" t="s">
        <v>324</v>
      </c>
      <c r="J259" s="387" t="s">
        <v>328</v>
      </c>
      <c r="K259" s="387" t="s">
        <v>345</v>
      </c>
      <c r="L259" s="387" t="s">
        <v>238</v>
      </c>
      <c r="M259" s="387" t="s">
        <v>265</v>
      </c>
      <c r="N259" s="387" t="s">
        <v>306</v>
      </c>
      <c r="O259" s="1"/>
    </row>
    <row r="260" spans="1:17" ht="15.75" x14ac:dyDescent="0.25">
      <c r="A260" s="313" t="s">
        <v>175</v>
      </c>
      <c r="B260" s="29"/>
      <c r="C260" s="314">
        <f t="shared" ref="C260:N260" si="128">C94</f>
        <v>1745739</v>
      </c>
      <c r="D260" s="314">
        <f t="shared" si="128"/>
        <v>1885817</v>
      </c>
      <c r="E260" s="314">
        <f t="shared" si="128"/>
        <v>2141845</v>
      </c>
      <c r="F260" s="314">
        <f t="shared" si="128"/>
        <v>2242915</v>
      </c>
      <c r="G260" s="314">
        <f t="shared" si="128"/>
        <v>2341113</v>
      </c>
      <c r="H260" s="314">
        <f t="shared" si="128"/>
        <v>2298428</v>
      </c>
      <c r="I260" s="314">
        <f t="shared" si="128"/>
        <v>2697311</v>
      </c>
      <c r="J260" s="314">
        <f t="shared" si="128"/>
        <v>2776003</v>
      </c>
      <c r="K260" s="314">
        <f t="shared" si="128"/>
        <v>3010703</v>
      </c>
      <c r="L260" s="314">
        <f t="shared" si="128"/>
        <v>2971575</v>
      </c>
      <c r="M260" s="314">
        <f t="shared" si="128"/>
        <v>2997165</v>
      </c>
      <c r="N260" s="314">
        <f t="shared" si="128"/>
        <v>2989660</v>
      </c>
      <c r="O260" s="1"/>
    </row>
    <row r="261" spans="1:17" ht="16.5" thickBot="1" x14ac:dyDescent="0.3">
      <c r="A261" s="315" t="s">
        <v>176</v>
      </c>
      <c r="B261" s="316"/>
      <c r="C261" s="317">
        <f t="shared" ref="C261:N261" si="129">C164</f>
        <v>1508309</v>
      </c>
      <c r="D261" s="317">
        <f t="shared" si="129"/>
        <v>1667910</v>
      </c>
      <c r="E261" s="317">
        <f t="shared" si="129"/>
        <v>1947235</v>
      </c>
      <c r="F261" s="317">
        <f t="shared" si="129"/>
        <v>1998056.4</v>
      </c>
      <c r="G261" s="317">
        <f t="shared" si="129"/>
        <v>2131546</v>
      </c>
      <c r="H261" s="317">
        <f t="shared" si="129"/>
        <v>2183960</v>
      </c>
      <c r="I261" s="317">
        <f t="shared" si="129"/>
        <v>2541118</v>
      </c>
      <c r="J261" s="317">
        <f t="shared" si="129"/>
        <v>2811703</v>
      </c>
      <c r="K261" s="317">
        <f t="shared" si="129"/>
        <v>3044393</v>
      </c>
      <c r="L261" s="317">
        <f t="shared" si="129"/>
        <v>2990485</v>
      </c>
      <c r="M261" s="317">
        <f t="shared" si="129"/>
        <v>2998035</v>
      </c>
      <c r="N261" s="317">
        <f t="shared" si="129"/>
        <v>2990480</v>
      </c>
      <c r="O261" s="1"/>
    </row>
    <row r="262" spans="1:17" ht="16.5" thickBot="1" x14ac:dyDescent="0.3">
      <c r="A262" s="606" t="s">
        <v>177</v>
      </c>
      <c r="B262" s="607"/>
      <c r="C262" s="318">
        <f t="shared" ref="C262:G262" si="130">C260-C261</f>
        <v>237430</v>
      </c>
      <c r="D262" s="318">
        <f t="shared" si="130"/>
        <v>217907</v>
      </c>
      <c r="E262" s="318">
        <f t="shared" si="130"/>
        <v>194610</v>
      </c>
      <c r="F262" s="318">
        <f t="shared" ref="F262" si="131">F260-F261</f>
        <v>244858.60000000009</v>
      </c>
      <c r="G262" s="318">
        <f t="shared" si="130"/>
        <v>209567</v>
      </c>
      <c r="H262" s="318">
        <f t="shared" ref="H262:I262" si="132">H260-H261</f>
        <v>114468</v>
      </c>
      <c r="I262" s="318">
        <f t="shared" si="132"/>
        <v>156193</v>
      </c>
      <c r="J262" s="318">
        <f t="shared" ref="J262:N262" si="133">J260-J261</f>
        <v>-35700</v>
      </c>
      <c r="K262" s="318">
        <f t="shared" ref="K262:L262" si="134">K260-K261</f>
        <v>-33690</v>
      </c>
      <c r="L262" s="318">
        <f t="shared" si="134"/>
        <v>-18910</v>
      </c>
      <c r="M262" s="318">
        <f t="shared" si="133"/>
        <v>-870</v>
      </c>
      <c r="N262" s="318">
        <f t="shared" si="133"/>
        <v>-820</v>
      </c>
      <c r="O262" s="569">
        <f>L262-L255</f>
        <v>-20000</v>
      </c>
      <c r="P262" s="569">
        <f t="shared" ref="P262:Q262" si="135">M262-M255</f>
        <v>-2000</v>
      </c>
      <c r="Q262" s="569">
        <f t="shared" si="135"/>
        <v>-2000</v>
      </c>
    </row>
    <row r="263" spans="1:17" ht="15.75" x14ac:dyDescent="0.25">
      <c r="A263" s="315" t="s">
        <v>178</v>
      </c>
      <c r="B263" s="18"/>
      <c r="C263" s="317">
        <f t="shared" ref="C263:N263" si="136">C169</f>
        <v>10502</v>
      </c>
      <c r="D263" s="317">
        <f t="shared" si="136"/>
        <v>445</v>
      </c>
      <c r="E263" s="317">
        <f t="shared" si="136"/>
        <v>196343</v>
      </c>
      <c r="F263" s="317">
        <f t="shared" si="136"/>
        <v>118970</v>
      </c>
      <c r="G263" s="317">
        <f t="shared" si="136"/>
        <v>93063</v>
      </c>
      <c r="H263" s="317">
        <f t="shared" si="136"/>
        <v>79290</v>
      </c>
      <c r="I263" s="317">
        <f t="shared" si="136"/>
        <v>316209</v>
      </c>
      <c r="J263" s="317">
        <f t="shared" si="136"/>
        <v>1143050</v>
      </c>
      <c r="K263" s="317">
        <f t="shared" si="136"/>
        <v>2827690</v>
      </c>
      <c r="L263" s="317">
        <f t="shared" si="136"/>
        <v>2593450</v>
      </c>
      <c r="M263" s="317">
        <f t="shared" si="136"/>
        <v>0</v>
      </c>
      <c r="N263" s="317">
        <f t="shared" si="136"/>
        <v>0</v>
      </c>
      <c r="O263" s="1"/>
    </row>
    <row r="264" spans="1:17" ht="15.75" x14ac:dyDescent="0.25">
      <c r="A264" s="315" t="s">
        <v>179</v>
      </c>
      <c r="B264" s="18"/>
      <c r="C264" s="20">
        <f t="shared" ref="C264:N264" si="137">C188</f>
        <v>54067</v>
      </c>
      <c r="D264" s="20">
        <f t="shared" si="137"/>
        <v>22442</v>
      </c>
      <c r="E264" s="20">
        <f t="shared" si="137"/>
        <v>290525</v>
      </c>
      <c r="F264" s="20">
        <f t="shared" si="137"/>
        <v>211426</v>
      </c>
      <c r="G264" s="20">
        <f t="shared" si="137"/>
        <v>247102</v>
      </c>
      <c r="H264" s="20">
        <f t="shared" si="137"/>
        <v>115817</v>
      </c>
      <c r="I264" s="20">
        <f t="shared" si="137"/>
        <v>373572</v>
      </c>
      <c r="J264" s="20">
        <f t="shared" si="137"/>
        <v>2034046</v>
      </c>
      <c r="K264" s="20">
        <f t="shared" si="137"/>
        <v>3616986</v>
      </c>
      <c r="L264" s="20">
        <f t="shared" si="137"/>
        <v>3144736</v>
      </c>
      <c r="M264" s="20">
        <f t="shared" si="137"/>
        <v>0</v>
      </c>
      <c r="N264" s="20">
        <f t="shared" si="137"/>
        <v>0</v>
      </c>
      <c r="O264" s="1"/>
    </row>
    <row r="265" spans="1:17" ht="15.75" x14ac:dyDescent="0.25">
      <c r="A265" s="606" t="s">
        <v>180</v>
      </c>
      <c r="B265" s="607"/>
      <c r="C265" s="318">
        <f t="shared" ref="C265:G265" si="138">C263-C264</f>
        <v>-43565</v>
      </c>
      <c r="D265" s="318">
        <f t="shared" si="138"/>
        <v>-21997</v>
      </c>
      <c r="E265" s="318">
        <f t="shared" si="138"/>
        <v>-94182</v>
      </c>
      <c r="F265" s="318">
        <f t="shared" ref="F265" si="139">F263-F264</f>
        <v>-92456</v>
      </c>
      <c r="G265" s="318">
        <f t="shared" si="138"/>
        <v>-154039</v>
      </c>
      <c r="H265" s="318">
        <f t="shared" ref="H265:I265" si="140">H263-H264</f>
        <v>-36527</v>
      </c>
      <c r="I265" s="318">
        <f t="shared" si="140"/>
        <v>-57363</v>
      </c>
      <c r="J265" s="318">
        <f t="shared" ref="J265:N265" si="141">J263-J264</f>
        <v>-890996</v>
      </c>
      <c r="K265" s="318">
        <f t="shared" ref="K265:L265" si="142">K263-K264</f>
        <v>-789296</v>
      </c>
      <c r="L265" s="318">
        <f t="shared" si="142"/>
        <v>-551286</v>
      </c>
      <c r="M265" s="318">
        <f t="shared" si="141"/>
        <v>0</v>
      </c>
      <c r="N265" s="318">
        <f t="shared" si="141"/>
        <v>0</v>
      </c>
      <c r="O265" s="1"/>
    </row>
    <row r="266" spans="1:17" ht="15.75" x14ac:dyDescent="0.25">
      <c r="A266" s="319" t="s">
        <v>181</v>
      </c>
      <c r="B266" s="320"/>
      <c r="C266" s="321">
        <f t="shared" ref="C266:N266" si="143">C229</f>
        <v>87331</v>
      </c>
      <c r="D266" s="321">
        <f t="shared" si="143"/>
        <v>129336</v>
      </c>
      <c r="E266" s="321">
        <f t="shared" si="143"/>
        <v>137207</v>
      </c>
      <c r="F266" s="321">
        <f t="shared" si="143"/>
        <v>174149</v>
      </c>
      <c r="G266" s="321">
        <f t="shared" si="143"/>
        <v>249113</v>
      </c>
      <c r="H266" s="321">
        <f t="shared" si="143"/>
        <v>158714</v>
      </c>
      <c r="I266" s="321">
        <f t="shared" ref="I266" si="144">I229</f>
        <v>377462</v>
      </c>
      <c r="J266" s="321">
        <f t="shared" si="143"/>
        <v>931297</v>
      </c>
      <c r="K266" s="321">
        <f t="shared" si="143"/>
        <v>824026</v>
      </c>
      <c r="L266" s="321">
        <f t="shared" si="143"/>
        <v>571286</v>
      </c>
      <c r="M266" s="321">
        <f t="shared" si="143"/>
        <v>2000</v>
      </c>
      <c r="N266" s="321">
        <f t="shared" si="143"/>
        <v>2000</v>
      </c>
      <c r="O266" s="1"/>
    </row>
    <row r="267" spans="1:17" ht="15.75" x14ac:dyDescent="0.25">
      <c r="A267" s="319" t="s">
        <v>182</v>
      </c>
      <c r="B267" s="320"/>
      <c r="C267" s="321">
        <f t="shared" ref="C267:J267" si="145">C250</f>
        <v>789</v>
      </c>
      <c r="D267" s="321">
        <f t="shared" si="145"/>
        <v>879</v>
      </c>
      <c r="E267" s="321">
        <f t="shared" si="145"/>
        <v>882</v>
      </c>
      <c r="F267" s="321">
        <f t="shared" si="145"/>
        <v>916</v>
      </c>
      <c r="G267" s="321">
        <f t="shared" si="145"/>
        <v>940</v>
      </c>
      <c r="H267" s="321">
        <f t="shared" si="145"/>
        <v>9990</v>
      </c>
      <c r="I267" s="321">
        <f t="shared" ref="I267" si="146">I250</f>
        <v>19009</v>
      </c>
      <c r="J267" s="321">
        <f t="shared" si="145"/>
        <v>4601</v>
      </c>
      <c r="K267" s="321">
        <f t="shared" ref="K267:L267" si="147">K250</f>
        <v>1040</v>
      </c>
      <c r="L267" s="321">
        <f t="shared" si="147"/>
        <v>1090</v>
      </c>
      <c r="M267" s="321">
        <f>M250</f>
        <v>1130</v>
      </c>
      <c r="N267" s="321">
        <f>N250</f>
        <v>1180</v>
      </c>
      <c r="O267" s="1"/>
    </row>
    <row r="268" spans="1:17" ht="16.5" thickBot="1" x14ac:dyDescent="0.3">
      <c r="A268" s="608" t="s">
        <v>183</v>
      </c>
      <c r="B268" s="609"/>
      <c r="C268" s="322">
        <f t="shared" ref="C268:G268" si="148">C266-C267</f>
        <v>86542</v>
      </c>
      <c r="D268" s="322">
        <f t="shared" si="148"/>
        <v>128457</v>
      </c>
      <c r="E268" s="322">
        <f t="shared" si="148"/>
        <v>136325</v>
      </c>
      <c r="F268" s="322">
        <f t="shared" ref="F268" si="149">F266-F267</f>
        <v>173233</v>
      </c>
      <c r="G268" s="322">
        <f t="shared" si="148"/>
        <v>248173</v>
      </c>
      <c r="H268" s="322">
        <f t="shared" ref="H268:I268" si="150">H266-H267</f>
        <v>148724</v>
      </c>
      <c r="I268" s="322">
        <f t="shared" si="150"/>
        <v>358453</v>
      </c>
      <c r="J268" s="322">
        <f t="shared" ref="J268:N268" si="151">J266-J267</f>
        <v>926696</v>
      </c>
      <c r="K268" s="322">
        <f t="shared" ref="K268:L268" si="152">K266-K267</f>
        <v>822986</v>
      </c>
      <c r="L268" s="322">
        <f t="shared" si="152"/>
        <v>570196</v>
      </c>
      <c r="M268" s="322">
        <f t="shared" si="151"/>
        <v>870</v>
      </c>
      <c r="N268" s="322">
        <f t="shared" si="151"/>
        <v>820</v>
      </c>
      <c r="O268" s="27"/>
    </row>
    <row r="269" spans="1:17" ht="32.25" customHeight="1" thickBot="1" x14ac:dyDescent="0.3">
      <c r="A269" s="323" t="s">
        <v>184</v>
      </c>
      <c r="B269" s="324"/>
      <c r="C269" s="325">
        <f t="shared" ref="C269:E269" si="153">C262+C265+C268</f>
        <v>280407</v>
      </c>
      <c r="D269" s="325">
        <f t="shared" si="153"/>
        <v>324367</v>
      </c>
      <c r="E269" s="325">
        <f t="shared" si="153"/>
        <v>236753</v>
      </c>
      <c r="F269" s="325">
        <f t="shared" ref="F269:N269" si="154">F262+F265+F268</f>
        <v>325635.60000000009</v>
      </c>
      <c r="G269" s="325">
        <f t="shared" si="154"/>
        <v>303701</v>
      </c>
      <c r="H269" s="325">
        <f t="shared" si="154"/>
        <v>226665</v>
      </c>
      <c r="I269" s="325">
        <f t="shared" ref="I269" si="155">I262+I265+I268</f>
        <v>457283</v>
      </c>
      <c r="J269" s="325">
        <f t="shared" si="154"/>
        <v>0</v>
      </c>
      <c r="K269" s="325">
        <f>K262+K265+K268</f>
        <v>0</v>
      </c>
      <c r="L269" s="325">
        <f t="shared" si="154"/>
        <v>0</v>
      </c>
      <c r="M269" s="325">
        <f t="shared" si="154"/>
        <v>0</v>
      </c>
      <c r="N269" s="325">
        <f t="shared" si="154"/>
        <v>0</v>
      </c>
      <c r="O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7" x14ac:dyDescent="0.25">
      <c r="A271" s="1"/>
      <c r="B271" s="492" t="s">
        <v>268</v>
      </c>
      <c r="C271" s="493">
        <f t="shared" ref="C271:E272" si="156">C260+C263+C266</f>
        <v>1843572</v>
      </c>
      <c r="D271" s="493">
        <f t="shared" si="156"/>
        <v>2015598</v>
      </c>
      <c r="E271" s="493">
        <f t="shared" si="156"/>
        <v>2475395</v>
      </c>
      <c r="F271" s="493">
        <f t="shared" ref="F271:N271" si="157">F260+F263+F266</f>
        <v>2536034</v>
      </c>
      <c r="G271" s="493">
        <f t="shared" si="157"/>
        <v>2683289</v>
      </c>
      <c r="H271" s="493">
        <f t="shared" si="157"/>
        <v>2536432</v>
      </c>
      <c r="I271" s="493">
        <f t="shared" ref="I271" si="158">I260+I263+I266</f>
        <v>3390982</v>
      </c>
      <c r="J271" s="493">
        <f t="shared" si="157"/>
        <v>4850350</v>
      </c>
      <c r="K271" s="493">
        <f t="shared" si="157"/>
        <v>6662419</v>
      </c>
      <c r="L271" s="493">
        <f t="shared" si="157"/>
        <v>6136311</v>
      </c>
      <c r="M271" s="493">
        <f t="shared" si="157"/>
        <v>2999165</v>
      </c>
      <c r="N271" s="493">
        <f t="shared" si="157"/>
        <v>2991660</v>
      </c>
      <c r="O271" s="1"/>
    </row>
    <row r="272" spans="1:17" x14ac:dyDescent="0.25">
      <c r="A272" s="1"/>
      <c r="B272" s="492" t="s">
        <v>269</v>
      </c>
      <c r="C272" s="493">
        <f t="shared" si="156"/>
        <v>1563165</v>
      </c>
      <c r="D272" s="493">
        <f t="shared" si="156"/>
        <v>1691231</v>
      </c>
      <c r="E272" s="493">
        <f t="shared" si="156"/>
        <v>2238642</v>
      </c>
      <c r="F272" s="493">
        <f t="shared" ref="F272:N272" si="159">F261+F264+F267</f>
        <v>2210398.4</v>
      </c>
      <c r="G272" s="493">
        <f t="shared" si="159"/>
        <v>2379588</v>
      </c>
      <c r="H272" s="493">
        <f t="shared" si="159"/>
        <v>2309767</v>
      </c>
      <c r="I272" s="493">
        <f t="shared" ref="I272" si="160">I261+I264+I267</f>
        <v>2933699</v>
      </c>
      <c r="J272" s="493">
        <f t="shared" si="159"/>
        <v>4850350</v>
      </c>
      <c r="K272" s="493">
        <f t="shared" si="159"/>
        <v>6662419</v>
      </c>
      <c r="L272" s="493">
        <f t="shared" si="159"/>
        <v>6136311</v>
      </c>
      <c r="M272" s="493">
        <f t="shared" si="159"/>
        <v>2999165</v>
      </c>
      <c r="N272" s="493">
        <f t="shared" si="159"/>
        <v>2991660</v>
      </c>
      <c r="O272" s="1"/>
    </row>
    <row r="273" spans="1:15" x14ac:dyDescent="0.25">
      <c r="A273" s="1"/>
      <c r="B273" s="492"/>
      <c r="C273" s="493"/>
      <c r="D273" s="493"/>
      <c r="E273" s="493"/>
      <c r="F273" s="493"/>
      <c r="G273" s="493"/>
      <c r="H273" s="493"/>
      <c r="I273" s="493"/>
      <c r="J273" s="493"/>
      <c r="K273" s="493"/>
      <c r="L273" s="493"/>
      <c r="M273" s="493"/>
      <c r="N273" s="493"/>
      <c r="O273" s="1"/>
    </row>
    <row r="274" spans="1:15" x14ac:dyDescent="0.25">
      <c r="A274" s="1"/>
      <c r="B274" s="492" t="s">
        <v>270</v>
      </c>
      <c r="C274" s="493">
        <f>C271-C93</f>
        <v>1831896</v>
      </c>
      <c r="D274" s="493">
        <f>D271-D93</f>
        <v>1996461</v>
      </c>
      <c r="E274" s="493">
        <f>E271-E93</f>
        <v>2404424</v>
      </c>
      <c r="F274" s="493">
        <f>F271-F93</f>
        <v>2494555</v>
      </c>
      <c r="G274" s="493">
        <f>G271-G93-G249</f>
        <v>2624587</v>
      </c>
      <c r="H274" s="493">
        <f t="shared" ref="H274:N274" si="161">H271-H93</f>
        <v>2519892</v>
      </c>
      <c r="I274" s="493">
        <f t="shared" si="161"/>
        <v>3375474</v>
      </c>
      <c r="J274" s="493">
        <f t="shared" si="161"/>
        <v>4832850</v>
      </c>
      <c r="K274" s="493">
        <f t="shared" si="161"/>
        <v>6644569</v>
      </c>
      <c r="L274" s="493">
        <f t="shared" si="161"/>
        <v>6117611</v>
      </c>
      <c r="M274" s="493">
        <f t="shared" si="161"/>
        <v>2980465</v>
      </c>
      <c r="N274" s="493">
        <f t="shared" si="161"/>
        <v>2972960</v>
      </c>
      <c r="O274" s="1"/>
    </row>
    <row r="275" spans="1:15" x14ac:dyDescent="0.25">
      <c r="A275" s="1"/>
      <c r="B275" s="492" t="s">
        <v>271</v>
      </c>
      <c r="C275" s="493">
        <f t="shared" ref="C275:N275" si="162">C272-C163</f>
        <v>1030275</v>
      </c>
      <c r="D275" s="493">
        <f t="shared" si="162"/>
        <v>1010682</v>
      </c>
      <c r="E275" s="493">
        <f t="shared" si="162"/>
        <v>1451847</v>
      </c>
      <c r="F275" s="493">
        <f t="shared" si="162"/>
        <v>1338080.3999999999</v>
      </c>
      <c r="G275" s="493">
        <f t="shared" si="162"/>
        <v>1503497</v>
      </c>
      <c r="H275" s="493">
        <f t="shared" si="162"/>
        <v>1405532</v>
      </c>
      <c r="I275" s="493">
        <f t="shared" si="162"/>
        <v>1932177</v>
      </c>
      <c r="J275" s="493">
        <f t="shared" si="162"/>
        <v>3839878</v>
      </c>
      <c r="K275" s="493">
        <f t="shared" si="162"/>
        <v>5588434</v>
      </c>
      <c r="L275" s="493">
        <f t="shared" si="162"/>
        <v>5065211</v>
      </c>
      <c r="M275" s="493">
        <f t="shared" si="162"/>
        <v>1911865</v>
      </c>
      <c r="N275" s="493">
        <f t="shared" si="162"/>
        <v>1904360</v>
      </c>
      <c r="O275" s="1"/>
    </row>
    <row r="276" spans="1:15" x14ac:dyDescent="0.25">
      <c r="A276" s="1"/>
      <c r="B276" s="492"/>
      <c r="C276" s="493"/>
      <c r="D276" s="493"/>
      <c r="E276" s="493"/>
      <c r="F276" s="493"/>
      <c r="G276" s="493"/>
      <c r="H276" s="493"/>
      <c r="I276" s="493"/>
      <c r="J276" s="493"/>
      <c r="K276" s="493"/>
      <c r="L276" s="493"/>
      <c r="M276" s="493"/>
      <c r="N276" s="493"/>
      <c r="O276" s="1"/>
    </row>
    <row r="277" spans="1:15" x14ac:dyDescent="0.25">
      <c r="A277" s="1"/>
      <c r="B277" s="490" t="s">
        <v>272</v>
      </c>
      <c r="C277" s="491">
        <f t="shared" ref="C277:C278" si="163">C270-C273</f>
        <v>0</v>
      </c>
      <c r="D277" s="491">
        <f t="shared" ref="D277:D278" si="164">D271-D274</f>
        <v>19137</v>
      </c>
      <c r="E277" s="491">
        <f t="shared" ref="E277:F277" si="165">E271-E274</f>
        <v>70971</v>
      </c>
      <c r="F277" s="491">
        <f t="shared" si="165"/>
        <v>41479</v>
      </c>
      <c r="G277" s="491">
        <f t="shared" ref="G277:N277" si="166">G271-G274</f>
        <v>58702</v>
      </c>
      <c r="H277" s="491">
        <f t="shared" si="166"/>
        <v>16540</v>
      </c>
      <c r="I277" s="491">
        <f t="shared" ref="I277" si="167">I271-I274</f>
        <v>15508</v>
      </c>
      <c r="J277" s="491">
        <f t="shared" si="166"/>
        <v>17500</v>
      </c>
      <c r="K277" s="491">
        <f t="shared" si="166"/>
        <v>17850</v>
      </c>
      <c r="L277" s="491">
        <f t="shared" si="166"/>
        <v>18700</v>
      </c>
      <c r="M277" s="491">
        <f t="shared" si="166"/>
        <v>18700</v>
      </c>
      <c r="N277" s="491">
        <f t="shared" si="166"/>
        <v>18700</v>
      </c>
      <c r="O277" s="1"/>
    </row>
    <row r="278" spans="1:15" x14ac:dyDescent="0.25">
      <c r="A278" s="100"/>
      <c r="B278" s="490" t="s">
        <v>273</v>
      </c>
      <c r="C278" s="491">
        <f t="shared" si="163"/>
        <v>11676</v>
      </c>
      <c r="D278" s="491">
        <f t="shared" si="164"/>
        <v>680549</v>
      </c>
      <c r="E278" s="491">
        <f t="shared" ref="E278:F278" si="168">E272-E275</f>
        <v>786795</v>
      </c>
      <c r="F278" s="491">
        <f t="shared" si="168"/>
        <v>872318</v>
      </c>
      <c r="G278" s="491">
        <f t="shared" ref="G278:N278" si="169">G272-G275</f>
        <v>876091</v>
      </c>
      <c r="H278" s="491">
        <f t="shared" si="169"/>
        <v>904235</v>
      </c>
      <c r="I278" s="491">
        <f t="shared" ref="I278" si="170">I272-I275</f>
        <v>1001522</v>
      </c>
      <c r="J278" s="491">
        <f t="shared" si="169"/>
        <v>1010472</v>
      </c>
      <c r="K278" s="491">
        <f t="shared" si="169"/>
        <v>1073985</v>
      </c>
      <c r="L278" s="491">
        <f t="shared" si="169"/>
        <v>1071100</v>
      </c>
      <c r="M278" s="491">
        <f t="shared" si="169"/>
        <v>1087300</v>
      </c>
      <c r="N278" s="491">
        <f t="shared" si="169"/>
        <v>1087300</v>
      </c>
      <c r="O278" s="1"/>
    </row>
    <row r="279" spans="1:15" x14ac:dyDescent="0.25">
      <c r="A279" s="1"/>
      <c r="B279" s="494"/>
      <c r="C279" s="491">
        <f>C278-C277+C268</f>
        <v>98218</v>
      </c>
      <c r="D279" s="491">
        <f>D278-D277+D269</f>
        <v>985779</v>
      </c>
      <c r="E279" s="491">
        <f t="shared" ref="E279:F279" si="171">E278-E277+E269</f>
        <v>952577</v>
      </c>
      <c r="F279" s="491">
        <f t="shared" si="171"/>
        <v>1156474.6000000001</v>
      </c>
      <c r="G279" s="491">
        <f t="shared" ref="G279:N279" si="172">G278-G277+G269</f>
        <v>1121090</v>
      </c>
      <c r="H279" s="491">
        <f t="shared" si="172"/>
        <v>1114360</v>
      </c>
      <c r="I279" s="491">
        <f t="shared" ref="I279" si="173">I278-I277+I269</f>
        <v>1443297</v>
      </c>
      <c r="J279" s="491">
        <f t="shared" si="172"/>
        <v>992972</v>
      </c>
      <c r="K279" s="491">
        <f t="shared" si="172"/>
        <v>1056135</v>
      </c>
      <c r="L279" s="491">
        <f t="shared" si="172"/>
        <v>1052400</v>
      </c>
      <c r="M279" s="491">
        <f t="shared" si="172"/>
        <v>1068600</v>
      </c>
      <c r="N279" s="491">
        <f t="shared" si="172"/>
        <v>1068600</v>
      </c>
      <c r="O279" s="1"/>
    </row>
    <row r="280" spans="1:15" x14ac:dyDescent="0.25">
      <c r="A280" s="1"/>
      <c r="B280" s="327" t="s">
        <v>185</v>
      </c>
      <c r="C280" s="327"/>
      <c r="D280" s="327"/>
      <c r="E280" s="327"/>
      <c r="F280" s="327"/>
      <c r="G280" s="327"/>
      <c r="H280" s="327"/>
      <c r="I280" s="327"/>
      <c r="J280" s="474"/>
      <c r="K280" s="474"/>
      <c r="L280" s="474"/>
      <c r="M280" s="327"/>
      <c r="N280" s="327"/>
      <c r="O280" s="1"/>
    </row>
    <row r="281" spans="1:15" x14ac:dyDescent="0.25">
      <c r="A281" s="1"/>
      <c r="B281" s="327" t="s">
        <v>296</v>
      </c>
      <c r="C281" s="327"/>
      <c r="D281" s="327"/>
      <c r="E281" s="327"/>
      <c r="F281" s="327"/>
      <c r="G281" s="327"/>
      <c r="H281" s="327"/>
      <c r="I281" s="327"/>
      <c r="J281" s="327"/>
      <c r="K281" s="327"/>
      <c r="L281" s="529"/>
      <c r="M281" s="327"/>
      <c r="N281" s="327"/>
      <c r="O281" s="1"/>
    </row>
    <row r="282" spans="1:15" x14ac:dyDescent="0.25">
      <c r="A282" s="1"/>
      <c r="B282" s="327"/>
      <c r="C282" s="327"/>
      <c r="D282" s="327"/>
      <c r="E282" s="327"/>
      <c r="F282" s="327"/>
      <c r="G282" s="327"/>
      <c r="H282" s="327"/>
      <c r="I282" s="327"/>
      <c r="J282" s="327"/>
      <c r="K282" s="327"/>
      <c r="L282" s="327"/>
      <c r="M282" s="327"/>
      <c r="N282" s="327"/>
      <c r="O282" s="1"/>
    </row>
    <row r="283" spans="1:15" x14ac:dyDescent="0.25">
      <c r="A283" s="1"/>
      <c r="B283" s="327"/>
      <c r="C283" s="327"/>
      <c r="D283" s="327"/>
      <c r="E283" s="327"/>
      <c r="F283" s="327"/>
      <c r="G283" s="327"/>
      <c r="H283" s="327"/>
      <c r="I283" s="327"/>
      <c r="J283" s="327"/>
      <c r="K283" s="327"/>
      <c r="L283" s="327"/>
      <c r="M283" s="327"/>
      <c r="N283" s="327"/>
      <c r="O283" s="1"/>
    </row>
    <row r="284" spans="1:15" x14ac:dyDescent="0.25">
      <c r="A284" s="1"/>
      <c r="C284" s="327"/>
      <c r="D284" s="327"/>
      <c r="E284" s="327"/>
      <c r="F284" s="327"/>
      <c r="G284" s="327"/>
      <c r="H284" s="327"/>
      <c r="I284" s="327"/>
      <c r="J284" s="327"/>
      <c r="K284" s="327"/>
      <c r="L284" s="327"/>
      <c r="M284" s="327"/>
      <c r="N284" s="327"/>
      <c r="O284" s="1"/>
    </row>
    <row r="285" spans="1:15" x14ac:dyDescent="0.25">
      <c r="A285" s="1"/>
      <c r="B285" s="328" t="s">
        <v>361</v>
      </c>
      <c r="C285" s="328"/>
      <c r="D285" s="328"/>
      <c r="E285" s="327"/>
      <c r="F285" s="327"/>
      <c r="G285" s="384"/>
      <c r="H285" s="327"/>
      <c r="I285" s="327"/>
      <c r="J285" s="327"/>
      <c r="K285" s="327"/>
      <c r="L285" s="327"/>
      <c r="M285" s="327"/>
      <c r="N285" s="327"/>
      <c r="O285" s="1"/>
    </row>
    <row r="286" spans="1:15" x14ac:dyDescent="0.25">
      <c r="A286" s="1"/>
      <c r="C286" s="328"/>
      <c r="D286" s="328"/>
      <c r="E286" s="327"/>
      <c r="F286" s="327"/>
      <c r="G286" s="327"/>
      <c r="H286" s="327"/>
      <c r="I286" s="327"/>
      <c r="J286" s="327"/>
      <c r="K286" s="327"/>
      <c r="L286" s="327"/>
      <c r="M286" s="327"/>
      <c r="N286" s="327"/>
      <c r="O286" s="1"/>
    </row>
    <row r="287" spans="1:15" x14ac:dyDescent="0.25">
      <c r="A287" s="1"/>
      <c r="B287" s="327" t="s">
        <v>363</v>
      </c>
      <c r="C287" s="328"/>
      <c r="D287" s="328"/>
      <c r="E287" s="327"/>
      <c r="F287" s="327"/>
      <c r="G287" s="327"/>
      <c r="H287" s="327"/>
      <c r="I287" s="327"/>
      <c r="J287" s="327"/>
      <c r="K287" s="327"/>
      <c r="L287" s="327"/>
      <c r="M287" s="327"/>
      <c r="N287" s="327"/>
      <c r="O287" s="1"/>
    </row>
    <row r="288" spans="1:15" x14ac:dyDescent="0.25">
      <c r="A288" s="1"/>
      <c r="B288" s="327" t="s">
        <v>362</v>
      </c>
      <c r="C288" s="328"/>
      <c r="D288" s="328"/>
      <c r="E288" s="327"/>
      <c r="F288" s="327"/>
      <c r="G288" s="327"/>
      <c r="H288" s="327"/>
      <c r="I288" s="327"/>
      <c r="J288" s="327"/>
      <c r="K288" s="327"/>
      <c r="L288" s="327"/>
      <c r="M288" s="327"/>
      <c r="N288" s="327"/>
      <c r="O288" s="1"/>
    </row>
    <row r="289" spans="1:15" x14ac:dyDescent="0.25">
      <c r="A289" s="1"/>
      <c r="B289" s="327"/>
      <c r="C289" s="327"/>
      <c r="D289" s="327"/>
      <c r="E289" s="327"/>
      <c r="F289" s="327"/>
      <c r="G289" s="327"/>
      <c r="H289" s="327"/>
      <c r="I289" s="327"/>
      <c r="J289" s="327"/>
      <c r="K289" s="327"/>
      <c r="L289" s="327"/>
      <c r="M289" s="327"/>
      <c r="N289" s="327"/>
      <c r="O289" s="1"/>
    </row>
    <row r="290" spans="1:15" x14ac:dyDescent="0.25">
      <c r="A290" s="1"/>
      <c r="B290" s="329" t="s">
        <v>364</v>
      </c>
      <c r="C290" s="329"/>
      <c r="D290" s="329"/>
      <c r="E290" s="327"/>
      <c r="F290" s="327"/>
      <c r="G290" s="327"/>
      <c r="H290" s="327"/>
      <c r="I290" s="327"/>
      <c r="J290" s="327"/>
      <c r="K290" s="327"/>
      <c r="L290" s="327"/>
      <c r="M290" s="327"/>
      <c r="N290" s="327"/>
      <c r="O290" s="1"/>
    </row>
    <row r="291" spans="1:15" x14ac:dyDescent="0.25">
      <c r="A291" s="1"/>
      <c r="B291" s="329" t="s">
        <v>365</v>
      </c>
      <c r="C291" s="329"/>
      <c r="D291" s="329"/>
      <c r="E291" s="327"/>
      <c r="F291" s="327"/>
      <c r="G291" s="327"/>
      <c r="H291" s="327"/>
      <c r="I291" s="327"/>
      <c r="J291" s="327"/>
      <c r="K291" s="327"/>
      <c r="L291" s="327"/>
      <c r="M291" s="327"/>
      <c r="N291" s="327"/>
      <c r="O291" s="1"/>
    </row>
    <row r="292" spans="1:15" x14ac:dyDescent="0.25">
      <c r="A292" s="1"/>
      <c r="B292" s="329"/>
      <c r="C292" s="329"/>
      <c r="D292" s="329"/>
      <c r="E292" s="327"/>
      <c r="F292" s="327"/>
      <c r="G292" s="327"/>
      <c r="H292" s="327"/>
      <c r="I292" s="327"/>
      <c r="J292" s="327"/>
      <c r="K292" s="327"/>
      <c r="L292" s="327"/>
      <c r="M292" s="327"/>
      <c r="N292" s="327"/>
      <c r="O292" s="1"/>
    </row>
    <row r="293" spans="1:15" x14ac:dyDescent="0.25">
      <c r="A293" s="1"/>
      <c r="B293" s="327"/>
      <c r="C293" s="327"/>
      <c r="D293" s="327"/>
      <c r="E293" s="327"/>
      <c r="F293" s="327"/>
      <c r="G293" s="327"/>
      <c r="H293" s="327"/>
      <c r="I293" s="327"/>
      <c r="J293" s="327"/>
      <c r="K293" s="327"/>
      <c r="L293" s="327"/>
      <c r="M293" s="327"/>
      <c r="N293" s="327"/>
      <c r="O293" s="1"/>
    </row>
    <row r="294" spans="1:15" x14ac:dyDescent="0.25">
      <c r="A294" s="1"/>
      <c r="B294" s="326"/>
      <c r="C294" s="326"/>
      <c r="D294" s="32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x14ac:dyDescent="0.25">
      <c r="A295" s="1"/>
      <c r="B295" s="326"/>
      <c r="C295" s="326"/>
      <c r="D295" s="32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25">
      <c r="A296" s="1"/>
      <c r="B296" s="326"/>
      <c r="C296" s="326"/>
      <c r="D296" s="326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5" x14ac:dyDescent="0.25">
      <c r="A297" s="1"/>
      <c r="B297" s="326"/>
      <c r="C297" s="326"/>
      <c r="D297" s="326"/>
      <c r="E297" s="1"/>
      <c r="F297" s="1"/>
      <c r="G297" s="1"/>
      <c r="H297" s="1"/>
      <c r="I297" s="1"/>
      <c r="J297" s="1"/>
      <c r="K297" s="1"/>
      <c r="L297" s="1"/>
      <c r="M297" s="1"/>
      <c r="N297" s="1"/>
    </row>
  </sheetData>
  <mergeCells count="24">
    <mergeCell ref="A98:B98"/>
    <mergeCell ref="A168:B168"/>
    <mergeCell ref="A228:B228"/>
    <mergeCell ref="A259:B259"/>
    <mergeCell ref="A92:B92"/>
    <mergeCell ref="A163:B163"/>
    <mergeCell ref="A114:B114"/>
    <mergeCell ref="A158:B158"/>
    <mergeCell ref="A162:B162"/>
    <mergeCell ref="A97:N97"/>
    <mergeCell ref="A93:B93"/>
    <mergeCell ref="A167:N167"/>
    <mergeCell ref="A262:B262"/>
    <mergeCell ref="A265:B265"/>
    <mergeCell ref="A268:B268"/>
    <mergeCell ref="A169:B169"/>
    <mergeCell ref="A188:B188"/>
    <mergeCell ref="A227:N227"/>
    <mergeCell ref="A258:N258"/>
    <mergeCell ref="A2:B2"/>
    <mergeCell ref="A1:N1"/>
    <mergeCell ref="A3:B3"/>
    <mergeCell ref="A11:B11"/>
    <mergeCell ref="A89:B8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 xml:space="preserve">&amp;CViacročný rozpočet
na roky 2025-2027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B752-5874-43D0-82EB-9CA1EEBF2817}">
  <sheetPr>
    <pageSetUpPr fitToPage="1"/>
  </sheetPr>
  <dimension ref="A1:P33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7" sqref="C17"/>
    </sheetView>
  </sheetViews>
  <sheetFormatPr defaultRowHeight="15" x14ac:dyDescent="0.25"/>
  <cols>
    <col min="1" max="1" width="8" customWidth="1"/>
    <col min="2" max="2" width="47.5703125" bestFit="1" customWidth="1"/>
    <col min="3" max="3" width="14" bestFit="1" customWidth="1"/>
    <col min="4" max="4" width="10.5703125" bestFit="1" customWidth="1"/>
    <col min="5" max="7" width="11.5703125" customWidth="1"/>
    <col min="10" max="10" width="9.85546875" customWidth="1"/>
    <col min="11" max="12" width="10.5703125" customWidth="1"/>
    <col min="14" max="14" width="61.28515625" bestFit="1" customWidth="1"/>
    <col min="15" max="15" width="10.140625" bestFit="1" customWidth="1"/>
    <col min="16" max="16" width="1.140625" customWidth="1"/>
  </cols>
  <sheetData>
    <row r="1" spans="1:16" ht="18" x14ac:dyDescent="0.25">
      <c r="A1" s="633" t="s">
        <v>333</v>
      </c>
      <c r="B1" s="633"/>
      <c r="C1" s="633"/>
      <c r="D1" s="633"/>
      <c r="E1" s="633"/>
      <c r="F1" s="633"/>
      <c r="G1" s="633"/>
      <c r="H1" s="633"/>
      <c r="I1" s="633"/>
    </row>
    <row r="2" spans="1:16" ht="15.75" thickBot="1" x14ac:dyDescent="0.3">
      <c r="A2" s="428"/>
      <c r="B2" s="428"/>
      <c r="C2" s="428"/>
      <c r="D2" s="428"/>
      <c r="E2" s="428"/>
      <c r="F2" s="428"/>
      <c r="G2" s="428"/>
      <c r="H2" s="428"/>
      <c r="I2" s="428"/>
      <c r="J2" s="428"/>
    </row>
    <row r="3" spans="1:16" ht="45.75" thickBot="1" x14ac:dyDescent="0.3">
      <c r="A3" s="429" t="s">
        <v>221</v>
      </c>
      <c r="B3" s="429" t="s">
        <v>222</v>
      </c>
      <c r="C3" s="430" t="s">
        <v>223</v>
      </c>
      <c r="D3" s="430" t="s">
        <v>311</v>
      </c>
      <c r="E3" s="430" t="s">
        <v>318</v>
      </c>
      <c r="F3" s="594" t="s">
        <v>224</v>
      </c>
      <c r="G3" s="594" t="s">
        <v>340</v>
      </c>
      <c r="H3" s="430" t="s">
        <v>235</v>
      </c>
      <c r="I3" s="542" t="s">
        <v>312</v>
      </c>
      <c r="J3" s="554" t="s">
        <v>225</v>
      </c>
      <c r="L3" t="s">
        <v>341</v>
      </c>
      <c r="N3" s="638" t="s">
        <v>226</v>
      </c>
      <c r="O3" s="639"/>
      <c r="P3" s="640"/>
    </row>
    <row r="4" spans="1:16" ht="16.5" thickBot="1" x14ac:dyDescent="0.3">
      <c r="A4" s="575" t="s">
        <v>82</v>
      </c>
      <c r="B4" s="576" t="s">
        <v>163</v>
      </c>
      <c r="C4" s="577">
        <v>1500</v>
      </c>
      <c r="D4" s="577"/>
      <c r="E4" s="577"/>
      <c r="F4" s="577">
        <v>1500</v>
      </c>
      <c r="G4" s="577"/>
      <c r="H4" s="577"/>
      <c r="I4" s="577"/>
      <c r="J4" s="555">
        <f t="shared" ref="J4:J10" si="0">SUM(D4:I4)</f>
        <v>1500</v>
      </c>
      <c r="K4" s="432">
        <f t="shared" ref="K4:K11" si="1">C4-J4</f>
        <v>0</v>
      </c>
      <c r="L4" s="539">
        <f>C4</f>
        <v>1500</v>
      </c>
      <c r="N4" s="433" t="s">
        <v>227</v>
      </c>
      <c r="O4" s="546" t="s">
        <v>228</v>
      </c>
      <c r="P4" s="547" t="s">
        <v>319</v>
      </c>
    </row>
    <row r="5" spans="1:16" ht="15.75" x14ac:dyDescent="0.25">
      <c r="A5" s="439" t="s">
        <v>87</v>
      </c>
      <c r="B5" s="543" t="s">
        <v>330</v>
      </c>
      <c r="C5" s="279">
        <f>151200</f>
        <v>151200</v>
      </c>
      <c r="D5" s="279">
        <v>138200</v>
      </c>
      <c r="E5" s="279"/>
      <c r="F5" s="279">
        <v>13000</v>
      </c>
      <c r="G5" s="279"/>
      <c r="H5" s="279"/>
      <c r="I5" s="279"/>
      <c r="J5" s="555">
        <f t="shared" si="0"/>
        <v>151200</v>
      </c>
      <c r="K5" s="432">
        <f t="shared" si="1"/>
        <v>0</v>
      </c>
      <c r="L5" s="540"/>
      <c r="N5" s="435"/>
      <c r="O5" s="436">
        <f>500-500</f>
        <v>0</v>
      </c>
      <c r="P5" s="548"/>
    </row>
    <row r="6" spans="1:16" ht="15.75" x14ac:dyDescent="0.25">
      <c r="A6" s="434" t="s">
        <v>89</v>
      </c>
      <c r="B6" s="283" t="s">
        <v>313</v>
      </c>
      <c r="C6" s="270">
        <v>100000</v>
      </c>
      <c r="D6" s="270">
        <v>0</v>
      </c>
      <c r="E6" s="270"/>
      <c r="F6" s="270">
        <v>0</v>
      </c>
      <c r="G6" s="270"/>
      <c r="H6" s="564"/>
      <c r="I6" s="564">
        <v>100000</v>
      </c>
      <c r="J6" s="557">
        <f t="shared" si="0"/>
        <v>100000</v>
      </c>
      <c r="K6" s="432">
        <f t="shared" si="1"/>
        <v>0</v>
      </c>
      <c r="L6" s="540"/>
      <c r="N6" s="438"/>
      <c r="O6" s="436">
        <f>1000-1000</f>
        <v>0</v>
      </c>
      <c r="P6" s="548"/>
    </row>
    <row r="7" spans="1:16" ht="16.5" thickBot="1" x14ac:dyDescent="0.3">
      <c r="A7" s="440" t="s">
        <v>93</v>
      </c>
      <c r="B7" s="578" t="s">
        <v>337</v>
      </c>
      <c r="C7" s="273">
        <v>196500</v>
      </c>
      <c r="D7" s="273">
        <v>196500</v>
      </c>
      <c r="E7" s="273"/>
      <c r="F7" s="273">
        <v>0</v>
      </c>
      <c r="G7" s="273"/>
      <c r="H7" s="441"/>
      <c r="I7" s="441"/>
      <c r="J7" s="557">
        <f t="shared" ref="J7" si="2">SUM(D7:I7)</f>
        <v>196500</v>
      </c>
      <c r="K7" s="432">
        <f t="shared" ref="K7" si="3">C7-J7</f>
        <v>0</v>
      </c>
      <c r="L7" s="539">
        <f>SUM(C5:C7)</f>
        <v>447700</v>
      </c>
      <c r="N7" s="435" t="s">
        <v>320</v>
      </c>
      <c r="O7" s="436">
        <f>5000+10000+1500+200-16700</f>
        <v>0</v>
      </c>
      <c r="P7" s="548"/>
    </row>
    <row r="8" spans="1:16" ht="15.75" x14ac:dyDescent="0.25">
      <c r="A8" s="439" t="s">
        <v>164</v>
      </c>
      <c r="B8" s="448" t="s">
        <v>165</v>
      </c>
      <c r="C8" s="279">
        <f>3000+20000</f>
        <v>23000</v>
      </c>
      <c r="D8" s="279"/>
      <c r="E8" s="279">
        <v>3000</v>
      </c>
      <c r="F8" s="279">
        <v>20000</v>
      </c>
      <c r="G8" s="279"/>
      <c r="H8" s="279"/>
      <c r="I8" s="279"/>
      <c r="J8" s="555">
        <f t="shared" si="0"/>
        <v>23000</v>
      </c>
      <c r="K8" s="432">
        <f t="shared" si="1"/>
        <v>0</v>
      </c>
      <c r="L8" s="540"/>
      <c r="N8" s="438" t="s">
        <v>246</v>
      </c>
      <c r="O8" s="442">
        <v>8000</v>
      </c>
      <c r="P8" s="548"/>
    </row>
    <row r="9" spans="1:16" ht="15.75" x14ac:dyDescent="0.25">
      <c r="A9" s="443" t="s">
        <v>164</v>
      </c>
      <c r="B9" s="444" t="s">
        <v>229</v>
      </c>
      <c r="C9" s="427">
        <v>30000</v>
      </c>
      <c r="D9" s="427"/>
      <c r="E9" s="427"/>
      <c r="F9" s="427">
        <v>30000</v>
      </c>
      <c r="G9" s="427"/>
      <c r="H9" s="427"/>
      <c r="I9" s="427"/>
      <c r="J9" s="557">
        <f t="shared" si="0"/>
        <v>30000</v>
      </c>
      <c r="K9" s="432">
        <f t="shared" si="1"/>
        <v>0</v>
      </c>
      <c r="L9" s="540"/>
      <c r="N9" s="438"/>
      <c r="O9" s="442">
        <f>3000-3000</f>
        <v>0</v>
      </c>
      <c r="P9" s="548"/>
    </row>
    <row r="10" spans="1:16" ht="15.75" x14ac:dyDescent="0.25">
      <c r="A10" s="434" t="s">
        <v>96</v>
      </c>
      <c r="B10" s="446" t="s">
        <v>247</v>
      </c>
      <c r="C10" s="270">
        <v>10000</v>
      </c>
      <c r="D10" s="270"/>
      <c r="E10" s="270"/>
      <c r="F10" s="270">
        <v>10000</v>
      </c>
      <c r="G10" s="270"/>
      <c r="H10" s="270"/>
      <c r="I10" s="270"/>
      <c r="J10" s="557">
        <f t="shared" si="0"/>
        <v>10000</v>
      </c>
      <c r="K10" s="432">
        <f t="shared" si="1"/>
        <v>0</v>
      </c>
      <c r="L10" s="540"/>
      <c r="N10" s="438"/>
      <c r="O10" s="442">
        <f>2000-2000</f>
        <v>0</v>
      </c>
      <c r="P10" s="548"/>
    </row>
    <row r="11" spans="1:16" ht="15.75" x14ac:dyDescent="0.25">
      <c r="A11" s="434" t="s">
        <v>96</v>
      </c>
      <c r="B11" s="446" t="s">
        <v>360</v>
      </c>
      <c r="C11" s="597">
        <f>15036+43800+163000</f>
        <v>221836</v>
      </c>
      <c r="D11" s="270"/>
      <c r="E11" s="270"/>
      <c r="F11" s="597">
        <f>50000+9036-44000+163000</f>
        <v>178036</v>
      </c>
      <c r="G11" s="270">
        <f>27000+16800</f>
        <v>43800</v>
      </c>
      <c r="H11" s="270"/>
      <c r="I11" s="270"/>
      <c r="J11" s="557">
        <f t="shared" ref="J11" si="4">SUM(D11:I11)</f>
        <v>221836</v>
      </c>
      <c r="K11" s="471">
        <f t="shared" si="1"/>
        <v>0</v>
      </c>
      <c r="L11" s="540"/>
      <c r="M11" s="426">
        <f>SUM(C10:C11)</f>
        <v>231836</v>
      </c>
      <c r="N11" s="438" t="s">
        <v>321</v>
      </c>
      <c r="O11" s="442">
        <v>2000</v>
      </c>
      <c r="P11" s="549"/>
    </row>
    <row r="12" spans="1:16" ht="15.75" x14ac:dyDescent="0.25">
      <c r="A12" s="431" t="s">
        <v>302</v>
      </c>
      <c r="B12" s="497" t="s">
        <v>314</v>
      </c>
      <c r="C12" s="452">
        <f>145000+71000</f>
        <v>216000</v>
      </c>
      <c r="D12" s="276">
        <v>145000</v>
      </c>
      <c r="E12" s="276"/>
      <c r="F12" s="276">
        <f>12700+58300-71000</f>
        <v>0</v>
      </c>
      <c r="G12" s="276">
        <v>71000</v>
      </c>
      <c r="H12" s="276"/>
      <c r="I12" s="276"/>
      <c r="J12" s="555">
        <f>SUM(D12:I12)</f>
        <v>216000</v>
      </c>
      <c r="K12" s="432">
        <f>C12-J12</f>
        <v>0</v>
      </c>
      <c r="L12" s="540"/>
      <c r="N12" s="438" t="s">
        <v>329</v>
      </c>
      <c r="O12" s="442">
        <v>20000</v>
      </c>
      <c r="P12" s="549"/>
    </row>
    <row r="13" spans="1:16" ht="16.5" thickBot="1" x14ac:dyDescent="0.3">
      <c r="A13" s="440" t="s">
        <v>98</v>
      </c>
      <c r="B13" s="526" t="s">
        <v>315</v>
      </c>
      <c r="C13" s="273">
        <f>70000+42000</f>
        <v>112000</v>
      </c>
      <c r="D13" s="596">
        <v>70000</v>
      </c>
      <c r="E13" s="273"/>
      <c r="F13" s="596">
        <f>12000+30000</f>
        <v>42000</v>
      </c>
      <c r="G13" s="273"/>
      <c r="H13" s="273"/>
      <c r="I13" s="273"/>
      <c r="J13" s="556">
        <f t="shared" ref="J13:J20" si="5">SUM(D13:I13)</f>
        <v>112000</v>
      </c>
      <c r="K13" s="432">
        <f t="shared" ref="K13:K25" si="6">C13-J13</f>
        <v>0</v>
      </c>
      <c r="L13" s="539">
        <f>SUM(C8:C13)</f>
        <v>612836</v>
      </c>
      <c r="N13" s="472"/>
      <c r="O13" s="473">
        <f>1500-230-315-955</f>
        <v>0</v>
      </c>
      <c r="P13" s="550"/>
    </row>
    <row r="14" spans="1:16" ht="15.75" x14ac:dyDescent="0.25">
      <c r="A14" s="437" t="s">
        <v>111</v>
      </c>
      <c r="B14" s="527" t="s">
        <v>322</v>
      </c>
      <c r="C14" s="268">
        <f>184200+11900</f>
        <v>196100</v>
      </c>
      <c r="D14" s="268">
        <f>105400+35350</f>
        <v>140750</v>
      </c>
      <c r="E14" s="268"/>
      <c r="F14" s="268">
        <f>55350-55000</f>
        <v>350</v>
      </c>
      <c r="G14" s="268">
        <v>55000</v>
      </c>
      <c r="H14" s="268"/>
      <c r="I14" s="268"/>
      <c r="J14" s="558">
        <f t="shared" si="5"/>
        <v>196100</v>
      </c>
      <c r="K14" s="432">
        <f t="shared" si="6"/>
        <v>0</v>
      </c>
      <c r="L14" s="540"/>
      <c r="N14" s="472"/>
      <c r="O14" s="473"/>
      <c r="P14" s="550"/>
    </row>
    <row r="15" spans="1:16" ht="15.75" x14ac:dyDescent="0.25">
      <c r="A15" s="431" t="s">
        <v>111</v>
      </c>
      <c r="B15" s="562" t="s">
        <v>332</v>
      </c>
      <c r="C15" s="276">
        <v>30000</v>
      </c>
      <c r="D15" s="276"/>
      <c r="E15" s="276"/>
      <c r="F15" s="276">
        <v>30000</v>
      </c>
      <c r="G15" s="276"/>
      <c r="H15" s="276"/>
      <c r="I15" s="276"/>
      <c r="J15" s="557">
        <f t="shared" ref="J15" si="7">SUM(D15:I15)</f>
        <v>30000</v>
      </c>
      <c r="K15" s="432">
        <f t="shared" ref="K15" si="8">C15-J15</f>
        <v>0</v>
      </c>
      <c r="L15" s="540"/>
      <c r="N15" s="472"/>
      <c r="O15" s="473"/>
      <c r="P15" s="550"/>
    </row>
    <row r="16" spans="1:16" ht="15.75" x14ac:dyDescent="0.25">
      <c r="A16" s="431" t="s">
        <v>111</v>
      </c>
      <c r="B16" s="562" t="s">
        <v>339</v>
      </c>
      <c r="C16" s="276">
        <f>50000+5000</f>
        <v>55000</v>
      </c>
      <c r="D16" s="276">
        <v>50000</v>
      </c>
      <c r="E16" s="276"/>
      <c r="F16" s="276">
        <f>5000</f>
        <v>5000</v>
      </c>
      <c r="G16" s="276"/>
      <c r="H16" s="276"/>
      <c r="I16" s="276"/>
      <c r="J16" s="555">
        <f t="shared" ref="J16" si="9">SUM(D16:I16)</f>
        <v>55000</v>
      </c>
      <c r="K16" s="432">
        <f t="shared" ref="K16" si="10">C16-J16</f>
        <v>0</v>
      </c>
      <c r="L16" s="540"/>
      <c r="M16" s="426">
        <f>SUM(C14:C16)</f>
        <v>281100</v>
      </c>
      <c r="N16" s="472"/>
      <c r="O16" s="473"/>
      <c r="P16" s="550"/>
    </row>
    <row r="17" spans="1:16" ht="16.5" thickBot="1" x14ac:dyDescent="0.3">
      <c r="A17" s="431" t="s">
        <v>113</v>
      </c>
      <c r="B17" s="285" t="s">
        <v>232</v>
      </c>
      <c r="C17" s="276">
        <v>0</v>
      </c>
      <c r="D17" s="276"/>
      <c r="E17" s="276"/>
      <c r="F17" s="276">
        <v>0</v>
      </c>
      <c r="G17" s="276"/>
      <c r="H17" s="276"/>
      <c r="I17" s="276"/>
      <c r="J17" s="555">
        <f t="shared" si="5"/>
        <v>0</v>
      </c>
      <c r="K17" s="432">
        <f t="shared" si="6"/>
        <v>0</v>
      </c>
      <c r="L17" s="579"/>
      <c r="M17" s="571"/>
      <c r="N17" s="462" t="s">
        <v>230</v>
      </c>
      <c r="O17" s="551">
        <v>0</v>
      </c>
      <c r="P17" s="550"/>
    </row>
    <row r="18" spans="1:16" ht="16.5" thickBot="1" x14ac:dyDescent="0.3">
      <c r="A18" s="439" t="s">
        <v>113</v>
      </c>
      <c r="B18" s="561" t="s">
        <v>331</v>
      </c>
      <c r="C18" s="279">
        <v>15000</v>
      </c>
      <c r="D18" s="279"/>
      <c r="E18" s="279"/>
      <c r="F18" s="276">
        <f>15000</f>
        <v>15000</v>
      </c>
      <c r="G18" s="276"/>
      <c r="H18" s="276"/>
      <c r="I18" s="276"/>
      <c r="J18" s="555">
        <f t="shared" ref="J18" si="11">SUM(D18:I18)</f>
        <v>15000</v>
      </c>
      <c r="K18" s="432">
        <f t="shared" ref="K18" si="12">C18-J18</f>
        <v>0</v>
      </c>
      <c r="L18" s="540"/>
      <c r="N18" s="463" t="s">
        <v>231</v>
      </c>
      <c r="O18" s="552">
        <f>SUM(O5:O17)</f>
        <v>30000</v>
      </c>
      <c r="P18" s="553">
        <f>SUM(P5:P17)</f>
        <v>0</v>
      </c>
    </row>
    <row r="19" spans="1:16" ht="15.75" thickBot="1" x14ac:dyDescent="0.3">
      <c r="A19" s="445" t="s">
        <v>113</v>
      </c>
      <c r="B19" s="447" t="s">
        <v>327</v>
      </c>
      <c r="C19" s="282">
        <f>379400+33000</f>
        <v>412400</v>
      </c>
      <c r="D19" s="282">
        <v>379400</v>
      </c>
      <c r="E19" s="282">
        <f>886</f>
        <v>886</v>
      </c>
      <c r="F19" s="270">
        <f>32114-32000</f>
        <v>114</v>
      </c>
      <c r="G19" s="270">
        <v>32000</v>
      </c>
      <c r="H19" s="270"/>
      <c r="I19" s="270"/>
      <c r="J19" s="557">
        <f t="shared" si="5"/>
        <v>412400</v>
      </c>
      <c r="K19" s="432">
        <f t="shared" si="6"/>
        <v>0</v>
      </c>
      <c r="L19" s="539">
        <f>SUM(C14:C19)</f>
        <v>708500</v>
      </c>
      <c r="M19" s="426">
        <f>SUM(C17:C19)</f>
        <v>427400</v>
      </c>
    </row>
    <row r="20" spans="1:16" x14ac:dyDescent="0.25">
      <c r="A20" s="437" t="s">
        <v>122</v>
      </c>
      <c r="B20" s="531" t="s">
        <v>248</v>
      </c>
      <c r="C20" s="268">
        <f>475100-230100</f>
        <v>245000</v>
      </c>
      <c r="D20" s="268">
        <v>430000</v>
      </c>
      <c r="E20" s="268"/>
      <c r="F20" s="268">
        <f>46000-46000</f>
        <v>0</v>
      </c>
      <c r="G20" s="268">
        <f>-230100+45100</f>
        <v>-185000</v>
      </c>
      <c r="H20" s="268"/>
      <c r="I20" s="268"/>
      <c r="J20" s="558">
        <f t="shared" si="5"/>
        <v>245000</v>
      </c>
      <c r="K20" s="432">
        <f t="shared" si="6"/>
        <v>0</v>
      </c>
      <c r="L20" s="539"/>
    </row>
    <row r="21" spans="1:16" ht="15.75" thickBot="1" x14ac:dyDescent="0.3">
      <c r="A21" s="434" t="s">
        <v>124</v>
      </c>
      <c r="B21" s="532" t="s">
        <v>316</v>
      </c>
      <c r="C21" s="270">
        <f>1146000-16800</f>
        <v>1129200</v>
      </c>
      <c r="D21" s="270">
        <f>1220380-74380</f>
        <v>1146000</v>
      </c>
      <c r="E21" s="270"/>
      <c r="F21" s="270">
        <v>0</v>
      </c>
      <c r="G21" s="270">
        <v>-16800</v>
      </c>
      <c r="H21" s="270"/>
      <c r="I21" s="270"/>
      <c r="J21" s="557">
        <f t="shared" ref="J21" si="13">SUM(D21:I21)</f>
        <v>1129200</v>
      </c>
      <c r="K21" s="458">
        <f t="shared" si="6"/>
        <v>0</v>
      </c>
      <c r="L21" s="539">
        <f>SUM(C20:C21)</f>
        <v>1374200</v>
      </c>
    </row>
    <row r="22" spans="1:16" ht="15.75" thickBot="1" x14ac:dyDescent="0.3">
      <c r="A22" s="634" t="s">
        <v>233</v>
      </c>
      <c r="B22" s="635"/>
      <c r="C22" s="449">
        <f t="shared" ref="C22:J22" si="14">SUM(C4:C21)</f>
        <v>3144736</v>
      </c>
      <c r="D22" s="449">
        <f t="shared" si="14"/>
        <v>2695850</v>
      </c>
      <c r="E22" s="449">
        <f t="shared" si="14"/>
        <v>3886</v>
      </c>
      <c r="F22" s="449">
        <f t="shared" si="14"/>
        <v>345000</v>
      </c>
      <c r="G22" s="449">
        <f t="shared" si="14"/>
        <v>0</v>
      </c>
      <c r="H22" s="449">
        <f t="shared" si="14"/>
        <v>0</v>
      </c>
      <c r="I22" s="449">
        <f t="shared" si="14"/>
        <v>100000</v>
      </c>
      <c r="J22" s="559">
        <f t="shared" si="14"/>
        <v>3144736</v>
      </c>
      <c r="K22" s="432">
        <f t="shared" si="6"/>
        <v>0</v>
      </c>
      <c r="L22" s="595"/>
    </row>
    <row r="23" spans="1:16" ht="15.75" thickBot="1" x14ac:dyDescent="0.3">
      <c r="A23" s="431"/>
      <c r="B23" s="451"/>
      <c r="C23" s="452"/>
      <c r="D23" s="276"/>
      <c r="E23" s="276"/>
      <c r="F23" s="450"/>
      <c r="G23" s="450"/>
      <c r="H23" s="450"/>
      <c r="I23" s="276"/>
      <c r="J23" s="555">
        <f>SUM(D23:I23)</f>
        <v>0</v>
      </c>
      <c r="K23" s="432">
        <f t="shared" si="6"/>
        <v>0</v>
      </c>
      <c r="L23" s="539">
        <f>SUM(L4:L21)</f>
        <v>3144736</v>
      </c>
    </row>
    <row r="24" spans="1:16" ht="15.75" thickBot="1" x14ac:dyDescent="0.3">
      <c r="A24" s="634" t="s">
        <v>234</v>
      </c>
      <c r="B24" s="635"/>
      <c r="C24" s="449">
        <f>SUM(C23:C23)</f>
        <v>0</v>
      </c>
      <c r="D24" s="449">
        <f t="shared" ref="D24:I24" si="15">SUM(D23:D23)</f>
        <v>0</v>
      </c>
      <c r="E24" s="449">
        <f t="shared" si="15"/>
        <v>0</v>
      </c>
      <c r="F24" s="449">
        <f t="shared" si="15"/>
        <v>0</v>
      </c>
      <c r="G24" s="449">
        <f t="shared" ref="G24" si="16">SUM(G23:G23)</f>
        <v>0</v>
      </c>
      <c r="H24" s="449">
        <f t="shared" si="15"/>
        <v>0</v>
      </c>
      <c r="I24" s="449">
        <f t="shared" si="15"/>
        <v>0</v>
      </c>
      <c r="J24" s="559">
        <f>SUM(J23:J23)</f>
        <v>0</v>
      </c>
      <c r="K24" s="432">
        <f t="shared" si="6"/>
        <v>0</v>
      </c>
    </row>
    <row r="25" spans="1:16" ht="22.5" customHeight="1" thickBot="1" x14ac:dyDescent="0.3">
      <c r="A25" s="636" t="s">
        <v>253</v>
      </c>
      <c r="B25" s="637"/>
      <c r="C25" s="449">
        <f>C22+C24</f>
        <v>3144736</v>
      </c>
      <c r="D25" s="449">
        <f t="shared" ref="D25:I25" si="17">D22+D24</f>
        <v>2695850</v>
      </c>
      <c r="E25" s="449">
        <f t="shared" si="17"/>
        <v>3886</v>
      </c>
      <c r="F25" s="449">
        <f t="shared" si="17"/>
        <v>345000</v>
      </c>
      <c r="G25" s="449">
        <f t="shared" ref="G25" si="18">G22+G24</f>
        <v>0</v>
      </c>
      <c r="H25" s="449">
        <f t="shared" si="17"/>
        <v>0</v>
      </c>
      <c r="I25" s="449">
        <f t="shared" si="17"/>
        <v>100000</v>
      </c>
      <c r="J25" s="559">
        <f>J22+J24</f>
        <v>3144736</v>
      </c>
      <c r="K25" s="432">
        <f t="shared" si="6"/>
        <v>0</v>
      </c>
    </row>
    <row r="26" spans="1:16" ht="15" customHeight="1" x14ac:dyDescent="0.25">
      <c r="A26" s="453"/>
      <c r="B26" s="593" t="s">
        <v>357</v>
      </c>
      <c r="C26" s="454"/>
      <c r="E26" s="456"/>
      <c r="F26" s="573">
        <v>345000</v>
      </c>
      <c r="G26" s="574">
        <f>185000+16800</f>
        <v>201800</v>
      </c>
      <c r="H26" s="573">
        <v>9000</v>
      </c>
      <c r="I26" s="457"/>
      <c r="J26" s="458"/>
      <c r="K26" s="459"/>
    </row>
    <row r="27" spans="1:16" x14ac:dyDescent="0.25">
      <c r="A27" s="453"/>
      <c r="B27" s="453"/>
      <c r="C27" s="454"/>
      <c r="E27" s="456"/>
      <c r="F27" s="426">
        <f>F26-F25</f>
        <v>0</v>
      </c>
      <c r="G27" s="572">
        <f>F26+G26</f>
        <v>546800</v>
      </c>
      <c r="H27" s="455"/>
      <c r="I27" s="457"/>
      <c r="J27" s="458"/>
      <c r="K27" s="459"/>
    </row>
    <row r="28" spans="1:16" x14ac:dyDescent="0.25">
      <c r="A28" s="428"/>
      <c r="B28" s="544" t="s">
        <v>317</v>
      </c>
      <c r="C28" s="535" t="s">
        <v>300</v>
      </c>
      <c r="D28" s="525">
        <f>2725850-105400</f>
        <v>2620450</v>
      </c>
      <c r="E28" s="479">
        <v>3000</v>
      </c>
      <c r="G28" s="464"/>
      <c r="H28" s="464"/>
      <c r="I28" s="428"/>
      <c r="J28" s="525">
        <f>SUM(D28:I28)</f>
        <v>2623450</v>
      </c>
    </row>
    <row r="29" spans="1:16" ht="15.75" x14ac:dyDescent="0.25">
      <c r="A29" s="428"/>
      <c r="C29" s="535" t="s">
        <v>301</v>
      </c>
      <c r="D29" s="534">
        <f>105400</f>
        <v>105400</v>
      </c>
      <c r="E29" s="533">
        <v>886</v>
      </c>
      <c r="F29" s="570"/>
      <c r="G29" s="426"/>
      <c r="H29" s="460"/>
      <c r="I29" s="533">
        <v>100000</v>
      </c>
      <c r="J29" s="525">
        <f>SUM(D29:I29)</f>
        <v>206286</v>
      </c>
    </row>
    <row r="30" spans="1:16" x14ac:dyDescent="0.25">
      <c r="A30" s="428"/>
      <c r="C30" s="428"/>
      <c r="D30" s="525">
        <f>SUM(D28:D29)</f>
        <v>2725850</v>
      </c>
      <c r="E30" s="428"/>
      <c r="F30" s="428"/>
      <c r="G30" s="428"/>
      <c r="H30" s="428"/>
      <c r="I30" s="545"/>
      <c r="J30" s="428"/>
      <c r="K30" s="428"/>
    </row>
    <row r="31" spans="1:16" x14ac:dyDescent="0.25">
      <c r="B31" s="461" t="s">
        <v>354</v>
      </c>
      <c r="D31" s="479">
        <f>D30-D25</f>
        <v>30000</v>
      </c>
    </row>
    <row r="32" spans="1:16" x14ac:dyDescent="0.25">
      <c r="B32" t="s">
        <v>185</v>
      </c>
    </row>
    <row r="33" spans="14:14" x14ac:dyDescent="0.25">
      <c r="N33">
        <v>3</v>
      </c>
    </row>
  </sheetData>
  <mergeCells count="5">
    <mergeCell ref="A1:I1"/>
    <mergeCell ref="A22:B22"/>
    <mergeCell ref="A24:B24"/>
    <mergeCell ref="A25:B25"/>
    <mergeCell ref="N3:P3"/>
  </mergeCells>
  <pageMargins left="0.7" right="0.7" top="0.75" bottom="0.75" header="0.3" footer="0.3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VR25-27</vt:lpstr>
      <vt:lpstr>Plán investícií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2024-12-31T10:14:36Z</dcterms:modified>
</cp:coreProperties>
</file>