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A98CB7BF-2C2C-43D4-B114-9EF1249388B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zmena 3" sheetId="12" r:id="rId1"/>
    <sheet name="zmena 2" sheetId="11" r:id="rId2"/>
    <sheet name="zmena 1" sheetId="1" r:id="rId3"/>
    <sheet name="úpravy OZ" sheetId="7" r:id="rId4"/>
    <sheet name="úpravy ST" sheetId="8" r:id="rId5"/>
    <sheet name="investície" sheetId="3" r:id="rId6"/>
    <sheet name="opatrenia" sheetId="10" r:id="rId7"/>
    <sheet name="VR 24-26" sheetId="9" r:id="rId8"/>
    <sheet name="eko" sheetId="4" r:id="rId9"/>
    <sheet name="kategorie" sheetId="6" r:id="rId10"/>
    <sheet name="zdroje" sheetId="5" r:id="rId11"/>
  </sheets>
  <calcPr calcId="191029"/>
</workbook>
</file>

<file path=xl/calcChain.xml><?xml version="1.0" encoding="utf-8"?>
<calcChain xmlns="http://schemas.openxmlformats.org/spreadsheetml/2006/main">
  <c r="I166" i="12" l="1"/>
  <c r="I158" i="12"/>
  <c r="I162" i="12"/>
  <c r="I149" i="12"/>
  <c r="I146" i="12"/>
  <c r="I156" i="12"/>
  <c r="I154" i="12" s="1"/>
  <c r="I205" i="12" s="1"/>
  <c r="I157" i="12"/>
  <c r="I161" i="12"/>
  <c r="I168" i="12"/>
  <c r="I175" i="12"/>
  <c r="I174" i="12" s="1"/>
  <c r="I207" i="12" s="1"/>
  <c r="I209" i="12" s="1"/>
  <c r="I177" i="12"/>
  <c r="I187" i="12"/>
  <c r="I192" i="12"/>
  <c r="I208" i="12" s="1"/>
  <c r="I201" i="12"/>
  <c r="I79" i="12"/>
  <c r="I77" i="12" s="1"/>
  <c r="I81" i="12"/>
  <c r="I84" i="12"/>
  <c r="I83" i="12" s="1"/>
  <c r="I87" i="12"/>
  <c r="I85" i="12" s="1"/>
  <c r="I88" i="12"/>
  <c r="I90" i="12"/>
  <c r="I93" i="12"/>
  <c r="I92" i="12" s="1"/>
  <c r="I94" i="12"/>
  <c r="I98" i="12"/>
  <c r="I97" i="12" s="1"/>
  <c r="I100" i="12"/>
  <c r="I101" i="12"/>
  <c r="I106" i="12"/>
  <c r="I105" i="12" s="1"/>
  <c r="I107" i="12"/>
  <c r="I108" i="12"/>
  <c r="I112" i="12"/>
  <c r="I111" i="12" s="1"/>
  <c r="I113" i="12"/>
  <c r="I114" i="12"/>
  <c r="I116" i="12"/>
  <c r="I117" i="12"/>
  <c r="I118" i="12"/>
  <c r="I121" i="12"/>
  <c r="I120" i="12" s="1"/>
  <c r="I122" i="12"/>
  <c r="I123" i="12"/>
  <c r="I127" i="12"/>
  <c r="I133" i="12" s="1"/>
  <c r="I137" i="12" s="1"/>
  <c r="I128" i="12"/>
  <c r="I129" i="12"/>
  <c r="I132" i="12"/>
  <c r="I135" i="12"/>
  <c r="I136" i="12"/>
  <c r="I3" i="12"/>
  <c r="I15" i="12"/>
  <c r="I11" i="12" s="1"/>
  <c r="I65" i="12" s="1"/>
  <c r="I72" i="12" s="1"/>
  <c r="I32" i="12"/>
  <c r="I35" i="12"/>
  <c r="I34" i="12" s="1"/>
  <c r="I37" i="12"/>
  <c r="I38" i="12"/>
  <c r="I42" i="12"/>
  <c r="I40" i="12" s="1"/>
  <c r="I44" i="12"/>
  <c r="I45" i="12"/>
  <c r="I46" i="12"/>
  <c r="I52" i="12"/>
  <c r="I55" i="12"/>
  <c r="I56" i="12"/>
  <c r="I57" i="12"/>
  <c r="I63" i="12"/>
  <c r="I64" i="12"/>
  <c r="I68" i="12"/>
  <c r="I70" i="12"/>
  <c r="I71" i="12"/>
  <c r="C11" i="3"/>
  <c r="D11" i="3"/>
  <c r="C7" i="3"/>
  <c r="C15" i="3"/>
  <c r="C34" i="7"/>
  <c r="F7" i="3"/>
  <c r="F15" i="3"/>
  <c r="F29" i="3"/>
  <c r="D26" i="3"/>
  <c r="H27" i="3" s="1"/>
  <c r="D25" i="3"/>
  <c r="D27" i="3" s="1"/>
  <c r="H22" i="3"/>
  <c r="G22" i="3"/>
  <c r="F22" i="3"/>
  <c r="E22" i="3"/>
  <c r="D22" i="3"/>
  <c r="C22" i="3"/>
  <c r="J21" i="3"/>
  <c r="I21" i="3"/>
  <c r="I22" i="3" s="1"/>
  <c r="H20" i="3"/>
  <c r="H23" i="3" s="1"/>
  <c r="G20" i="3"/>
  <c r="G23" i="3" s="1"/>
  <c r="E20" i="3"/>
  <c r="E23" i="3" s="1"/>
  <c r="I19" i="3"/>
  <c r="J19" i="3" s="1"/>
  <c r="I18" i="3"/>
  <c r="C18" i="3"/>
  <c r="J18" i="3" s="1"/>
  <c r="J17" i="3"/>
  <c r="I17" i="3"/>
  <c r="F16" i="3"/>
  <c r="D16" i="3"/>
  <c r="I16" i="3" s="1"/>
  <c r="C16" i="3"/>
  <c r="K19" i="3" s="1"/>
  <c r="M15" i="3"/>
  <c r="E15" i="3"/>
  <c r="I15" i="3" s="1"/>
  <c r="J14" i="3"/>
  <c r="I14" i="3"/>
  <c r="C14" i="3"/>
  <c r="K15" i="3" s="1"/>
  <c r="D13" i="3"/>
  <c r="I13" i="3" s="1"/>
  <c r="J13" i="3" s="1"/>
  <c r="I12" i="3"/>
  <c r="J12" i="3" s="1"/>
  <c r="F11" i="3"/>
  <c r="F10" i="3"/>
  <c r="I10" i="3" s="1"/>
  <c r="C10" i="3"/>
  <c r="K12" i="3" s="1"/>
  <c r="J9" i="3"/>
  <c r="I9" i="3"/>
  <c r="M8" i="3"/>
  <c r="M16" i="3" s="1"/>
  <c r="I8" i="3"/>
  <c r="J8" i="3" s="1"/>
  <c r="F20" i="3"/>
  <c r="F23" i="3" s="1"/>
  <c r="F6" i="3"/>
  <c r="D6" i="3"/>
  <c r="C6" i="3"/>
  <c r="I5" i="3"/>
  <c r="J5" i="3" s="1"/>
  <c r="F5" i="3"/>
  <c r="D5" i="3"/>
  <c r="C5" i="3"/>
  <c r="I4" i="3"/>
  <c r="J208" i="12"/>
  <c r="H208" i="12"/>
  <c r="G208" i="12"/>
  <c r="D205" i="12"/>
  <c r="D204" i="12"/>
  <c r="C204" i="12"/>
  <c r="K196" i="12"/>
  <c r="K195" i="12"/>
  <c r="K194" i="12"/>
  <c r="K193" i="12"/>
  <c r="O192" i="12"/>
  <c r="N192" i="12"/>
  <c r="L192" i="12"/>
  <c r="K192" i="12"/>
  <c r="J192" i="12"/>
  <c r="H192" i="12"/>
  <c r="G192" i="12"/>
  <c r="F192" i="12"/>
  <c r="M192" i="12" s="1"/>
  <c r="E192" i="12"/>
  <c r="E208" i="12" s="1"/>
  <c r="D192" i="12"/>
  <c r="D208" i="12" s="1"/>
  <c r="C192" i="12"/>
  <c r="C208" i="12" s="1"/>
  <c r="M190" i="12"/>
  <c r="L190" i="12"/>
  <c r="K190" i="12"/>
  <c r="K189" i="12"/>
  <c r="K188" i="12"/>
  <c r="M187" i="12"/>
  <c r="K187" i="12"/>
  <c r="H187" i="12"/>
  <c r="L187" i="12" s="1"/>
  <c r="G187" i="12"/>
  <c r="F187" i="12"/>
  <c r="E187" i="12"/>
  <c r="M185" i="12"/>
  <c r="K185" i="12"/>
  <c r="M184" i="12"/>
  <c r="L184" i="12"/>
  <c r="K184" i="12"/>
  <c r="K183" i="12"/>
  <c r="K182" i="12"/>
  <c r="K181" i="12"/>
  <c r="K180" i="12"/>
  <c r="K179" i="12"/>
  <c r="K178" i="12"/>
  <c r="K177" i="12"/>
  <c r="H177" i="12"/>
  <c r="G177" i="12"/>
  <c r="G174" i="12" s="1"/>
  <c r="F177" i="12"/>
  <c r="E177" i="12"/>
  <c r="D177" i="12"/>
  <c r="K176" i="12"/>
  <c r="H175" i="12"/>
  <c r="K175" i="12" s="1"/>
  <c r="G175" i="12"/>
  <c r="F175" i="12"/>
  <c r="F174" i="12" s="1"/>
  <c r="E175" i="12"/>
  <c r="N179" i="12" s="1"/>
  <c r="D175" i="12"/>
  <c r="M179" i="12" s="1"/>
  <c r="C175" i="12"/>
  <c r="L179" i="12" s="1"/>
  <c r="J174" i="12"/>
  <c r="H174" i="12"/>
  <c r="E174" i="12"/>
  <c r="L173" i="12" s="1"/>
  <c r="D174" i="12"/>
  <c r="D207" i="12" s="1"/>
  <c r="D209" i="12" s="1"/>
  <c r="C174" i="12"/>
  <c r="C207" i="12" s="1"/>
  <c r="C209" i="12" s="1"/>
  <c r="K169" i="12"/>
  <c r="K168" i="12"/>
  <c r="H168" i="12"/>
  <c r="G168" i="12"/>
  <c r="K167" i="12"/>
  <c r="H166" i="12"/>
  <c r="K166" i="12" s="1"/>
  <c r="G166" i="12"/>
  <c r="F166" i="12"/>
  <c r="E166" i="12"/>
  <c r="K165" i="12"/>
  <c r="K164" i="12"/>
  <c r="K163" i="12"/>
  <c r="H162" i="12"/>
  <c r="K162" i="12" s="1"/>
  <c r="G162" i="12"/>
  <c r="F162" i="12"/>
  <c r="E162" i="12"/>
  <c r="H161" i="12"/>
  <c r="K161" i="12" s="1"/>
  <c r="G161" i="12"/>
  <c r="F161" i="12"/>
  <c r="E161" i="12"/>
  <c r="K160" i="12"/>
  <c r="K159" i="12"/>
  <c r="K158" i="12"/>
  <c r="H157" i="12"/>
  <c r="K157" i="12" s="1"/>
  <c r="G157" i="12"/>
  <c r="F157" i="12"/>
  <c r="F154" i="12" s="1"/>
  <c r="E157" i="12"/>
  <c r="E154" i="12" s="1"/>
  <c r="H156" i="12"/>
  <c r="K156" i="12" s="1"/>
  <c r="G156" i="12"/>
  <c r="G154" i="12" s="1"/>
  <c r="K155" i="12"/>
  <c r="J154" i="12"/>
  <c r="J205" i="12" s="1"/>
  <c r="D154" i="12"/>
  <c r="M153" i="12" s="1"/>
  <c r="C154" i="12"/>
  <c r="C205" i="12" s="1"/>
  <c r="M152" i="12"/>
  <c r="K152" i="12"/>
  <c r="K150" i="12"/>
  <c r="K149" i="12"/>
  <c r="K148" i="12"/>
  <c r="K147" i="12"/>
  <c r="H146" i="12"/>
  <c r="K146" i="12" s="1"/>
  <c r="G146" i="12"/>
  <c r="K145" i="12"/>
  <c r="K144" i="12"/>
  <c r="J143" i="12"/>
  <c r="J204" i="12" s="1"/>
  <c r="H143" i="12"/>
  <c r="G143" i="12"/>
  <c r="F143" i="12"/>
  <c r="F204" i="12" s="1"/>
  <c r="E143" i="12"/>
  <c r="E204" i="12" s="1"/>
  <c r="D143" i="12"/>
  <c r="C143" i="12"/>
  <c r="L153" i="12" s="1"/>
  <c r="H136" i="12"/>
  <c r="J135" i="12"/>
  <c r="J136" i="12" s="1"/>
  <c r="K136" i="12" s="1"/>
  <c r="H135" i="12"/>
  <c r="K135" i="12" s="1"/>
  <c r="G135" i="12"/>
  <c r="G136" i="12" s="1"/>
  <c r="F135" i="12"/>
  <c r="F136" i="12" s="1"/>
  <c r="E135" i="12"/>
  <c r="E136" i="12" s="1"/>
  <c r="N136" i="12" s="1"/>
  <c r="D135" i="12"/>
  <c r="D136" i="12" s="1"/>
  <c r="C135" i="12"/>
  <c r="C136" i="12" s="1"/>
  <c r="K134" i="12"/>
  <c r="J132" i="12"/>
  <c r="M132" i="12" s="1"/>
  <c r="H132" i="12"/>
  <c r="L132" i="12" s="1"/>
  <c r="G132" i="12"/>
  <c r="F132" i="12"/>
  <c r="E132" i="12"/>
  <c r="D132" i="12"/>
  <c r="C132" i="12"/>
  <c r="K131" i="12"/>
  <c r="L130" i="12"/>
  <c r="K130" i="12"/>
  <c r="J129" i="12"/>
  <c r="H129" i="12"/>
  <c r="K129" i="12" s="1"/>
  <c r="G129" i="12"/>
  <c r="F129" i="12"/>
  <c r="E129" i="12"/>
  <c r="D129" i="12"/>
  <c r="C129" i="12"/>
  <c r="J128" i="12"/>
  <c r="D128" i="12"/>
  <c r="J127" i="12"/>
  <c r="C127" i="12"/>
  <c r="K125" i="12"/>
  <c r="K124" i="12"/>
  <c r="K123" i="12"/>
  <c r="H123" i="12"/>
  <c r="K122" i="12"/>
  <c r="H122" i="12"/>
  <c r="G122" i="12"/>
  <c r="F122" i="12"/>
  <c r="E122" i="12"/>
  <c r="D122" i="12"/>
  <c r="D120" i="12" s="1"/>
  <c r="K121" i="12"/>
  <c r="H121" i="12"/>
  <c r="G121" i="12"/>
  <c r="G120" i="12" s="1"/>
  <c r="F121" i="12"/>
  <c r="E121" i="12"/>
  <c r="D121" i="12"/>
  <c r="J120" i="12"/>
  <c r="H120" i="12"/>
  <c r="F120" i="12"/>
  <c r="E120" i="12"/>
  <c r="C120" i="12"/>
  <c r="K119" i="12"/>
  <c r="K118" i="12"/>
  <c r="H118" i="12"/>
  <c r="G118" i="12"/>
  <c r="F118" i="12"/>
  <c r="E118" i="12"/>
  <c r="L117" i="12"/>
  <c r="K117" i="12"/>
  <c r="H117" i="12"/>
  <c r="G117" i="12"/>
  <c r="F117" i="12"/>
  <c r="E117" i="12"/>
  <c r="D117" i="12"/>
  <c r="K116" i="12"/>
  <c r="H116" i="12"/>
  <c r="G116" i="12"/>
  <c r="F116" i="12"/>
  <c r="E116" i="12"/>
  <c r="N117" i="12" s="1"/>
  <c r="D116" i="12"/>
  <c r="M117" i="12" s="1"/>
  <c r="K115" i="12"/>
  <c r="K114" i="12"/>
  <c r="H114" i="12"/>
  <c r="G114" i="12"/>
  <c r="F114" i="12"/>
  <c r="E114" i="12"/>
  <c r="H113" i="12"/>
  <c r="H111" i="12" s="1"/>
  <c r="G113" i="12"/>
  <c r="G111" i="12" s="1"/>
  <c r="K112" i="12"/>
  <c r="H112" i="12"/>
  <c r="G112" i="12"/>
  <c r="F112" i="12"/>
  <c r="F111" i="12" s="1"/>
  <c r="E112" i="12"/>
  <c r="D112" i="12"/>
  <c r="J111" i="12"/>
  <c r="E111" i="12"/>
  <c r="C111" i="12"/>
  <c r="K110" i="12"/>
  <c r="K109" i="12"/>
  <c r="K108" i="12"/>
  <c r="H108" i="12"/>
  <c r="G108" i="12"/>
  <c r="F108" i="12"/>
  <c r="K107" i="12"/>
  <c r="H107" i="12"/>
  <c r="G107" i="12"/>
  <c r="F107" i="12"/>
  <c r="F105" i="12" s="1"/>
  <c r="E107" i="12"/>
  <c r="K106" i="12"/>
  <c r="H106" i="12"/>
  <c r="G106" i="12"/>
  <c r="G105" i="12" s="1"/>
  <c r="J105" i="12"/>
  <c r="H105" i="12"/>
  <c r="K105" i="12" s="1"/>
  <c r="E105" i="12"/>
  <c r="D105" i="12"/>
  <c r="C105" i="12"/>
  <c r="K104" i="12"/>
  <c r="K103" i="12"/>
  <c r="K102" i="12"/>
  <c r="J101" i="12"/>
  <c r="K101" i="12" s="1"/>
  <c r="H101" i="12"/>
  <c r="G101" i="12"/>
  <c r="F101" i="12"/>
  <c r="E101" i="12"/>
  <c r="D101" i="12"/>
  <c r="C101" i="12"/>
  <c r="K100" i="12"/>
  <c r="H100" i="12"/>
  <c r="G100" i="12"/>
  <c r="F100" i="12"/>
  <c r="E100" i="12"/>
  <c r="E97" i="12" s="1"/>
  <c r="K99" i="12"/>
  <c r="H98" i="12"/>
  <c r="H97" i="12" s="1"/>
  <c r="G98" i="12"/>
  <c r="G97" i="12" s="1"/>
  <c r="F98" i="12"/>
  <c r="E98" i="12"/>
  <c r="J97" i="12"/>
  <c r="F97" i="12"/>
  <c r="D97" i="12"/>
  <c r="C97" i="12"/>
  <c r="K96" i="12"/>
  <c r="K95" i="12"/>
  <c r="K94" i="12"/>
  <c r="H94" i="12"/>
  <c r="G94" i="12"/>
  <c r="F94" i="12"/>
  <c r="E94" i="12"/>
  <c r="H93" i="12"/>
  <c r="K93" i="12" s="1"/>
  <c r="G93" i="12"/>
  <c r="G92" i="12" s="1"/>
  <c r="J92" i="12"/>
  <c r="H92" i="12"/>
  <c r="K92" i="12" s="1"/>
  <c r="F92" i="12"/>
  <c r="E92" i="12"/>
  <c r="D92" i="12"/>
  <c r="C92" i="12"/>
  <c r="K91" i="12"/>
  <c r="H90" i="12"/>
  <c r="H88" i="12" s="1"/>
  <c r="K88" i="12" s="1"/>
  <c r="G90" i="12"/>
  <c r="F90" i="12"/>
  <c r="E90" i="12"/>
  <c r="D90" i="12"/>
  <c r="K89" i="12"/>
  <c r="J88" i="12"/>
  <c r="G88" i="12"/>
  <c r="F88" i="12"/>
  <c r="E88" i="12"/>
  <c r="D88" i="12"/>
  <c r="C88" i="12"/>
  <c r="K87" i="12"/>
  <c r="H87" i="12"/>
  <c r="G87" i="12"/>
  <c r="F87" i="12"/>
  <c r="E87" i="12"/>
  <c r="D87" i="12"/>
  <c r="K86" i="12"/>
  <c r="J85" i="12"/>
  <c r="K85" i="12" s="1"/>
  <c r="H85" i="12"/>
  <c r="G85" i="12"/>
  <c r="F85" i="12"/>
  <c r="E85" i="12"/>
  <c r="D85" i="12"/>
  <c r="C85" i="12"/>
  <c r="K84" i="12"/>
  <c r="H84" i="12"/>
  <c r="G84" i="12"/>
  <c r="F84" i="12"/>
  <c r="F83" i="12" s="1"/>
  <c r="E84" i="12"/>
  <c r="D84" i="12"/>
  <c r="J83" i="12"/>
  <c r="H83" i="12"/>
  <c r="G83" i="12"/>
  <c r="E83" i="12"/>
  <c r="D83" i="12"/>
  <c r="C83" i="12"/>
  <c r="K82" i="12"/>
  <c r="H81" i="12"/>
  <c r="H77" i="12" s="1"/>
  <c r="G81" i="12"/>
  <c r="F81" i="12"/>
  <c r="E81" i="12"/>
  <c r="E77" i="12" s="1"/>
  <c r="D81" i="12"/>
  <c r="K80" i="12"/>
  <c r="H79" i="12"/>
  <c r="K79" i="12" s="1"/>
  <c r="G79" i="12"/>
  <c r="G77" i="12" s="1"/>
  <c r="F79" i="12"/>
  <c r="E79" i="12"/>
  <c r="K78" i="12"/>
  <c r="J77" i="12"/>
  <c r="F77" i="12"/>
  <c r="D77" i="12"/>
  <c r="C77" i="12"/>
  <c r="C126" i="12" s="1"/>
  <c r="J70" i="12"/>
  <c r="H70" i="12"/>
  <c r="G70" i="12"/>
  <c r="F70" i="12"/>
  <c r="P70" i="12" s="1"/>
  <c r="E70" i="12"/>
  <c r="N70" i="12" s="1"/>
  <c r="D70" i="12"/>
  <c r="C70" i="12"/>
  <c r="M70" i="12" s="1"/>
  <c r="K69" i="12"/>
  <c r="J68" i="12"/>
  <c r="J71" i="12" s="1"/>
  <c r="H68" i="12"/>
  <c r="G68" i="12"/>
  <c r="F68" i="12"/>
  <c r="F71" i="12" s="1"/>
  <c r="E68" i="12"/>
  <c r="O68" i="12" s="1"/>
  <c r="D68" i="12"/>
  <c r="D71" i="12" s="1"/>
  <c r="C68" i="12"/>
  <c r="C71" i="12" s="1"/>
  <c r="K67" i="12"/>
  <c r="K66" i="12"/>
  <c r="M64" i="12"/>
  <c r="K64" i="12"/>
  <c r="H64" i="12"/>
  <c r="H127" i="12" s="1"/>
  <c r="G64" i="12"/>
  <c r="G127" i="12" s="1"/>
  <c r="F64" i="12"/>
  <c r="F127" i="12" s="1"/>
  <c r="E64" i="12"/>
  <c r="E127" i="12" s="1"/>
  <c r="D64" i="12"/>
  <c r="D127" i="12" s="1"/>
  <c r="K63" i="12"/>
  <c r="H63" i="12"/>
  <c r="H128" i="12" s="1"/>
  <c r="K128" i="12" s="1"/>
  <c r="G63" i="12"/>
  <c r="G128" i="12" s="1"/>
  <c r="F63" i="12"/>
  <c r="F128" i="12" s="1"/>
  <c r="E63" i="12"/>
  <c r="E128" i="12" s="1"/>
  <c r="D63" i="12"/>
  <c r="C63" i="12"/>
  <c r="C128" i="12" s="1"/>
  <c r="K62" i="12"/>
  <c r="K61" i="12"/>
  <c r="K60" i="12"/>
  <c r="K59" i="12"/>
  <c r="K58" i="12"/>
  <c r="K57" i="12"/>
  <c r="H57" i="12"/>
  <c r="G57" i="12"/>
  <c r="F57" i="12"/>
  <c r="E57" i="12"/>
  <c r="D57" i="12"/>
  <c r="K56" i="12"/>
  <c r="H56" i="12"/>
  <c r="G56" i="12"/>
  <c r="F56" i="12"/>
  <c r="E56" i="12"/>
  <c r="D56" i="12"/>
  <c r="K55" i="12"/>
  <c r="H55" i="12"/>
  <c r="G55" i="12"/>
  <c r="F55" i="12"/>
  <c r="E55" i="12"/>
  <c r="D55" i="12"/>
  <c r="K54" i="12"/>
  <c r="H52" i="12"/>
  <c r="K52" i="12" s="1"/>
  <c r="G52" i="12"/>
  <c r="F52" i="12"/>
  <c r="E52" i="12"/>
  <c r="D52" i="12"/>
  <c r="C52" i="12"/>
  <c r="K51" i="12"/>
  <c r="K50" i="12"/>
  <c r="K49" i="12"/>
  <c r="K48" i="12"/>
  <c r="K47" i="12"/>
  <c r="K46" i="12"/>
  <c r="H46" i="12"/>
  <c r="K45" i="12"/>
  <c r="H45" i="12"/>
  <c r="G45" i="12"/>
  <c r="G40" i="12" s="1"/>
  <c r="F45" i="12"/>
  <c r="E45" i="12"/>
  <c r="D45" i="12"/>
  <c r="K44" i="12"/>
  <c r="H44" i="12"/>
  <c r="G44" i="12"/>
  <c r="F44" i="12"/>
  <c r="E44" i="12"/>
  <c r="E40" i="12" s="1"/>
  <c r="D44" i="12"/>
  <c r="D40" i="12" s="1"/>
  <c r="K43" i="12"/>
  <c r="K42" i="12"/>
  <c r="H42" i="12"/>
  <c r="G42" i="12"/>
  <c r="F42" i="12"/>
  <c r="J40" i="12"/>
  <c r="K40" i="12" s="1"/>
  <c r="H40" i="12"/>
  <c r="F40" i="12"/>
  <c r="C40" i="12"/>
  <c r="K39" i="12"/>
  <c r="M38" i="12"/>
  <c r="H38" i="12"/>
  <c r="L38" i="12" s="1"/>
  <c r="G38" i="12"/>
  <c r="F38" i="12"/>
  <c r="E38" i="12"/>
  <c r="D38" i="12"/>
  <c r="H37" i="12"/>
  <c r="K37" i="12" s="1"/>
  <c r="G37" i="12"/>
  <c r="F37" i="12"/>
  <c r="F34" i="12" s="1"/>
  <c r="E37" i="12"/>
  <c r="D37" i="12"/>
  <c r="K36" i="12"/>
  <c r="H35" i="12"/>
  <c r="K35" i="12" s="1"/>
  <c r="G35" i="12"/>
  <c r="G34" i="12" s="1"/>
  <c r="F35" i="12"/>
  <c r="E35" i="12"/>
  <c r="E34" i="12" s="1"/>
  <c r="D35" i="12"/>
  <c r="J34" i="12"/>
  <c r="D34" i="12"/>
  <c r="C34" i="12"/>
  <c r="K33" i="12"/>
  <c r="J32" i="12"/>
  <c r="H32" i="12"/>
  <c r="K32" i="12" s="1"/>
  <c r="G32" i="12"/>
  <c r="F32" i="12"/>
  <c r="E32" i="12"/>
  <c r="D32" i="12"/>
  <c r="C32" i="12"/>
  <c r="M31" i="12"/>
  <c r="L31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7" i="12"/>
  <c r="M16" i="12"/>
  <c r="L16" i="12"/>
  <c r="K16" i="12"/>
  <c r="K15" i="12"/>
  <c r="H15" i="12"/>
  <c r="K14" i="12"/>
  <c r="K13" i="12"/>
  <c r="K12" i="12"/>
  <c r="J11" i="12"/>
  <c r="K11" i="12" s="1"/>
  <c r="H11" i="12"/>
  <c r="G11" i="12"/>
  <c r="F11" i="12"/>
  <c r="E11" i="12"/>
  <c r="D11" i="12"/>
  <c r="C11" i="12"/>
  <c r="M10" i="12"/>
  <c r="L10" i="12"/>
  <c r="K10" i="12"/>
  <c r="K9" i="12"/>
  <c r="K8" i="12"/>
  <c r="K7" i="12"/>
  <c r="K6" i="12"/>
  <c r="K5" i="12"/>
  <c r="K4" i="12"/>
  <c r="J3" i="12"/>
  <c r="K3" i="12" s="1"/>
  <c r="H3" i="12"/>
  <c r="G3" i="12"/>
  <c r="F3" i="12"/>
  <c r="E3" i="12"/>
  <c r="D3" i="12"/>
  <c r="C3" i="12"/>
  <c r="C65" i="12" s="1"/>
  <c r="L16" i="11"/>
  <c r="L189" i="11"/>
  <c r="K189" i="11"/>
  <c r="L186" i="11"/>
  <c r="L184" i="11"/>
  <c r="L183" i="11"/>
  <c r="K183" i="11"/>
  <c r="L151" i="11"/>
  <c r="I132" i="11"/>
  <c r="L132" i="11" s="1"/>
  <c r="G54" i="8"/>
  <c r="L64" i="11"/>
  <c r="H64" i="11"/>
  <c r="L31" i="11"/>
  <c r="K31" i="11"/>
  <c r="L38" i="11"/>
  <c r="L10" i="11"/>
  <c r="K10" i="11"/>
  <c r="G39" i="8"/>
  <c r="O143" i="12" l="1"/>
  <c r="N143" i="12"/>
  <c r="M143" i="12"/>
  <c r="L143" i="12"/>
  <c r="D206" i="12"/>
  <c r="I143" i="12"/>
  <c r="I204" i="12" s="1"/>
  <c r="I206" i="12" s="1"/>
  <c r="I212" i="12"/>
  <c r="I126" i="12"/>
  <c r="I138" i="12" s="1"/>
  <c r="I202" i="12" s="1"/>
  <c r="I213" i="12" s="1"/>
  <c r="E126" i="12"/>
  <c r="K120" i="12"/>
  <c r="F65" i="12"/>
  <c r="O65" i="12" s="1"/>
  <c r="Q68" i="12"/>
  <c r="Q70" i="12"/>
  <c r="G65" i="12"/>
  <c r="P65" i="12" s="1"/>
  <c r="K71" i="12"/>
  <c r="K70" i="12"/>
  <c r="K83" i="12"/>
  <c r="K111" i="12"/>
  <c r="J133" i="12"/>
  <c r="J137" i="12" s="1"/>
  <c r="E65" i="12"/>
  <c r="E72" i="12" s="1"/>
  <c r="P68" i="12"/>
  <c r="H71" i="12"/>
  <c r="Q71" i="12" s="1"/>
  <c r="J126" i="12"/>
  <c r="K174" i="12"/>
  <c r="F126" i="12"/>
  <c r="D20" i="3"/>
  <c r="D23" i="3" s="1"/>
  <c r="I11" i="3"/>
  <c r="J11" i="3" s="1"/>
  <c r="C20" i="3"/>
  <c r="C23" i="3" s="1"/>
  <c r="D28" i="3"/>
  <c r="J15" i="3"/>
  <c r="J22" i="3"/>
  <c r="E25" i="3"/>
  <c r="J10" i="3"/>
  <c r="I26" i="3"/>
  <c r="J4" i="3"/>
  <c r="J16" i="3"/>
  <c r="I7" i="3"/>
  <c r="J7" i="3" s="1"/>
  <c r="I6" i="3"/>
  <c r="J6" i="3" s="1"/>
  <c r="F207" i="12"/>
  <c r="M173" i="12"/>
  <c r="N173" i="12"/>
  <c r="G207" i="12"/>
  <c r="G209" i="12" s="1"/>
  <c r="D133" i="12"/>
  <c r="M127" i="12"/>
  <c r="O136" i="12"/>
  <c r="N127" i="12"/>
  <c r="E133" i="12"/>
  <c r="C138" i="12"/>
  <c r="C202" i="12" s="1"/>
  <c r="C213" i="12" s="1"/>
  <c r="C206" i="12"/>
  <c r="H126" i="12"/>
  <c r="G126" i="12"/>
  <c r="P136" i="12"/>
  <c r="O127" i="12"/>
  <c r="F133" i="12"/>
  <c r="M71" i="12"/>
  <c r="O126" i="12"/>
  <c r="C72" i="12"/>
  <c r="C201" i="12" s="1"/>
  <c r="P127" i="12"/>
  <c r="G133" i="12"/>
  <c r="J206" i="12"/>
  <c r="N154" i="12"/>
  <c r="G205" i="12"/>
  <c r="P153" i="12"/>
  <c r="O173" i="12"/>
  <c r="D65" i="12"/>
  <c r="Q127" i="12"/>
  <c r="H133" i="12"/>
  <c r="K126" i="12"/>
  <c r="K97" i="12"/>
  <c r="Q136" i="12"/>
  <c r="K77" i="12"/>
  <c r="N153" i="12"/>
  <c r="P184" i="12" s="1"/>
  <c r="P185" i="12" s="1"/>
  <c r="L154" i="12"/>
  <c r="E205" i="12"/>
  <c r="E206" i="12" s="1"/>
  <c r="F72" i="12"/>
  <c r="C133" i="12"/>
  <c r="C137" i="12" s="1"/>
  <c r="M136" i="12"/>
  <c r="O153" i="12"/>
  <c r="M154" i="12"/>
  <c r="F205" i="12"/>
  <c r="F206" i="12" s="1"/>
  <c r="E71" i="12"/>
  <c r="N71" i="12" s="1"/>
  <c r="L128" i="12"/>
  <c r="H154" i="12"/>
  <c r="E207" i="12"/>
  <c r="E209" i="12" s="1"/>
  <c r="F208" i="12"/>
  <c r="K38" i="12"/>
  <c r="L64" i="12"/>
  <c r="J65" i="12"/>
  <c r="K68" i="12"/>
  <c r="G71" i="12"/>
  <c r="P71" i="12" s="1"/>
  <c r="K90" i="12"/>
  <c r="K98" i="12"/>
  <c r="K113" i="12"/>
  <c r="K127" i="12"/>
  <c r="L152" i="12"/>
  <c r="R153" i="12"/>
  <c r="L185" i="12"/>
  <c r="M68" i="12"/>
  <c r="O70" i="12"/>
  <c r="D111" i="12"/>
  <c r="D126" i="12" s="1"/>
  <c r="K132" i="12"/>
  <c r="K143" i="12"/>
  <c r="H207" i="12"/>
  <c r="H209" i="12" s="1"/>
  <c r="N68" i="12"/>
  <c r="J207" i="12"/>
  <c r="J209" i="12" s="1"/>
  <c r="H34" i="12"/>
  <c r="H65" i="12" s="1"/>
  <c r="K81" i="12"/>
  <c r="G204" i="12"/>
  <c r="G206" i="12" s="1"/>
  <c r="H204" i="12"/>
  <c r="I14" i="7"/>
  <c r="D58" i="3"/>
  <c r="H167" i="11"/>
  <c r="G167" i="11"/>
  <c r="I216" i="12" l="1"/>
  <c r="I219" i="12" s="1"/>
  <c r="I215" i="12"/>
  <c r="I218" i="12" s="1"/>
  <c r="I203" i="12"/>
  <c r="I210" i="12" s="1"/>
  <c r="N65" i="12"/>
  <c r="I20" i="3"/>
  <c r="I23" i="3" s="1"/>
  <c r="J23" i="3" s="1"/>
  <c r="M126" i="12"/>
  <c r="N126" i="12"/>
  <c r="F137" i="12"/>
  <c r="O133" i="12"/>
  <c r="G137" i="12"/>
  <c r="G138" i="12" s="1"/>
  <c r="P133" i="12"/>
  <c r="N133" i="12"/>
  <c r="E137" i="12"/>
  <c r="K34" i="12"/>
  <c r="D72" i="12"/>
  <c r="M65" i="12"/>
  <c r="P126" i="12"/>
  <c r="H206" i="12"/>
  <c r="H137" i="12"/>
  <c r="Q133" i="12"/>
  <c r="O154" i="12"/>
  <c r="H205" i="12"/>
  <c r="Q153" i="12"/>
  <c r="K154" i="12"/>
  <c r="C203" i="12"/>
  <c r="C212" i="12"/>
  <c r="Q126" i="12"/>
  <c r="O71" i="12"/>
  <c r="G72" i="12"/>
  <c r="C216" i="12"/>
  <c r="C219" i="12" s="1"/>
  <c r="H72" i="12"/>
  <c r="Q65" i="12"/>
  <c r="E201" i="12"/>
  <c r="K65" i="12"/>
  <c r="J72" i="12"/>
  <c r="K133" i="12"/>
  <c r="O72" i="12"/>
  <c r="F201" i="12"/>
  <c r="J138" i="12"/>
  <c r="M133" i="12"/>
  <c r="D137" i="12"/>
  <c r="M137" i="12" s="1"/>
  <c r="F209" i="12"/>
  <c r="C51" i="3"/>
  <c r="H113" i="11"/>
  <c r="G113" i="11"/>
  <c r="J48" i="11"/>
  <c r="H28" i="7"/>
  <c r="J4" i="11"/>
  <c r="J5" i="11"/>
  <c r="J6" i="11"/>
  <c r="J7" i="11"/>
  <c r="J8" i="11"/>
  <c r="J9" i="11"/>
  <c r="J10" i="11"/>
  <c r="J12" i="11"/>
  <c r="J13" i="11"/>
  <c r="J14" i="11"/>
  <c r="J16" i="11"/>
  <c r="J17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3" i="11"/>
  <c r="J36" i="11"/>
  <c r="J39" i="11"/>
  <c r="J43" i="11"/>
  <c r="J47" i="11"/>
  <c r="J49" i="11"/>
  <c r="J50" i="11"/>
  <c r="J51" i="11"/>
  <c r="J54" i="11"/>
  <c r="J58" i="11"/>
  <c r="J59" i="11"/>
  <c r="J60" i="11"/>
  <c r="J61" i="11"/>
  <c r="J62" i="11"/>
  <c r="J64" i="11"/>
  <c r="J66" i="11"/>
  <c r="J67" i="11"/>
  <c r="J69" i="11"/>
  <c r="J78" i="11"/>
  <c r="J80" i="11"/>
  <c r="J82" i="11"/>
  <c r="J86" i="11"/>
  <c r="J89" i="11"/>
  <c r="J91" i="11"/>
  <c r="J95" i="11"/>
  <c r="J96" i="11"/>
  <c r="J99" i="11"/>
  <c r="J102" i="11"/>
  <c r="J103" i="11"/>
  <c r="J104" i="11"/>
  <c r="J109" i="11"/>
  <c r="J110" i="11"/>
  <c r="J113" i="11"/>
  <c r="J115" i="11"/>
  <c r="J119" i="11"/>
  <c r="J124" i="11"/>
  <c r="J125" i="11"/>
  <c r="J130" i="11"/>
  <c r="J131" i="11"/>
  <c r="J134" i="11"/>
  <c r="J144" i="11"/>
  <c r="J145" i="11"/>
  <c r="J149" i="11"/>
  <c r="J151" i="11"/>
  <c r="J147" i="11"/>
  <c r="J148" i="11"/>
  <c r="J150" i="11"/>
  <c r="J154" i="11"/>
  <c r="J157" i="11"/>
  <c r="J158" i="11"/>
  <c r="J159" i="11"/>
  <c r="J162" i="11"/>
  <c r="J163" i="11"/>
  <c r="J164" i="11"/>
  <c r="J166" i="11"/>
  <c r="J167" i="11"/>
  <c r="J168" i="11"/>
  <c r="J175" i="11"/>
  <c r="J177" i="11"/>
  <c r="J178" i="11"/>
  <c r="J179" i="11"/>
  <c r="J180" i="11"/>
  <c r="J181" i="11"/>
  <c r="J182" i="11"/>
  <c r="J183" i="11"/>
  <c r="J184" i="11"/>
  <c r="J187" i="11"/>
  <c r="J188" i="11"/>
  <c r="J189" i="11"/>
  <c r="J192" i="11"/>
  <c r="J193" i="11"/>
  <c r="J194" i="11"/>
  <c r="J195" i="11"/>
  <c r="H15" i="11"/>
  <c r="G31" i="8"/>
  <c r="G38" i="8"/>
  <c r="C39" i="7"/>
  <c r="C33" i="7"/>
  <c r="C28" i="7"/>
  <c r="C18" i="7"/>
  <c r="C12" i="7"/>
  <c r="C7" i="7"/>
  <c r="C49" i="8"/>
  <c r="C45" i="8"/>
  <c r="C30" i="8"/>
  <c r="C25" i="8"/>
  <c r="C19" i="8"/>
  <c r="C15" i="8"/>
  <c r="C7" i="8"/>
  <c r="G37" i="8"/>
  <c r="G40" i="8"/>
  <c r="G35" i="8"/>
  <c r="G33" i="8"/>
  <c r="G34" i="8"/>
  <c r="G32" i="8"/>
  <c r="G11" i="8"/>
  <c r="I220" i="12" l="1"/>
  <c r="Q137" i="12"/>
  <c r="C21" i="7"/>
  <c r="C24" i="7" s="1"/>
  <c r="J20" i="3"/>
  <c r="F212" i="12"/>
  <c r="Q72" i="12"/>
  <c r="H201" i="12"/>
  <c r="L203" i="12"/>
  <c r="C210" i="12"/>
  <c r="P137" i="12"/>
  <c r="J202" i="12"/>
  <c r="J213" i="12" s="1"/>
  <c r="J201" i="12"/>
  <c r="K72" i="12"/>
  <c r="P72" i="12"/>
  <c r="R72" i="12" s="1"/>
  <c r="G201" i="12"/>
  <c r="O137" i="12"/>
  <c r="F138" i="12"/>
  <c r="P138" i="12" s="1"/>
  <c r="M72" i="12"/>
  <c r="D201" i="12"/>
  <c r="G202" i="12"/>
  <c r="G213" i="12" s="1"/>
  <c r="E212" i="12"/>
  <c r="C215" i="12"/>
  <c r="C218" i="12" s="1"/>
  <c r="K137" i="12"/>
  <c r="N72" i="12"/>
  <c r="H138" i="12"/>
  <c r="N137" i="12"/>
  <c r="E138" i="12"/>
  <c r="D138" i="12"/>
  <c r="J15" i="11"/>
  <c r="K16" i="11"/>
  <c r="C51" i="8"/>
  <c r="C54" i="8" s="1"/>
  <c r="C42" i="7"/>
  <c r="C45" i="7" s="1"/>
  <c r="C22" i="8"/>
  <c r="C26" i="8" s="1"/>
  <c r="C220" i="12" l="1"/>
  <c r="C46" i="7"/>
  <c r="H212" i="12"/>
  <c r="H202" i="12"/>
  <c r="H213" i="12" s="1"/>
  <c r="Q138" i="12"/>
  <c r="R138" i="12" s="1"/>
  <c r="J203" i="12"/>
  <c r="J210" i="12" s="1"/>
  <c r="J212" i="12"/>
  <c r="E218" i="12"/>
  <c r="E215" i="12"/>
  <c r="D212" i="12"/>
  <c r="K138" i="12"/>
  <c r="F215" i="12"/>
  <c r="O215" i="12" s="1"/>
  <c r="O212" i="12"/>
  <c r="F202" i="12"/>
  <c r="O138" i="12"/>
  <c r="M138" i="12"/>
  <c r="D202" i="12"/>
  <c r="D213" i="12" s="1"/>
  <c r="G212" i="12"/>
  <c r="G203" i="12"/>
  <c r="G210" i="12" s="1"/>
  <c r="N138" i="12"/>
  <c r="E202" i="12"/>
  <c r="G216" i="12"/>
  <c r="J216" i="12"/>
  <c r="J219" i="12" s="1"/>
  <c r="C55" i="8"/>
  <c r="H146" i="11"/>
  <c r="H155" i="11"/>
  <c r="J155" i="11" s="1"/>
  <c r="G155" i="11"/>
  <c r="G146" i="11"/>
  <c r="H90" i="11"/>
  <c r="J90" i="11" s="1"/>
  <c r="H93" i="11"/>
  <c r="J93" i="11" s="1"/>
  <c r="G93" i="11"/>
  <c r="G90" i="11"/>
  <c r="I13" i="7"/>
  <c r="H30" i="7"/>
  <c r="H29" i="7"/>
  <c r="H106" i="11"/>
  <c r="J106" i="11" s="1"/>
  <c r="G106" i="11"/>
  <c r="C38" i="3"/>
  <c r="D38" i="3"/>
  <c r="E213" i="12" l="1"/>
  <c r="E203" i="12"/>
  <c r="D203" i="12"/>
  <c r="M212" i="12"/>
  <c r="D215" i="12"/>
  <c r="M215" i="12" s="1"/>
  <c r="H203" i="12"/>
  <c r="H210" i="12" s="1"/>
  <c r="J215" i="12"/>
  <c r="J218" i="12" s="1"/>
  <c r="J220" i="12" s="1"/>
  <c r="F218" i="12"/>
  <c r="O218" i="12" s="1"/>
  <c r="G215" i="12"/>
  <c r="P215" i="12" s="1"/>
  <c r="P212" i="12"/>
  <c r="G218" i="12"/>
  <c r="M213" i="12"/>
  <c r="D216" i="12"/>
  <c r="M216" i="12" s="1"/>
  <c r="N212" i="12"/>
  <c r="H215" i="12"/>
  <c r="Q215" i="12" s="1"/>
  <c r="Q212" i="12"/>
  <c r="Q213" i="12"/>
  <c r="H216" i="12"/>
  <c r="Q216" i="12" s="1"/>
  <c r="G219" i="12"/>
  <c r="F213" i="12"/>
  <c r="F203" i="12"/>
  <c r="F210" i="12" s="1"/>
  <c r="J146" i="11"/>
  <c r="K151" i="11"/>
  <c r="H123" i="11"/>
  <c r="J123" i="11" s="1"/>
  <c r="H46" i="11"/>
  <c r="J46" i="11" s="1"/>
  <c r="G41" i="8"/>
  <c r="G30" i="8" s="1"/>
  <c r="G52" i="8" s="1"/>
  <c r="G55" i="8" s="1"/>
  <c r="I191" i="11"/>
  <c r="H191" i="11"/>
  <c r="G191" i="11"/>
  <c r="G207" i="11" s="1"/>
  <c r="F191" i="11"/>
  <c r="E191" i="11"/>
  <c r="D191" i="11"/>
  <c r="D207" i="11" s="1"/>
  <c r="C191" i="11"/>
  <c r="C207" i="11" s="1"/>
  <c r="H186" i="11"/>
  <c r="G186" i="11"/>
  <c r="F186" i="11"/>
  <c r="E186" i="11"/>
  <c r="H176" i="11"/>
  <c r="J176" i="11" s="1"/>
  <c r="G176" i="11"/>
  <c r="F176" i="11"/>
  <c r="E176" i="11"/>
  <c r="M178" i="11" s="1"/>
  <c r="D176" i="11"/>
  <c r="H174" i="11"/>
  <c r="G174" i="11"/>
  <c r="F174" i="11"/>
  <c r="E174" i="11"/>
  <c r="D174" i="11"/>
  <c r="C174" i="11"/>
  <c r="C173" i="11" s="1"/>
  <c r="C206" i="11" s="1"/>
  <c r="I173" i="11"/>
  <c r="H165" i="11"/>
  <c r="J165" i="11" s="1"/>
  <c r="G165" i="11"/>
  <c r="F165" i="11"/>
  <c r="E165" i="11"/>
  <c r="H161" i="11"/>
  <c r="J161" i="11" s="1"/>
  <c r="G161" i="11"/>
  <c r="F161" i="11"/>
  <c r="E161" i="11"/>
  <c r="H160" i="11"/>
  <c r="J160" i="11" s="1"/>
  <c r="G160" i="11"/>
  <c r="F160" i="11"/>
  <c r="E160" i="11"/>
  <c r="H156" i="11"/>
  <c r="J156" i="11" s="1"/>
  <c r="G156" i="11"/>
  <c r="F156" i="11"/>
  <c r="E156" i="11"/>
  <c r="I153" i="11"/>
  <c r="D153" i="11"/>
  <c r="C153" i="11"/>
  <c r="C204" i="11" s="1"/>
  <c r="H143" i="11"/>
  <c r="G143" i="11"/>
  <c r="I143" i="11"/>
  <c r="F143" i="11"/>
  <c r="E143" i="11"/>
  <c r="D143" i="11"/>
  <c r="D203" i="11" s="1"/>
  <c r="C143" i="11"/>
  <c r="C203" i="11" s="1"/>
  <c r="I135" i="11"/>
  <c r="H135" i="11"/>
  <c r="H136" i="11" s="1"/>
  <c r="G135" i="11"/>
  <c r="G136" i="11" s="1"/>
  <c r="F135" i="11"/>
  <c r="F136" i="11" s="1"/>
  <c r="E135" i="11"/>
  <c r="E136" i="11" s="1"/>
  <c r="D135" i="11"/>
  <c r="D136" i="11" s="1"/>
  <c r="C135" i="11"/>
  <c r="C136" i="11" s="1"/>
  <c r="H132" i="11"/>
  <c r="G132" i="11"/>
  <c r="F132" i="11"/>
  <c r="E132" i="11"/>
  <c r="D132" i="11"/>
  <c r="C132" i="11"/>
  <c r="I129" i="11"/>
  <c r="K130" i="11" s="1"/>
  <c r="H129" i="11"/>
  <c r="G129" i="11"/>
  <c r="F129" i="11"/>
  <c r="E129" i="11"/>
  <c r="D129" i="11"/>
  <c r="C129" i="11"/>
  <c r="I128" i="11"/>
  <c r="C127" i="11"/>
  <c r="H122" i="11"/>
  <c r="J122" i="11" s="1"/>
  <c r="G122" i="11"/>
  <c r="F122" i="11"/>
  <c r="E122" i="11"/>
  <c r="D122" i="11"/>
  <c r="H121" i="11"/>
  <c r="J121" i="11" s="1"/>
  <c r="G121" i="11"/>
  <c r="F121" i="11"/>
  <c r="E121" i="11"/>
  <c r="D121" i="11"/>
  <c r="I120" i="11"/>
  <c r="C120" i="11"/>
  <c r="H118" i="11"/>
  <c r="J118" i="11" s="1"/>
  <c r="G118" i="11"/>
  <c r="F118" i="11"/>
  <c r="E118" i="11"/>
  <c r="K117" i="11"/>
  <c r="H117" i="11"/>
  <c r="J117" i="11" s="1"/>
  <c r="G117" i="11"/>
  <c r="F117" i="11"/>
  <c r="E117" i="11"/>
  <c r="D117" i="11"/>
  <c r="H116" i="11"/>
  <c r="J116" i="11" s="1"/>
  <c r="G116" i="11"/>
  <c r="F116" i="11"/>
  <c r="E116" i="11"/>
  <c r="D116" i="11"/>
  <c r="H114" i="11"/>
  <c r="J114" i="11" s="1"/>
  <c r="G114" i="11"/>
  <c r="F114" i="11"/>
  <c r="E114" i="11"/>
  <c r="H112" i="11"/>
  <c r="G112" i="11"/>
  <c r="F112" i="11"/>
  <c r="E112" i="11"/>
  <c r="D112" i="11"/>
  <c r="I111" i="11"/>
  <c r="C111" i="11"/>
  <c r="H108" i="11"/>
  <c r="J108" i="11" s="1"/>
  <c r="G108" i="11"/>
  <c r="F108" i="11"/>
  <c r="H107" i="11"/>
  <c r="J107" i="11" s="1"/>
  <c r="G107" i="11"/>
  <c r="F107" i="11"/>
  <c r="E107" i="11"/>
  <c r="E105" i="11" s="1"/>
  <c r="I105" i="11"/>
  <c r="D105" i="11"/>
  <c r="C105" i="11"/>
  <c r="I101" i="11"/>
  <c r="H101" i="11"/>
  <c r="G101" i="11"/>
  <c r="F101" i="11"/>
  <c r="E101" i="11"/>
  <c r="D101" i="11"/>
  <c r="C101" i="11"/>
  <c r="H100" i="11"/>
  <c r="G100" i="11"/>
  <c r="F100" i="11"/>
  <c r="E100" i="11"/>
  <c r="H98" i="11"/>
  <c r="J98" i="11" s="1"/>
  <c r="G98" i="11"/>
  <c r="F98" i="11"/>
  <c r="E98" i="11"/>
  <c r="I97" i="11"/>
  <c r="D97" i="11"/>
  <c r="C97" i="11"/>
  <c r="H94" i="11"/>
  <c r="G94" i="11"/>
  <c r="G92" i="11" s="1"/>
  <c r="F94" i="11"/>
  <c r="E94" i="11"/>
  <c r="E92" i="11" s="1"/>
  <c r="I92" i="11"/>
  <c r="D92" i="11"/>
  <c r="C92" i="11"/>
  <c r="F90" i="11"/>
  <c r="F88" i="11" s="1"/>
  <c r="E90" i="11"/>
  <c r="E88" i="11" s="1"/>
  <c r="D90" i="11"/>
  <c r="D88" i="11" s="1"/>
  <c r="I88" i="11"/>
  <c r="H88" i="11"/>
  <c r="G88" i="11"/>
  <c r="C88" i="11"/>
  <c r="H87" i="11"/>
  <c r="G87" i="11"/>
  <c r="G85" i="11" s="1"/>
  <c r="F87" i="11"/>
  <c r="F85" i="11" s="1"/>
  <c r="E87" i="11"/>
  <c r="E85" i="11" s="1"/>
  <c r="D87" i="11"/>
  <c r="D85" i="11" s="1"/>
  <c r="I85" i="11"/>
  <c r="C85" i="11"/>
  <c r="H84" i="11"/>
  <c r="G84" i="11"/>
  <c r="G83" i="11" s="1"/>
  <c r="F84" i="11"/>
  <c r="F83" i="11" s="1"/>
  <c r="E84" i="11"/>
  <c r="E83" i="11" s="1"/>
  <c r="D84" i="11"/>
  <c r="D83" i="11" s="1"/>
  <c r="I83" i="11"/>
  <c r="C83" i="11"/>
  <c r="H81" i="11"/>
  <c r="J81" i="11" s="1"/>
  <c r="G81" i="11"/>
  <c r="F81" i="11"/>
  <c r="E81" i="11"/>
  <c r="D81" i="11"/>
  <c r="D77" i="11" s="1"/>
  <c r="H79" i="11"/>
  <c r="J79" i="11" s="1"/>
  <c r="G79" i="11"/>
  <c r="F79" i="11"/>
  <c r="E79" i="11"/>
  <c r="I77" i="11"/>
  <c r="C77" i="11"/>
  <c r="I70" i="11"/>
  <c r="H70" i="11"/>
  <c r="G70" i="11"/>
  <c r="F70" i="11"/>
  <c r="E70" i="11"/>
  <c r="D70" i="11"/>
  <c r="C70" i="11"/>
  <c r="I68" i="11"/>
  <c r="H68" i="11"/>
  <c r="G68" i="11"/>
  <c r="F68" i="11"/>
  <c r="E68" i="11"/>
  <c r="D68" i="11"/>
  <c r="M68" i="11" s="1"/>
  <c r="C68" i="11"/>
  <c r="L68" i="11" s="1"/>
  <c r="H127" i="11"/>
  <c r="G64" i="11"/>
  <c r="G127" i="11" s="1"/>
  <c r="F64" i="11"/>
  <c r="F127" i="11" s="1"/>
  <c r="E64" i="11"/>
  <c r="E127" i="11" s="1"/>
  <c r="D64" i="11"/>
  <c r="D127" i="11" s="1"/>
  <c r="H63" i="11"/>
  <c r="J63" i="11" s="1"/>
  <c r="G63" i="11"/>
  <c r="G128" i="11" s="1"/>
  <c r="F63" i="11"/>
  <c r="F128" i="11" s="1"/>
  <c r="E63" i="11"/>
  <c r="E128" i="11" s="1"/>
  <c r="D63" i="11"/>
  <c r="D128" i="11" s="1"/>
  <c r="C63" i="11"/>
  <c r="C128" i="11" s="1"/>
  <c r="H57" i="11"/>
  <c r="J57" i="11" s="1"/>
  <c r="G57" i="11"/>
  <c r="F57" i="11"/>
  <c r="E57" i="11"/>
  <c r="D57" i="11"/>
  <c r="H56" i="11"/>
  <c r="J56" i="11" s="1"/>
  <c r="G56" i="11"/>
  <c r="F56" i="11"/>
  <c r="E56" i="11"/>
  <c r="D56" i="11"/>
  <c r="H55" i="11"/>
  <c r="J55" i="11" s="1"/>
  <c r="G55" i="11"/>
  <c r="F55" i="11"/>
  <c r="E55" i="11"/>
  <c r="D55" i="11"/>
  <c r="H52" i="11"/>
  <c r="J52" i="11" s="1"/>
  <c r="G52" i="11"/>
  <c r="F52" i="11"/>
  <c r="E52" i="11"/>
  <c r="D52" i="11"/>
  <c r="C52" i="11"/>
  <c r="H45" i="11"/>
  <c r="J45" i="11" s="1"/>
  <c r="G45" i="11"/>
  <c r="F45" i="11"/>
  <c r="E45" i="11"/>
  <c r="D45" i="11"/>
  <c r="H44" i="11"/>
  <c r="J44" i="11" s="1"/>
  <c r="G44" i="11"/>
  <c r="F44" i="11"/>
  <c r="E44" i="11"/>
  <c r="D44" i="11"/>
  <c r="H42" i="11"/>
  <c r="G42" i="11"/>
  <c r="F42" i="11"/>
  <c r="I40" i="11"/>
  <c r="H38" i="11"/>
  <c r="G38" i="11"/>
  <c r="F38" i="11"/>
  <c r="E38" i="11"/>
  <c r="D38" i="11"/>
  <c r="H37" i="11"/>
  <c r="J37" i="11" s="1"/>
  <c r="G37" i="11"/>
  <c r="F37" i="11"/>
  <c r="E37" i="11"/>
  <c r="D37" i="11"/>
  <c r="H35" i="11"/>
  <c r="J35" i="11" s="1"/>
  <c r="G35" i="11"/>
  <c r="F35" i="11"/>
  <c r="E35" i="11"/>
  <c r="D35" i="11"/>
  <c r="I34" i="11"/>
  <c r="C34" i="11"/>
  <c r="I32" i="11"/>
  <c r="H32" i="11"/>
  <c r="G32" i="11"/>
  <c r="F32" i="11"/>
  <c r="E32" i="11"/>
  <c r="D32" i="11"/>
  <c r="C32" i="11"/>
  <c r="I11" i="11"/>
  <c r="H11" i="11"/>
  <c r="G11" i="11"/>
  <c r="F11" i="11"/>
  <c r="E11" i="11"/>
  <c r="D11" i="11"/>
  <c r="C11" i="11"/>
  <c r="I3" i="11"/>
  <c r="H3" i="11"/>
  <c r="G3" i="11"/>
  <c r="F3" i="11"/>
  <c r="E3" i="11"/>
  <c r="D3" i="11"/>
  <c r="C3" i="11"/>
  <c r="G50" i="8"/>
  <c r="G46" i="8"/>
  <c r="G25" i="8"/>
  <c r="G19" i="8"/>
  <c r="G15" i="8"/>
  <c r="G7" i="8"/>
  <c r="M49" i="7"/>
  <c r="N48" i="7"/>
  <c r="M44" i="7"/>
  <c r="M43" i="7"/>
  <c r="M40" i="7"/>
  <c r="M38" i="7"/>
  <c r="M36" i="7"/>
  <c r="M34" i="7"/>
  <c r="M33" i="7"/>
  <c r="M31" i="7"/>
  <c r="M18" i="7"/>
  <c r="M12" i="7"/>
  <c r="M7" i="7"/>
  <c r="F62" i="3"/>
  <c r="D59" i="3"/>
  <c r="H60" i="3" s="1"/>
  <c r="D60" i="3"/>
  <c r="H55" i="3"/>
  <c r="G55" i="3"/>
  <c r="F55" i="3"/>
  <c r="E55" i="3"/>
  <c r="D55" i="3"/>
  <c r="C55" i="3"/>
  <c r="I54" i="3"/>
  <c r="J54" i="3" s="1"/>
  <c r="H53" i="3"/>
  <c r="H56" i="3" s="1"/>
  <c r="G53" i="3"/>
  <c r="E53" i="3"/>
  <c r="E56" i="3" s="1"/>
  <c r="I52" i="3"/>
  <c r="J52" i="3" s="1"/>
  <c r="I51" i="3"/>
  <c r="I50" i="3"/>
  <c r="J50" i="3" s="1"/>
  <c r="F49" i="3"/>
  <c r="D49" i="3"/>
  <c r="C49" i="3"/>
  <c r="K52" i="3" s="1"/>
  <c r="M48" i="3"/>
  <c r="F48" i="3"/>
  <c r="E48" i="3"/>
  <c r="C48" i="3"/>
  <c r="I47" i="3"/>
  <c r="C47" i="3"/>
  <c r="D46" i="3"/>
  <c r="I46" i="3" s="1"/>
  <c r="J46" i="3" s="1"/>
  <c r="I45" i="3"/>
  <c r="J45" i="3" s="1"/>
  <c r="F44" i="3"/>
  <c r="I44" i="3" s="1"/>
  <c r="C44" i="3"/>
  <c r="F43" i="3"/>
  <c r="I43" i="3" s="1"/>
  <c r="C43" i="3"/>
  <c r="I42" i="3"/>
  <c r="J42" i="3" s="1"/>
  <c r="M41" i="3"/>
  <c r="M49" i="3" s="1"/>
  <c r="I41" i="3"/>
  <c r="J41" i="3" s="1"/>
  <c r="F40" i="3"/>
  <c r="I40" i="3" s="1"/>
  <c r="C40" i="3"/>
  <c r="F39" i="3"/>
  <c r="D39" i="3"/>
  <c r="C39" i="3"/>
  <c r="F38" i="3"/>
  <c r="I38" i="3" s="1"/>
  <c r="J38" i="3" s="1"/>
  <c r="D53" i="3"/>
  <c r="D56" i="3" s="1"/>
  <c r="I37" i="3"/>
  <c r="J37" i="3" s="1"/>
  <c r="H218" i="12" l="1"/>
  <c r="P218" i="12"/>
  <c r="D219" i="12"/>
  <c r="H219" i="12"/>
  <c r="Q218" i="12"/>
  <c r="C53" i="3"/>
  <c r="I49" i="3"/>
  <c r="I39" i="3"/>
  <c r="G56" i="3"/>
  <c r="K48" i="3"/>
  <c r="J47" i="3"/>
  <c r="J40" i="3"/>
  <c r="J44" i="3"/>
  <c r="I48" i="3"/>
  <c r="J48" i="3" s="1"/>
  <c r="M219" i="12"/>
  <c r="O213" i="12"/>
  <c r="F216" i="12"/>
  <c r="F219" i="12" s="1"/>
  <c r="P213" i="12"/>
  <c r="R215" i="12"/>
  <c r="M203" i="12"/>
  <c r="D210" i="12"/>
  <c r="N215" i="12"/>
  <c r="G220" i="12"/>
  <c r="E210" i="12"/>
  <c r="N203" i="12"/>
  <c r="D218" i="12"/>
  <c r="D220" i="12" s="1"/>
  <c r="M220" i="12" s="1"/>
  <c r="E216" i="12"/>
  <c r="N216" i="12" s="1"/>
  <c r="N213" i="12"/>
  <c r="Q219" i="12"/>
  <c r="H220" i="12"/>
  <c r="Q152" i="11"/>
  <c r="N68" i="11"/>
  <c r="J186" i="11"/>
  <c r="K186" i="11"/>
  <c r="D204" i="11"/>
  <c r="D205" i="11" s="1"/>
  <c r="L152" i="11"/>
  <c r="K184" i="11"/>
  <c r="F105" i="11"/>
  <c r="O68" i="11"/>
  <c r="H71" i="11"/>
  <c r="J70" i="11"/>
  <c r="P136" i="11"/>
  <c r="P68" i="11"/>
  <c r="D71" i="11"/>
  <c r="D133" i="11"/>
  <c r="D137" i="11" s="1"/>
  <c r="L137" i="11" s="1"/>
  <c r="O70" i="11"/>
  <c r="K178" i="11"/>
  <c r="P70" i="11"/>
  <c r="H128" i="11"/>
  <c r="J128" i="11" s="1"/>
  <c r="O127" i="11"/>
  <c r="O136" i="11"/>
  <c r="E153" i="11"/>
  <c r="E133" i="11"/>
  <c r="E137" i="11" s="1"/>
  <c r="K143" i="11"/>
  <c r="H92" i="11"/>
  <c r="J92" i="11" s="1"/>
  <c r="J94" i="11"/>
  <c r="L143" i="11"/>
  <c r="F40" i="11"/>
  <c r="E77" i="11"/>
  <c r="J3" i="11"/>
  <c r="E34" i="11"/>
  <c r="G40" i="11"/>
  <c r="G71" i="11"/>
  <c r="H85" i="11"/>
  <c r="J85" i="11" s="1"/>
  <c r="J87" i="11"/>
  <c r="J101" i="11"/>
  <c r="E203" i="11"/>
  <c r="E207" i="11"/>
  <c r="K191" i="11"/>
  <c r="J32" i="11"/>
  <c r="J88" i="11"/>
  <c r="L191" i="11"/>
  <c r="K38" i="11"/>
  <c r="J38" i="11"/>
  <c r="J129" i="11"/>
  <c r="M191" i="11"/>
  <c r="H83" i="11"/>
  <c r="J83" i="11" s="1"/>
  <c r="J84" i="11"/>
  <c r="H207" i="11"/>
  <c r="N191" i="11"/>
  <c r="I207" i="11"/>
  <c r="J191" i="11"/>
  <c r="H40" i="11"/>
  <c r="J40" i="11" s="1"/>
  <c r="K64" i="11"/>
  <c r="J42" i="11"/>
  <c r="H97" i="11"/>
  <c r="J97" i="11" s="1"/>
  <c r="J100" i="11"/>
  <c r="E120" i="11"/>
  <c r="F203" i="11"/>
  <c r="K132" i="11"/>
  <c r="J132" i="11"/>
  <c r="H173" i="11"/>
  <c r="J173" i="11" s="1"/>
  <c r="J174" i="11"/>
  <c r="J11" i="11"/>
  <c r="D34" i="11"/>
  <c r="I206" i="11"/>
  <c r="C71" i="11"/>
  <c r="H111" i="11"/>
  <c r="J111" i="11" s="1"/>
  <c r="J112" i="11"/>
  <c r="F207" i="11"/>
  <c r="I136" i="11"/>
  <c r="J136" i="11" s="1"/>
  <c r="J135" i="11"/>
  <c r="I71" i="11"/>
  <c r="J71" i="11" s="1"/>
  <c r="J68" i="11"/>
  <c r="P127" i="11"/>
  <c r="G22" i="8"/>
  <c r="G26" i="8" s="1"/>
  <c r="H203" i="11"/>
  <c r="J143" i="11"/>
  <c r="G203" i="11"/>
  <c r="M143" i="11"/>
  <c r="N143" i="11"/>
  <c r="J51" i="3"/>
  <c r="I65" i="11"/>
  <c r="G56" i="8"/>
  <c r="C208" i="11"/>
  <c r="F133" i="11"/>
  <c r="G120" i="11"/>
  <c r="L70" i="11"/>
  <c r="L117" i="11"/>
  <c r="H153" i="11"/>
  <c r="E40" i="11"/>
  <c r="F120" i="11"/>
  <c r="D120" i="11"/>
  <c r="L178" i="11"/>
  <c r="G77" i="11"/>
  <c r="G133" i="11"/>
  <c r="H120" i="11"/>
  <c r="J120" i="11" s="1"/>
  <c r="C40" i="11"/>
  <c r="C65" i="11" s="1"/>
  <c r="H133" i="11"/>
  <c r="M70" i="11"/>
  <c r="G105" i="11"/>
  <c r="M117" i="11"/>
  <c r="F71" i="11"/>
  <c r="E173" i="11"/>
  <c r="G173" i="11"/>
  <c r="G111" i="11"/>
  <c r="F34" i="11"/>
  <c r="D111" i="11"/>
  <c r="D126" i="11" s="1"/>
  <c r="G153" i="11"/>
  <c r="O152" i="11" s="1"/>
  <c r="E111" i="11"/>
  <c r="C126" i="11"/>
  <c r="D173" i="11"/>
  <c r="D206" i="11" s="1"/>
  <c r="D208" i="11" s="1"/>
  <c r="L127" i="11"/>
  <c r="C133" i="11"/>
  <c r="C137" i="11" s="1"/>
  <c r="C205" i="11"/>
  <c r="F97" i="11"/>
  <c r="I203" i="11"/>
  <c r="F173" i="11"/>
  <c r="G34" i="11"/>
  <c r="F77" i="11"/>
  <c r="N127" i="11"/>
  <c r="N136" i="11"/>
  <c r="K152" i="11"/>
  <c r="F153" i="11"/>
  <c r="N152" i="11" s="1"/>
  <c r="D40" i="11"/>
  <c r="E71" i="11"/>
  <c r="E97" i="11"/>
  <c r="L136" i="11"/>
  <c r="H77" i="11"/>
  <c r="J77" i="11" s="1"/>
  <c r="G97" i="11"/>
  <c r="M127" i="11"/>
  <c r="M136" i="11"/>
  <c r="H34" i="11"/>
  <c r="N70" i="11"/>
  <c r="H105" i="11"/>
  <c r="J105" i="11" s="1"/>
  <c r="I126" i="11"/>
  <c r="F92" i="11"/>
  <c r="I127" i="11"/>
  <c r="J127" i="11" s="1"/>
  <c r="I204" i="11"/>
  <c r="F111" i="11"/>
  <c r="M28" i="7"/>
  <c r="M52" i="7" s="1"/>
  <c r="M55" i="7" s="1"/>
  <c r="M21" i="7"/>
  <c r="M24" i="7" s="1"/>
  <c r="C56" i="3"/>
  <c r="D61" i="3"/>
  <c r="J39" i="3"/>
  <c r="J43" i="3"/>
  <c r="E58" i="3"/>
  <c r="F53" i="3"/>
  <c r="F56" i="3" s="1"/>
  <c r="K45" i="3"/>
  <c r="I59" i="3"/>
  <c r="J49" i="3"/>
  <c r="I53" i="3"/>
  <c r="I55" i="3"/>
  <c r="J55" i="3" s="1"/>
  <c r="Q220" i="12" l="1"/>
  <c r="F220" i="12"/>
  <c r="P220" i="12" s="1"/>
  <c r="P219" i="12"/>
  <c r="E219" i="12"/>
  <c r="M218" i="12"/>
  <c r="N218" i="12"/>
  <c r="O216" i="12"/>
  <c r="P216" i="12"/>
  <c r="R216" i="12" s="1"/>
  <c r="K153" i="11"/>
  <c r="M152" i="11"/>
  <c r="O183" i="11" s="1"/>
  <c r="J153" i="11"/>
  <c r="P152" i="11"/>
  <c r="I208" i="11"/>
  <c r="M71" i="11"/>
  <c r="I205" i="11"/>
  <c r="H65" i="11"/>
  <c r="J65" i="11" s="1"/>
  <c r="M133" i="11"/>
  <c r="L71" i="11"/>
  <c r="N133" i="11"/>
  <c r="O184" i="11"/>
  <c r="E204" i="11"/>
  <c r="E205" i="11" s="1"/>
  <c r="D65" i="11"/>
  <c r="D72" i="11" s="1"/>
  <c r="F204" i="11"/>
  <c r="F205" i="11" s="1"/>
  <c r="L153" i="11"/>
  <c r="H206" i="11"/>
  <c r="H208" i="11" s="1"/>
  <c r="N172" i="11"/>
  <c r="P71" i="11"/>
  <c r="O71" i="11"/>
  <c r="F137" i="11"/>
  <c r="N137" i="11" s="1"/>
  <c r="G206" i="11"/>
  <c r="G208" i="11" s="1"/>
  <c r="M172" i="11"/>
  <c r="E126" i="11"/>
  <c r="E138" i="11" s="1"/>
  <c r="E206" i="11"/>
  <c r="E208" i="11" s="1"/>
  <c r="K172" i="11"/>
  <c r="G137" i="11"/>
  <c r="O133" i="11"/>
  <c r="C72" i="11"/>
  <c r="C200" i="11" s="1"/>
  <c r="C211" i="11" s="1"/>
  <c r="C214" i="11" s="1"/>
  <c r="C217" i="11" s="1"/>
  <c r="J34" i="11"/>
  <c r="E65" i="11"/>
  <c r="M65" i="11" s="1"/>
  <c r="G65" i="11"/>
  <c r="P65" i="11" s="1"/>
  <c r="F206" i="11"/>
  <c r="F208" i="11" s="1"/>
  <c r="L172" i="11"/>
  <c r="C138" i="11"/>
  <c r="C201" i="11" s="1"/>
  <c r="C212" i="11" s="1"/>
  <c r="C215" i="11" s="1"/>
  <c r="M153" i="11"/>
  <c r="I72" i="11"/>
  <c r="H137" i="11"/>
  <c r="P133" i="11"/>
  <c r="H204" i="11"/>
  <c r="H205" i="11" s="1"/>
  <c r="N153" i="11"/>
  <c r="G204" i="11"/>
  <c r="G205" i="11" s="1"/>
  <c r="G126" i="11"/>
  <c r="F65" i="11"/>
  <c r="M137" i="11"/>
  <c r="H126" i="11"/>
  <c r="L133" i="11"/>
  <c r="I133" i="11"/>
  <c r="J133" i="11" s="1"/>
  <c r="K128" i="11"/>
  <c r="L126" i="11"/>
  <c r="D138" i="11"/>
  <c r="N71" i="11"/>
  <c r="F126" i="11"/>
  <c r="M56" i="7"/>
  <c r="I56" i="3"/>
  <c r="J56" i="3" s="1"/>
  <c r="J53" i="3"/>
  <c r="H4" i="1"/>
  <c r="H5" i="1"/>
  <c r="H6" i="1"/>
  <c r="H7" i="1"/>
  <c r="H8" i="1"/>
  <c r="H9" i="1"/>
  <c r="H10" i="1"/>
  <c r="H12" i="1"/>
  <c r="H13" i="1"/>
  <c r="H14" i="1"/>
  <c r="H15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5" i="1"/>
  <c r="H36" i="1"/>
  <c r="H39" i="1"/>
  <c r="H43" i="1"/>
  <c r="H46" i="1"/>
  <c r="H47" i="1"/>
  <c r="H48" i="1"/>
  <c r="H49" i="1"/>
  <c r="H52" i="1"/>
  <c r="H56" i="1"/>
  <c r="H57" i="1"/>
  <c r="H58" i="1"/>
  <c r="H59" i="1"/>
  <c r="H60" i="1"/>
  <c r="H64" i="1"/>
  <c r="H65" i="1"/>
  <c r="H67" i="1"/>
  <c r="H76" i="1"/>
  <c r="H78" i="1"/>
  <c r="H80" i="1"/>
  <c r="H84" i="1"/>
  <c r="H85" i="1"/>
  <c r="H87" i="1"/>
  <c r="H89" i="1"/>
  <c r="H91" i="1"/>
  <c r="H93" i="1"/>
  <c r="H94" i="1"/>
  <c r="H96" i="1"/>
  <c r="H97" i="1"/>
  <c r="H100" i="1"/>
  <c r="H101" i="1"/>
  <c r="H102" i="1"/>
  <c r="H104" i="1"/>
  <c r="H105" i="1"/>
  <c r="H106" i="1"/>
  <c r="H107" i="1"/>
  <c r="H108" i="1"/>
  <c r="H111" i="1"/>
  <c r="H112" i="1"/>
  <c r="H113" i="1"/>
  <c r="H117" i="1"/>
  <c r="H121" i="1"/>
  <c r="H122" i="1"/>
  <c r="H123" i="1"/>
  <c r="H128" i="1"/>
  <c r="H129" i="1"/>
  <c r="H132" i="1"/>
  <c r="H142" i="1"/>
  <c r="H143" i="1"/>
  <c r="H144" i="1"/>
  <c r="H145" i="1"/>
  <c r="H146" i="1"/>
  <c r="H148" i="1"/>
  <c r="H150" i="1"/>
  <c r="H152" i="1"/>
  <c r="H153" i="1"/>
  <c r="H155" i="1"/>
  <c r="H156" i="1"/>
  <c r="H157" i="1"/>
  <c r="H160" i="1"/>
  <c r="H161" i="1"/>
  <c r="H162" i="1"/>
  <c r="H164" i="1"/>
  <c r="H165" i="1"/>
  <c r="H166" i="1"/>
  <c r="H173" i="1"/>
  <c r="H174" i="1"/>
  <c r="H175" i="1"/>
  <c r="H176" i="1"/>
  <c r="H177" i="1"/>
  <c r="H178" i="1"/>
  <c r="H179" i="1"/>
  <c r="H180" i="1"/>
  <c r="H181" i="1"/>
  <c r="H182" i="1"/>
  <c r="H185" i="1"/>
  <c r="H186" i="1"/>
  <c r="H187" i="1"/>
  <c r="H190" i="1"/>
  <c r="H191" i="1"/>
  <c r="H192" i="1"/>
  <c r="H194" i="1"/>
  <c r="J183" i="1"/>
  <c r="F174" i="1"/>
  <c r="E174" i="1"/>
  <c r="D174" i="1"/>
  <c r="J38" i="1"/>
  <c r="L31" i="1"/>
  <c r="M31" i="1"/>
  <c r="M16" i="1"/>
  <c r="L16" i="1"/>
  <c r="I126" i="1"/>
  <c r="G62" i="1"/>
  <c r="M62" i="1" s="1"/>
  <c r="G133" i="1"/>
  <c r="G126" i="1"/>
  <c r="G127" i="1"/>
  <c r="G125" i="1"/>
  <c r="E85" i="1"/>
  <c r="F85" i="1"/>
  <c r="K31" i="8"/>
  <c r="F112" i="1"/>
  <c r="E112" i="1"/>
  <c r="F105" i="1"/>
  <c r="F106" i="1"/>
  <c r="K38" i="8"/>
  <c r="F110" i="1"/>
  <c r="H110" i="1" s="1"/>
  <c r="F96" i="1"/>
  <c r="K33" i="8"/>
  <c r="F42" i="1"/>
  <c r="H42" i="1" s="1"/>
  <c r="F35" i="1"/>
  <c r="E35" i="1"/>
  <c r="F62" i="1"/>
  <c r="H62" i="1" s="1"/>
  <c r="E62" i="1"/>
  <c r="E96" i="1"/>
  <c r="E220" i="12" l="1"/>
  <c r="N220" i="12" s="1"/>
  <c r="N219" i="12"/>
  <c r="O219" i="12"/>
  <c r="O220" i="12"/>
  <c r="H72" i="11"/>
  <c r="M126" i="11"/>
  <c r="L65" i="11"/>
  <c r="E72" i="11"/>
  <c r="G72" i="11"/>
  <c r="G200" i="11" s="1"/>
  <c r="G211" i="11" s="1"/>
  <c r="G214" i="11" s="1"/>
  <c r="G217" i="11" s="1"/>
  <c r="C202" i="11"/>
  <c r="O137" i="11"/>
  <c r="C218" i="11"/>
  <c r="P137" i="11"/>
  <c r="H138" i="11"/>
  <c r="J126" i="11"/>
  <c r="I200" i="11"/>
  <c r="I211" i="11" s="1"/>
  <c r="I214" i="11" s="1"/>
  <c r="I217" i="11" s="1"/>
  <c r="J72" i="11"/>
  <c r="H200" i="11"/>
  <c r="H211" i="11" s="1"/>
  <c r="P72" i="11"/>
  <c r="N65" i="11"/>
  <c r="O65" i="11"/>
  <c r="F72" i="11"/>
  <c r="G138" i="11"/>
  <c r="O126" i="11"/>
  <c r="P126" i="11"/>
  <c r="N126" i="11"/>
  <c r="F138" i="11"/>
  <c r="I137" i="11"/>
  <c r="J137" i="11" s="1"/>
  <c r="L138" i="11"/>
  <c r="D201" i="11"/>
  <c r="D212" i="11" s="1"/>
  <c r="L72" i="11"/>
  <c r="D200" i="11"/>
  <c r="M72" i="11"/>
  <c r="E200" i="11"/>
  <c r="K202" i="11"/>
  <c r="C209" i="11"/>
  <c r="C219" i="11" s="1"/>
  <c r="M138" i="11"/>
  <c r="E201" i="11"/>
  <c r="E212" i="11" s="1"/>
  <c r="L212" i="1"/>
  <c r="L215" i="1"/>
  <c r="F172" i="1"/>
  <c r="G171" i="1"/>
  <c r="F184" i="1"/>
  <c r="F189" i="1"/>
  <c r="F206" i="1" s="1"/>
  <c r="G189" i="1"/>
  <c r="F141" i="1"/>
  <c r="F202" i="1" s="1"/>
  <c r="G141" i="1"/>
  <c r="F154" i="1"/>
  <c r="G151" i="1"/>
  <c r="F158" i="1"/>
  <c r="H158" i="1" s="1"/>
  <c r="F159" i="1"/>
  <c r="H159" i="1" s="1"/>
  <c r="F163" i="1"/>
  <c r="H163" i="1" s="1"/>
  <c r="F77" i="1"/>
  <c r="G75" i="1"/>
  <c r="F79" i="1"/>
  <c r="H79" i="1" s="1"/>
  <c r="G81" i="1"/>
  <c r="F82" i="1"/>
  <c r="F83" i="1"/>
  <c r="G83" i="1"/>
  <c r="H83" i="1" s="1"/>
  <c r="G86" i="1"/>
  <c r="F88" i="1"/>
  <c r="F92" i="1"/>
  <c r="G90" i="1"/>
  <c r="G95" i="1"/>
  <c r="F98" i="1"/>
  <c r="H98" i="1" s="1"/>
  <c r="F99" i="1"/>
  <c r="G99" i="1"/>
  <c r="H99" i="1" s="1"/>
  <c r="G103" i="1"/>
  <c r="F103" i="1"/>
  <c r="G109" i="1"/>
  <c r="F114" i="1"/>
  <c r="H114" i="1" s="1"/>
  <c r="F115" i="1"/>
  <c r="H115" i="1" s="1"/>
  <c r="F116" i="1"/>
  <c r="H116" i="1" s="1"/>
  <c r="G118" i="1"/>
  <c r="F119" i="1"/>
  <c r="H119" i="1" s="1"/>
  <c r="F120" i="1"/>
  <c r="H120" i="1" s="1"/>
  <c r="F127" i="1"/>
  <c r="H127" i="1" s="1"/>
  <c r="F130" i="1"/>
  <c r="H130" i="1" s="1"/>
  <c r="F133" i="1"/>
  <c r="G134" i="1"/>
  <c r="F3" i="1"/>
  <c r="G3" i="1"/>
  <c r="F11" i="1"/>
  <c r="G11" i="1"/>
  <c r="F32" i="1"/>
  <c r="G32" i="1"/>
  <c r="G34" i="1"/>
  <c r="F37" i="1"/>
  <c r="F38" i="1"/>
  <c r="H38" i="1" s="1"/>
  <c r="G40" i="1"/>
  <c r="F44" i="1"/>
  <c r="F45" i="1"/>
  <c r="H45" i="1" s="1"/>
  <c r="F50" i="1"/>
  <c r="H50" i="1" s="1"/>
  <c r="F53" i="1"/>
  <c r="H53" i="1" s="1"/>
  <c r="F54" i="1"/>
  <c r="H54" i="1" s="1"/>
  <c r="F55" i="1"/>
  <c r="H55" i="1" s="1"/>
  <c r="F61" i="1"/>
  <c r="F125" i="1"/>
  <c r="F66" i="1"/>
  <c r="G66" i="1"/>
  <c r="H66" i="1" s="1"/>
  <c r="F68" i="1"/>
  <c r="G68" i="1"/>
  <c r="H68" i="1" s="1"/>
  <c r="O72" i="11" l="1"/>
  <c r="Q72" i="11"/>
  <c r="H201" i="11"/>
  <c r="H212" i="11" s="1"/>
  <c r="H215" i="11" s="1"/>
  <c r="H218" i="11" s="1"/>
  <c r="F200" i="11"/>
  <c r="F211" i="11" s="1"/>
  <c r="N72" i="11"/>
  <c r="H214" i="11"/>
  <c r="H217" i="11" s="1"/>
  <c r="P211" i="11"/>
  <c r="G201" i="11"/>
  <c r="O138" i="11"/>
  <c r="P138" i="11"/>
  <c r="H37" i="1"/>
  <c r="I38" i="1"/>
  <c r="I183" i="1"/>
  <c r="H172" i="1"/>
  <c r="F151" i="1"/>
  <c r="F203" i="1" s="1"/>
  <c r="F204" i="1" s="1"/>
  <c r="H154" i="1"/>
  <c r="F34" i="1"/>
  <c r="H34" i="1" s="1"/>
  <c r="F86" i="1"/>
  <c r="H86" i="1" s="1"/>
  <c r="H88" i="1"/>
  <c r="F40" i="1"/>
  <c r="H44" i="1"/>
  <c r="L62" i="1"/>
  <c r="F90" i="1"/>
  <c r="H90" i="1" s="1"/>
  <c r="H92" i="1"/>
  <c r="F75" i="1"/>
  <c r="H77" i="1"/>
  <c r="H125" i="1"/>
  <c r="F171" i="1"/>
  <c r="F205" i="1" s="1"/>
  <c r="F207" i="1" s="1"/>
  <c r="H184" i="1"/>
  <c r="F81" i="1"/>
  <c r="H82" i="1"/>
  <c r="F134" i="1"/>
  <c r="H133" i="1"/>
  <c r="F126" i="1"/>
  <c r="H126" i="1" s="1"/>
  <c r="H61" i="1"/>
  <c r="H3" i="1"/>
  <c r="D211" i="11"/>
  <c r="D202" i="11"/>
  <c r="M212" i="11"/>
  <c r="E215" i="11"/>
  <c r="E218" i="11" s="1"/>
  <c r="I138" i="11"/>
  <c r="J138" i="11" s="1"/>
  <c r="F201" i="11"/>
  <c r="F212" i="11" s="1"/>
  <c r="N138" i="11"/>
  <c r="E211" i="11"/>
  <c r="E202" i="11"/>
  <c r="L212" i="11"/>
  <c r="D215" i="11"/>
  <c r="L215" i="11" s="1"/>
  <c r="F69" i="1"/>
  <c r="H40" i="1"/>
  <c r="H32" i="1"/>
  <c r="H75" i="1"/>
  <c r="G205" i="1"/>
  <c r="G207" i="1" s="1"/>
  <c r="H81" i="1"/>
  <c r="G202" i="1"/>
  <c r="H141" i="1"/>
  <c r="G203" i="1"/>
  <c r="G206" i="1"/>
  <c r="H189" i="1"/>
  <c r="H11" i="1"/>
  <c r="H103" i="1"/>
  <c r="F63" i="1"/>
  <c r="F70" i="1" s="1"/>
  <c r="F199" i="1" s="1"/>
  <c r="F109" i="1"/>
  <c r="H109" i="1" s="1"/>
  <c r="F95" i="1"/>
  <c r="H95" i="1" s="1"/>
  <c r="F118" i="1"/>
  <c r="H118" i="1" s="1"/>
  <c r="G69" i="1"/>
  <c r="G131" i="1"/>
  <c r="G63" i="1"/>
  <c r="G124" i="1"/>
  <c r="K41" i="8"/>
  <c r="K35" i="8"/>
  <c r="K34" i="8"/>
  <c r="K39" i="8"/>
  <c r="K32" i="8"/>
  <c r="K36" i="8"/>
  <c r="K37" i="8"/>
  <c r="K10" i="8"/>
  <c r="D218" i="11" l="1"/>
  <c r="H202" i="11"/>
  <c r="H209" i="11" s="1"/>
  <c r="H219" i="11" s="1"/>
  <c r="Q138" i="11"/>
  <c r="P214" i="11"/>
  <c r="P217" i="11"/>
  <c r="G212" i="11"/>
  <c r="G202" i="11"/>
  <c r="G209" i="11" s="1"/>
  <c r="F131" i="1"/>
  <c r="H171" i="1"/>
  <c r="H134" i="1"/>
  <c r="H151" i="1"/>
  <c r="L218" i="11"/>
  <c r="I201" i="11"/>
  <c r="F202" i="11"/>
  <c r="F209" i="11" s="1"/>
  <c r="N211" i="11"/>
  <c r="F214" i="11"/>
  <c r="O211" i="11"/>
  <c r="L202" i="11"/>
  <c r="D209" i="11"/>
  <c r="D214" i="11"/>
  <c r="L214" i="11" s="1"/>
  <c r="L211" i="11"/>
  <c r="M218" i="11"/>
  <c r="E214" i="11"/>
  <c r="M211" i="11"/>
  <c r="N212" i="11"/>
  <c r="F215" i="11"/>
  <c r="E209" i="11"/>
  <c r="M202" i="11"/>
  <c r="M215" i="11"/>
  <c r="G204" i="1"/>
  <c r="H69" i="1"/>
  <c r="G135" i="1"/>
  <c r="H131" i="1"/>
  <c r="H63" i="1"/>
  <c r="G136" i="1"/>
  <c r="G70" i="1"/>
  <c r="F124" i="1"/>
  <c r="H124" i="1" s="1"/>
  <c r="F210" i="1"/>
  <c r="O61" i="8"/>
  <c r="O57" i="8"/>
  <c r="O54" i="8"/>
  <c r="O52" i="8"/>
  <c r="O47" i="8"/>
  <c r="O46" i="8"/>
  <c r="O45" i="8"/>
  <c r="O44" i="8"/>
  <c r="O42" i="8"/>
  <c r="O41" i="8"/>
  <c r="O39" i="8"/>
  <c r="O33" i="8"/>
  <c r="O25" i="8"/>
  <c r="O21" i="8"/>
  <c r="O14" i="8"/>
  <c r="O8" i="8"/>
  <c r="O7" i="8"/>
  <c r="G215" i="11" l="1"/>
  <c r="O215" i="11" s="1"/>
  <c r="P212" i="11"/>
  <c r="O212" i="11"/>
  <c r="F135" i="1"/>
  <c r="N215" i="11"/>
  <c r="M214" i="11"/>
  <c r="I212" i="11"/>
  <c r="I202" i="11"/>
  <c r="I209" i="11" s="1"/>
  <c r="N214" i="11"/>
  <c r="O214" i="11"/>
  <c r="Q214" i="11" s="1"/>
  <c r="D217" i="11"/>
  <c r="E217" i="11"/>
  <c r="F218" i="11"/>
  <c r="F217" i="11"/>
  <c r="G200" i="1"/>
  <c r="G211" i="1" s="1"/>
  <c r="G214" i="1" s="1"/>
  <c r="G199" i="1"/>
  <c r="G210" i="1" s="1"/>
  <c r="G213" i="1" s="1"/>
  <c r="H70" i="1"/>
  <c r="F136" i="1"/>
  <c r="H136" i="1" s="1"/>
  <c r="F213" i="1"/>
  <c r="O30" i="8"/>
  <c r="O34" i="8" s="1"/>
  <c r="O38" i="8"/>
  <c r="O63" i="8" s="1"/>
  <c r="O66" i="8" s="1"/>
  <c r="O67" i="8" s="1"/>
  <c r="G218" i="11" l="1"/>
  <c r="O218" i="11" s="1"/>
  <c r="P215" i="11"/>
  <c r="Q215" i="11" s="1"/>
  <c r="G217" i="1"/>
  <c r="G201" i="1"/>
  <c r="G208" i="1" s="1"/>
  <c r="H135" i="1"/>
  <c r="L217" i="11"/>
  <c r="D219" i="11"/>
  <c r="L219" i="11" s="1"/>
  <c r="I215" i="11"/>
  <c r="I218" i="11" s="1"/>
  <c r="I219" i="11" s="1"/>
  <c r="F219" i="11"/>
  <c r="N218" i="11"/>
  <c r="N217" i="11"/>
  <c r="O217" i="11"/>
  <c r="M217" i="11"/>
  <c r="E219" i="11"/>
  <c r="F200" i="1"/>
  <c r="F216" i="1"/>
  <c r="G216" i="1"/>
  <c r="D62" i="1"/>
  <c r="M219" i="11" l="1"/>
  <c r="P218" i="11"/>
  <c r="G219" i="11"/>
  <c r="P219" i="11" s="1"/>
  <c r="N219" i="11"/>
  <c r="F211" i="1"/>
  <c r="F201" i="1"/>
  <c r="F208" i="1" s="1"/>
  <c r="G218" i="1"/>
  <c r="O219" i="11" l="1"/>
  <c r="F214" i="1"/>
  <c r="D85" i="1"/>
  <c r="F217" i="1" l="1"/>
  <c r="E115" i="1"/>
  <c r="D115" i="1"/>
  <c r="E114" i="1"/>
  <c r="D114" i="1"/>
  <c r="D35" i="1"/>
  <c r="F218" i="1" l="1"/>
  <c r="J150" i="1"/>
  <c r="K150" i="1"/>
  <c r="J182" i="1"/>
  <c r="K182" i="1"/>
  <c r="E184" i="1"/>
  <c r="E163" i="1"/>
  <c r="E159" i="1"/>
  <c r="E158" i="1"/>
  <c r="E154" i="1"/>
  <c r="D118" i="3" l="1"/>
  <c r="H119" i="3" s="1"/>
  <c r="D117" i="3"/>
  <c r="D119" i="3" s="1"/>
  <c r="H114" i="3"/>
  <c r="G114" i="3"/>
  <c r="F114" i="3"/>
  <c r="E114" i="3"/>
  <c r="D114" i="3"/>
  <c r="C114" i="3"/>
  <c r="I113" i="3"/>
  <c r="J113" i="3" s="1"/>
  <c r="H112" i="3"/>
  <c r="H115" i="3" s="1"/>
  <c r="G112" i="3"/>
  <c r="I111" i="3"/>
  <c r="J111" i="3" s="1"/>
  <c r="I110" i="3"/>
  <c r="J110" i="3" s="1"/>
  <c r="I109" i="3"/>
  <c r="J109" i="3" s="1"/>
  <c r="M108" i="3"/>
  <c r="F108" i="3"/>
  <c r="D108" i="3"/>
  <c r="C108" i="3"/>
  <c r="K111" i="3" s="1"/>
  <c r="E107" i="3"/>
  <c r="E112" i="3" s="1"/>
  <c r="C107" i="3"/>
  <c r="I106" i="3"/>
  <c r="C106" i="3"/>
  <c r="D105" i="3"/>
  <c r="I104" i="3"/>
  <c r="J104" i="3" s="1"/>
  <c r="I103" i="3"/>
  <c r="J103" i="3" s="1"/>
  <c r="I102" i="3"/>
  <c r="J102" i="3" s="1"/>
  <c r="I101" i="3"/>
  <c r="J101" i="3" s="1"/>
  <c r="I100" i="3"/>
  <c r="J100" i="3" s="1"/>
  <c r="F99" i="3"/>
  <c r="I99" i="3" s="1"/>
  <c r="C99" i="3"/>
  <c r="K104" i="3" s="1"/>
  <c r="D98" i="3"/>
  <c r="I98" i="3" s="1"/>
  <c r="C98" i="3"/>
  <c r="J98" i="3" s="1"/>
  <c r="I97" i="3"/>
  <c r="K107" i="3" l="1"/>
  <c r="E115" i="3"/>
  <c r="I108" i="3"/>
  <c r="J108" i="3" s="1"/>
  <c r="G115" i="3"/>
  <c r="I107" i="3"/>
  <c r="J107" i="3" s="1"/>
  <c r="C112" i="3"/>
  <c r="J106" i="3"/>
  <c r="D112" i="3"/>
  <c r="D115" i="3" s="1"/>
  <c r="D120" i="3" s="1"/>
  <c r="I105" i="3"/>
  <c r="J105" i="3" s="1"/>
  <c r="F112" i="3"/>
  <c r="F115" i="3" s="1"/>
  <c r="E117" i="3"/>
  <c r="J99" i="3"/>
  <c r="I114" i="3"/>
  <c r="J114" i="3" s="1"/>
  <c r="C115" i="3"/>
  <c r="J97" i="3"/>
  <c r="I112" i="3" l="1"/>
  <c r="I115" i="3" l="1"/>
  <c r="J115" i="3" s="1"/>
  <c r="J112" i="3"/>
  <c r="D88" i="3" l="1"/>
  <c r="M71" i="3" l="1"/>
  <c r="C78" i="3"/>
  <c r="C74" i="3"/>
  <c r="C73" i="3"/>
  <c r="C69" i="3"/>
  <c r="F74" i="3"/>
  <c r="F69" i="3"/>
  <c r="F78" i="3"/>
  <c r="F73" i="3"/>
  <c r="C68" i="3"/>
  <c r="D68" i="3"/>
  <c r="I68" i="3" s="1"/>
  <c r="M78" i="3"/>
  <c r="J68" i="3" l="1"/>
  <c r="E119" i="1"/>
  <c r="E116" i="1"/>
  <c r="E105" i="1"/>
  <c r="E98" i="1"/>
  <c r="E92" i="1"/>
  <c r="E77" i="1"/>
  <c r="E38" i="1"/>
  <c r="K212" i="1"/>
  <c r="K215" i="1"/>
  <c r="J212" i="1"/>
  <c r="J215" i="1"/>
  <c r="E88" i="1"/>
  <c r="E120" i="1"/>
  <c r="D120" i="1"/>
  <c r="D119" i="1"/>
  <c r="E110" i="1"/>
  <c r="D110" i="1"/>
  <c r="D88" i="1"/>
  <c r="E82" i="1"/>
  <c r="D82" i="1"/>
  <c r="E79" i="1"/>
  <c r="D79" i="1"/>
  <c r="E125" i="1" l="1"/>
  <c r="L125" i="1" s="1"/>
  <c r="E55" i="1"/>
  <c r="D55" i="1"/>
  <c r="E54" i="1"/>
  <c r="D54" i="1"/>
  <c r="E53" i="1"/>
  <c r="D53" i="1"/>
  <c r="E50" i="1"/>
  <c r="D50" i="1"/>
  <c r="E45" i="1"/>
  <c r="D45" i="1"/>
  <c r="E44" i="1"/>
  <c r="D44" i="1"/>
  <c r="E37" i="1"/>
  <c r="D37" i="1"/>
  <c r="D38" i="1"/>
  <c r="D172" i="1"/>
  <c r="D171" i="1" s="1"/>
  <c r="E172" i="1"/>
  <c r="E171" i="1" s="1"/>
  <c r="D189" i="1"/>
  <c r="E189" i="1"/>
  <c r="D141" i="1"/>
  <c r="E141" i="1"/>
  <c r="D151" i="1"/>
  <c r="E151" i="1"/>
  <c r="I152" i="1" s="1"/>
  <c r="D75" i="1"/>
  <c r="E75" i="1"/>
  <c r="D81" i="1"/>
  <c r="E81" i="1"/>
  <c r="D83" i="1"/>
  <c r="E83" i="1"/>
  <c r="D86" i="1"/>
  <c r="E86" i="1"/>
  <c r="D90" i="1"/>
  <c r="E90" i="1"/>
  <c r="D95" i="1"/>
  <c r="E95" i="1"/>
  <c r="D99" i="1"/>
  <c r="E99" i="1"/>
  <c r="D103" i="1"/>
  <c r="E103" i="1"/>
  <c r="D109" i="1"/>
  <c r="E109" i="1"/>
  <c r="D118" i="1"/>
  <c r="E118" i="1"/>
  <c r="D125" i="1"/>
  <c r="D127" i="1"/>
  <c r="E127" i="1"/>
  <c r="D130" i="1"/>
  <c r="E130" i="1"/>
  <c r="D133" i="1"/>
  <c r="D134" i="1" s="1"/>
  <c r="E133" i="1"/>
  <c r="E134" i="1" s="1"/>
  <c r="L134" i="1" s="1"/>
  <c r="K151" i="1" l="1"/>
  <c r="M182" i="1" s="1"/>
  <c r="J151" i="1"/>
  <c r="K134" i="1"/>
  <c r="K125" i="1"/>
  <c r="E124" i="1"/>
  <c r="L124" i="1" s="1"/>
  <c r="D124" i="1"/>
  <c r="D3" i="1"/>
  <c r="E3" i="1"/>
  <c r="D11" i="1"/>
  <c r="E11" i="1"/>
  <c r="D32" i="1"/>
  <c r="E32" i="1"/>
  <c r="D34" i="1"/>
  <c r="E34" i="1"/>
  <c r="D61" i="1"/>
  <c r="D126" i="1" s="1"/>
  <c r="D131" i="1" s="1"/>
  <c r="E61" i="1"/>
  <c r="E126" i="1" s="1"/>
  <c r="E131" i="1" s="1"/>
  <c r="L131" i="1" s="1"/>
  <c r="D66" i="1"/>
  <c r="E66" i="1"/>
  <c r="L66" i="1" s="1"/>
  <c r="D68" i="1"/>
  <c r="E68" i="1"/>
  <c r="L68" i="1" s="1"/>
  <c r="F92" i="3"/>
  <c r="K62" i="1" l="1"/>
  <c r="J62" i="1"/>
  <c r="K66" i="1"/>
  <c r="K124" i="1"/>
  <c r="K68" i="1"/>
  <c r="E135" i="1"/>
  <c r="L135" i="1" s="1"/>
  <c r="K131" i="1"/>
  <c r="D135" i="1"/>
  <c r="D136" i="1" s="1"/>
  <c r="D40" i="1"/>
  <c r="D63" i="1" s="1"/>
  <c r="E40" i="1"/>
  <c r="E63" i="1" s="1"/>
  <c r="L63" i="1" s="1"/>
  <c r="E69" i="1"/>
  <c r="L69" i="1" s="1"/>
  <c r="D69" i="1"/>
  <c r="E136" i="1" l="1"/>
  <c r="L136" i="1" s="1"/>
  <c r="K136" i="1"/>
  <c r="K63" i="1"/>
  <c r="K69" i="1"/>
  <c r="K135" i="1"/>
  <c r="E70" i="1"/>
  <c r="L70" i="1" s="1"/>
  <c r="D70" i="1"/>
  <c r="K70" i="1" l="1"/>
  <c r="M89" i="9"/>
  <c r="L89" i="9"/>
  <c r="F89" i="9"/>
  <c r="E89" i="9"/>
  <c r="D89" i="9"/>
  <c r="M88" i="9"/>
  <c r="L88" i="9"/>
  <c r="K88" i="9"/>
  <c r="J88" i="9"/>
  <c r="I88" i="9"/>
  <c r="H88" i="9"/>
  <c r="H89" i="9" s="1"/>
  <c r="G88" i="9"/>
  <c r="G89" i="9" s="1"/>
  <c r="F88" i="9"/>
  <c r="E88" i="9"/>
  <c r="D88" i="9"/>
  <c r="M85" i="9"/>
  <c r="L85" i="9"/>
  <c r="K85" i="9"/>
  <c r="K89" i="9" s="1"/>
  <c r="J85" i="9"/>
  <c r="J89" i="9" s="1"/>
  <c r="I85" i="9"/>
  <c r="I89" i="9" s="1"/>
  <c r="H85" i="9"/>
  <c r="G85" i="9"/>
  <c r="F85" i="9"/>
  <c r="E85" i="9"/>
  <c r="D85" i="9"/>
  <c r="C85" i="9"/>
  <c r="C89" i="9" s="1"/>
  <c r="D81" i="9"/>
  <c r="D90" i="9" s="1"/>
  <c r="K79" i="9"/>
  <c r="N80" i="9" s="1"/>
  <c r="G71" i="9"/>
  <c r="M65" i="9"/>
  <c r="P80" i="9" s="1"/>
  <c r="L65" i="9"/>
  <c r="O80" i="9" s="1"/>
  <c r="K65" i="9"/>
  <c r="I65" i="9"/>
  <c r="G59" i="9"/>
  <c r="I53" i="9"/>
  <c r="I42" i="9" s="1"/>
  <c r="G48" i="9"/>
  <c r="G42" i="9" s="1"/>
  <c r="K42" i="9"/>
  <c r="J42" i="9"/>
  <c r="H42" i="9"/>
  <c r="F42" i="9"/>
  <c r="E42" i="9"/>
  <c r="D42" i="9"/>
  <c r="C42" i="9"/>
  <c r="D40" i="9"/>
  <c r="C40" i="9"/>
  <c r="M34" i="9"/>
  <c r="L34" i="9"/>
  <c r="K34" i="9"/>
  <c r="J34" i="9"/>
  <c r="I34" i="9"/>
  <c r="H34" i="9"/>
  <c r="G34" i="9"/>
  <c r="F34" i="9"/>
  <c r="E34" i="9"/>
  <c r="D34" i="9"/>
  <c r="C34" i="9"/>
  <c r="M32" i="9"/>
  <c r="L32" i="9"/>
  <c r="K32" i="9"/>
  <c r="J32" i="9"/>
  <c r="I32" i="9"/>
  <c r="H32" i="9"/>
  <c r="G32" i="9"/>
  <c r="F32" i="9"/>
  <c r="E32" i="9"/>
  <c r="D32" i="9"/>
  <c r="C32" i="9"/>
  <c r="P31" i="9"/>
  <c r="O31" i="9"/>
  <c r="N31" i="9"/>
  <c r="C26" i="9"/>
  <c r="I20" i="9"/>
  <c r="P16" i="9"/>
  <c r="O16" i="9"/>
  <c r="N16" i="9"/>
  <c r="N13" i="9"/>
  <c r="M11" i="9"/>
  <c r="L11" i="9"/>
  <c r="K11" i="9"/>
  <c r="J11" i="9"/>
  <c r="I11" i="9"/>
  <c r="H11" i="9"/>
  <c r="G11" i="9"/>
  <c r="F11" i="9"/>
  <c r="E11" i="9"/>
  <c r="D11" i="9"/>
  <c r="C11" i="9"/>
  <c r="P10" i="9"/>
  <c r="O10" i="9"/>
  <c r="N10" i="9"/>
  <c r="M3" i="9"/>
  <c r="L3" i="9"/>
  <c r="K3" i="9"/>
  <c r="K81" i="9" s="1"/>
  <c r="K90" i="9" s="1"/>
  <c r="J3" i="9"/>
  <c r="J81" i="9" s="1"/>
  <c r="J90" i="9" s="1"/>
  <c r="I3" i="9"/>
  <c r="I81" i="9" s="1"/>
  <c r="I90" i="9" s="1"/>
  <c r="H3" i="9"/>
  <c r="H81" i="9" s="1"/>
  <c r="H90" i="9" s="1"/>
  <c r="G3" i="9"/>
  <c r="F3" i="9"/>
  <c r="F81" i="9" s="1"/>
  <c r="F90" i="9" s="1"/>
  <c r="E3" i="9"/>
  <c r="E81" i="9" s="1"/>
  <c r="E90" i="9" s="1"/>
  <c r="D3" i="9"/>
  <c r="C3" i="9"/>
  <c r="C81" i="9" s="1"/>
  <c r="C90" i="9" s="1"/>
  <c r="G81" i="9" l="1"/>
  <c r="G90" i="9" s="1"/>
  <c r="L42" i="9"/>
  <c r="L81" i="9" s="1"/>
  <c r="L90" i="9" s="1"/>
  <c r="M42" i="9"/>
  <c r="M81" i="9" s="1"/>
  <c r="M90" i="9" s="1"/>
  <c r="K49" i="8" l="1"/>
  <c r="K45" i="8"/>
  <c r="K30" i="8"/>
  <c r="K25" i="8"/>
  <c r="K19" i="8"/>
  <c r="K15" i="8"/>
  <c r="K7" i="8"/>
  <c r="H40" i="7"/>
  <c r="H34" i="7"/>
  <c r="H18" i="7"/>
  <c r="H12" i="7"/>
  <c r="H7" i="7"/>
  <c r="K51" i="8" l="1"/>
  <c r="K54" i="8" s="1"/>
  <c r="H21" i="7"/>
  <c r="H24" i="7" s="1"/>
  <c r="K22" i="8"/>
  <c r="K26" i="8" s="1"/>
  <c r="H43" i="7"/>
  <c r="H46" i="7" s="1"/>
  <c r="K55" i="8" l="1"/>
  <c r="H47" i="7"/>
  <c r="C189" i="1"/>
  <c r="C151" i="1"/>
  <c r="C141" i="1"/>
  <c r="C34" i="1"/>
  <c r="C32" i="1"/>
  <c r="C11" i="1"/>
  <c r="C3" i="1"/>
  <c r="R15" i="4"/>
  <c r="K15" i="4"/>
  <c r="D15" i="4"/>
  <c r="D22" i="6"/>
  <c r="H38" i="5"/>
  <c r="H25" i="5"/>
  <c r="D38" i="5"/>
  <c r="D25" i="5"/>
  <c r="D12" i="5"/>
  <c r="H12" i="5"/>
  <c r="K37" i="5"/>
  <c r="K36" i="5"/>
  <c r="K35" i="5"/>
  <c r="K31" i="5"/>
  <c r="L37" i="5" s="1"/>
  <c r="L24" i="5"/>
  <c r="K24" i="5"/>
  <c r="K23" i="5"/>
  <c r="K22" i="5"/>
  <c r="K18" i="5"/>
  <c r="J30" i="5"/>
  <c r="J31" i="5"/>
  <c r="J32" i="5"/>
  <c r="J33" i="5"/>
  <c r="J34" i="5"/>
  <c r="J35" i="5"/>
  <c r="J36" i="5"/>
  <c r="J17" i="5"/>
  <c r="J19" i="5"/>
  <c r="J20" i="5"/>
  <c r="L11" i="5"/>
  <c r="I30" i="5"/>
  <c r="I31" i="5"/>
  <c r="I32" i="5"/>
  <c r="I33" i="5"/>
  <c r="I34" i="5"/>
  <c r="I35" i="5"/>
  <c r="I36" i="5"/>
  <c r="E30" i="5"/>
  <c r="E31" i="5"/>
  <c r="E32" i="5"/>
  <c r="E33" i="5"/>
  <c r="E34" i="5"/>
  <c r="E35" i="5"/>
  <c r="E37" i="5" s="1"/>
  <c r="E36" i="5"/>
  <c r="I17" i="5"/>
  <c r="I18" i="5"/>
  <c r="J18" i="5" s="1"/>
  <c r="I19" i="5"/>
  <c r="I20" i="5"/>
  <c r="I21" i="5"/>
  <c r="J21" i="5" s="1"/>
  <c r="I22" i="5"/>
  <c r="J22" i="5" s="1"/>
  <c r="I23" i="5"/>
  <c r="J23" i="5" s="1"/>
  <c r="E17" i="5"/>
  <c r="E18" i="5"/>
  <c r="E19" i="5"/>
  <c r="E20" i="5"/>
  <c r="E21" i="5"/>
  <c r="E22" i="5"/>
  <c r="E23" i="5"/>
  <c r="I5" i="5"/>
  <c r="J5" i="5" s="1"/>
  <c r="I6" i="5"/>
  <c r="I7" i="5"/>
  <c r="I8" i="5"/>
  <c r="I9" i="5"/>
  <c r="I10" i="5"/>
  <c r="E5" i="5"/>
  <c r="K5" i="5"/>
  <c r="K10" i="5"/>
  <c r="K11" i="5"/>
  <c r="K9" i="5"/>
  <c r="H37" i="5"/>
  <c r="G37" i="5"/>
  <c r="F37" i="5"/>
  <c r="D37" i="5"/>
  <c r="C37" i="5"/>
  <c r="B37" i="5"/>
  <c r="H24" i="5"/>
  <c r="G24" i="5"/>
  <c r="F24" i="5"/>
  <c r="E24" i="5"/>
  <c r="D24" i="5"/>
  <c r="C24" i="5"/>
  <c r="B24" i="5"/>
  <c r="C11" i="5"/>
  <c r="D11" i="5"/>
  <c r="F11" i="5"/>
  <c r="G11" i="5"/>
  <c r="H11" i="5"/>
  <c r="B11" i="5"/>
  <c r="C9" i="5"/>
  <c r="E9" i="5"/>
  <c r="J9" i="5" l="1"/>
  <c r="C125" i="1" l="1"/>
  <c r="J125" i="1" s="1"/>
  <c r="J31" i="1"/>
  <c r="K31" i="1"/>
  <c r="J10" i="1"/>
  <c r="K10" i="1"/>
  <c r="J16" i="1"/>
  <c r="K16" i="1"/>
  <c r="I151" i="1"/>
  <c r="J184" i="1"/>
  <c r="K184" i="1"/>
  <c r="M183" i="1" s="1"/>
  <c r="D89" i="3"/>
  <c r="E88" i="3"/>
  <c r="F79" i="3"/>
  <c r="F70" i="3"/>
  <c r="C79" i="3"/>
  <c r="D69" i="3"/>
  <c r="D79" i="3"/>
  <c r="D76" i="3"/>
  <c r="H90" i="3" l="1"/>
  <c r="I89" i="3"/>
  <c r="K82" i="3"/>
  <c r="I80" i="3"/>
  <c r="J80" i="3" s="1"/>
  <c r="J115" i="1"/>
  <c r="K115" i="1"/>
  <c r="I115" i="1"/>
  <c r="J187" i="1"/>
  <c r="K187" i="1"/>
  <c r="I182" i="1"/>
  <c r="C172" i="1"/>
  <c r="C171" i="1" s="1"/>
  <c r="K177" i="1" l="1"/>
  <c r="J177" i="1"/>
  <c r="I177" i="1"/>
  <c r="D83" i="3" l="1"/>
  <c r="G83" i="3"/>
  <c r="H83" i="3"/>
  <c r="I81" i="3" l="1"/>
  <c r="J81" i="3" s="1"/>
  <c r="I82" i="3"/>
  <c r="J82" i="3" s="1"/>
  <c r="D90" i="3"/>
  <c r="I150" i="1"/>
  <c r="I184" i="1"/>
  <c r="I187" i="1"/>
  <c r="C50" i="1" l="1"/>
  <c r="I13" i="1" l="1"/>
  <c r="I10" i="1"/>
  <c r="C133" i="1"/>
  <c r="I16" i="1"/>
  <c r="C61" i="1"/>
  <c r="C126" i="1" s="1"/>
  <c r="C40" i="1" l="1"/>
  <c r="C63" i="1" s="1"/>
  <c r="J63" i="1" s="1"/>
  <c r="I62" i="1"/>
  <c r="C75" i="1"/>
  <c r="C81" i="1"/>
  <c r="C83" i="1"/>
  <c r="C86" i="1"/>
  <c r="C90" i="1"/>
  <c r="C95" i="1"/>
  <c r="C99" i="1"/>
  <c r="C103" i="1"/>
  <c r="C109" i="1"/>
  <c r="C118" i="1"/>
  <c r="C127" i="1"/>
  <c r="C130" i="1"/>
  <c r="I130" i="1" s="1"/>
  <c r="C134" i="1"/>
  <c r="J134" i="1" s="1"/>
  <c r="C202" i="1"/>
  <c r="C203" i="1"/>
  <c r="C206" i="1"/>
  <c r="C66" i="1"/>
  <c r="J66" i="1" s="1"/>
  <c r="C68" i="1"/>
  <c r="J68" i="1" s="1"/>
  <c r="I128" i="1" l="1"/>
  <c r="I31" i="1"/>
  <c r="C205" i="1"/>
  <c r="C207" i="1" s="1"/>
  <c r="C131" i="1"/>
  <c r="C204" i="1"/>
  <c r="C124" i="1"/>
  <c r="J124" i="1" s="1"/>
  <c r="C69" i="1"/>
  <c r="C135" i="1" l="1"/>
  <c r="J135" i="1" s="1"/>
  <c r="J131" i="1"/>
  <c r="C70" i="1"/>
  <c r="J70" i="1" s="1"/>
  <c r="J69" i="1"/>
  <c r="C199" i="1" l="1"/>
  <c r="C210" i="1" s="1"/>
  <c r="C213" i="1" s="1"/>
  <c r="C216" i="1" s="1"/>
  <c r="C136" i="1"/>
  <c r="C200" i="1" s="1"/>
  <c r="C211" i="1" l="1"/>
  <c r="C214" i="1" s="1"/>
  <c r="C217" i="1" s="1"/>
  <c r="C201" i="1"/>
  <c r="J136" i="1"/>
  <c r="I201" i="1"/>
  <c r="C208" i="1"/>
  <c r="G85" i="3"/>
  <c r="C218" i="1" l="1"/>
  <c r="G86" i="3"/>
  <c r="K5" i="6"/>
  <c r="K6" i="6"/>
  <c r="K7" i="6"/>
  <c r="K8" i="6"/>
  <c r="K10" i="6"/>
  <c r="K11" i="6"/>
  <c r="K13" i="6"/>
  <c r="K14" i="6"/>
  <c r="J15" i="6"/>
  <c r="I15" i="6"/>
  <c r="H15" i="6"/>
  <c r="K15" i="6" s="1"/>
  <c r="J12" i="6"/>
  <c r="I12" i="6"/>
  <c r="H12" i="6"/>
  <c r="J9" i="6"/>
  <c r="I9" i="6"/>
  <c r="H9" i="6"/>
  <c r="K4" i="6"/>
  <c r="E8" i="6"/>
  <c r="E9" i="6"/>
  <c r="E10" i="6"/>
  <c r="E11" i="6"/>
  <c r="E12" i="6"/>
  <c r="E14" i="6"/>
  <c r="E15" i="6"/>
  <c r="E17" i="6"/>
  <c r="E19" i="6"/>
  <c r="E20" i="6"/>
  <c r="E5" i="6"/>
  <c r="E6" i="6"/>
  <c r="C18" i="6"/>
  <c r="D18" i="6"/>
  <c r="B18" i="6"/>
  <c r="C16" i="6"/>
  <c r="D16" i="6"/>
  <c r="B16" i="6"/>
  <c r="C13" i="6"/>
  <c r="D13" i="6"/>
  <c r="C7" i="6"/>
  <c r="D7" i="6"/>
  <c r="B7" i="6"/>
  <c r="B13" i="6"/>
  <c r="E4" i="6"/>
  <c r="H16" i="6" l="1"/>
  <c r="K12" i="6"/>
  <c r="K9" i="6"/>
  <c r="L16" i="6" s="1"/>
  <c r="J16" i="6"/>
  <c r="J18" i="6" s="1"/>
  <c r="E13" i="6"/>
  <c r="I16" i="6"/>
  <c r="E18" i="6"/>
  <c r="E16" i="6"/>
  <c r="E7" i="6"/>
  <c r="C21" i="6"/>
  <c r="D21" i="6"/>
  <c r="B21" i="6"/>
  <c r="H17" i="6" s="1"/>
  <c r="R13" i="4"/>
  <c r="Q13" i="4"/>
  <c r="P13" i="4"/>
  <c r="S11" i="4"/>
  <c r="S10" i="4"/>
  <c r="R9" i="4"/>
  <c r="Q9" i="4"/>
  <c r="P9" i="4"/>
  <c r="S8" i="4"/>
  <c r="S7" i="4"/>
  <c r="S6" i="4"/>
  <c r="S5" i="4"/>
  <c r="S4" i="4"/>
  <c r="K13" i="4"/>
  <c r="J13" i="4"/>
  <c r="I13" i="4"/>
  <c r="L13" i="4" s="1"/>
  <c r="L11" i="4"/>
  <c r="L10" i="4"/>
  <c r="K9" i="4"/>
  <c r="K14" i="4" s="1"/>
  <c r="J9" i="4"/>
  <c r="J14" i="4" s="1"/>
  <c r="I9" i="4"/>
  <c r="L8" i="4"/>
  <c r="L7" i="4"/>
  <c r="L6" i="4"/>
  <c r="L5" i="4"/>
  <c r="L4" i="4"/>
  <c r="I29" i="5"/>
  <c r="I37" i="5" s="1"/>
  <c r="J37" i="5" s="1"/>
  <c r="E29" i="5"/>
  <c r="I16" i="5"/>
  <c r="I24" i="5" s="1"/>
  <c r="J24" i="5" s="1"/>
  <c r="E16" i="5"/>
  <c r="E10" i="5"/>
  <c r="J10" i="5" s="1"/>
  <c r="E8" i="5"/>
  <c r="J8" i="5" s="1"/>
  <c r="E7" i="5"/>
  <c r="J7" i="5" s="1"/>
  <c r="E6" i="5"/>
  <c r="J6" i="5" s="1"/>
  <c r="I4" i="5"/>
  <c r="E4" i="5"/>
  <c r="J4" i="5" s="1"/>
  <c r="I3" i="5"/>
  <c r="E3" i="5"/>
  <c r="S9" i="4" l="1"/>
  <c r="J29" i="5"/>
  <c r="J16" i="5"/>
  <c r="E11" i="5"/>
  <c r="I11" i="5"/>
  <c r="J11" i="5" s="1"/>
  <c r="J3" i="5"/>
  <c r="S13" i="4"/>
  <c r="Q14" i="4"/>
  <c r="R14" i="4"/>
  <c r="I17" i="6"/>
  <c r="J17" i="6"/>
  <c r="K16" i="6"/>
  <c r="E21" i="6"/>
  <c r="F21" i="6"/>
  <c r="M9" i="4"/>
  <c r="L9" i="4"/>
  <c r="L14" i="4" s="1"/>
  <c r="T9" i="4"/>
  <c r="S12" i="4"/>
  <c r="T13" i="4" s="1"/>
  <c r="L12" i="4"/>
  <c r="M13" i="4" s="1"/>
  <c r="S14" i="4" l="1"/>
  <c r="K17" i="6"/>
  <c r="D13" i="4" l="1"/>
  <c r="C13" i="4"/>
  <c r="B13" i="4"/>
  <c r="E12" i="4"/>
  <c r="E11" i="4"/>
  <c r="E10" i="4"/>
  <c r="D9" i="4"/>
  <c r="D14" i="4" s="1"/>
  <c r="C9" i="4"/>
  <c r="C14" i="4" s="1"/>
  <c r="B9" i="4"/>
  <c r="E8" i="4"/>
  <c r="E7" i="4"/>
  <c r="E6" i="4"/>
  <c r="E5" i="4"/>
  <c r="E4" i="4"/>
  <c r="E13" i="4" l="1"/>
  <c r="E9" i="4"/>
  <c r="F13" i="4"/>
  <c r="F9" i="4"/>
  <c r="E14" i="4" l="1"/>
  <c r="F83" i="3" l="1"/>
  <c r="H85" i="3" l="1"/>
  <c r="F85" i="3"/>
  <c r="E85" i="3"/>
  <c r="D85" i="3"/>
  <c r="C85" i="3"/>
  <c r="I84" i="3"/>
  <c r="I85" i="3" s="1"/>
  <c r="I79" i="3"/>
  <c r="J79" i="3" s="1"/>
  <c r="M79" i="3"/>
  <c r="E78" i="3"/>
  <c r="E83" i="3" s="1"/>
  <c r="I77" i="3"/>
  <c r="C77" i="3"/>
  <c r="K78" i="3" s="1"/>
  <c r="I76" i="3"/>
  <c r="J76" i="3" s="1"/>
  <c r="I75" i="3"/>
  <c r="J75" i="3" s="1"/>
  <c r="I73" i="3"/>
  <c r="J73" i="3" s="1"/>
  <c r="I72" i="3"/>
  <c r="J72" i="3" s="1"/>
  <c r="I71" i="3"/>
  <c r="J71" i="3" s="1"/>
  <c r="I70" i="3"/>
  <c r="C70" i="3"/>
  <c r="I69" i="3"/>
  <c r="J69" i="3" s="1"/>
  <c r="I74" i="3"/>
  <c r="J74" i="3" s="1"/>
  <c r="I67" i="3"/>
  <c r="J67" i="3" s="1"/>
  <c r="K75" i="3" l="1"/>
  <c r="C83" i="3"/>
  <c r="H86" i="3"/>
  <c r="J70" i="3"/>
  <c r="E86" i="3"/>
  <c r="D86" i="3"/>
  <c r="F86" i="3"/>
  <c r="C86" i="3"/>
  <c r="J85" i="3"/>
  <c r="I78" i="3"/>
  <c r="J78" i="3" s="1"/>
  <c r="J84" i="3"/>
  <c r="J77" i="3"/>
  <c r="D91" i="3" l="1"/>
  <c r="I83" i="3"/>
  <c r="I86" i="3" l="1"/>
  <c r="J86" i="3" s="1"/>
  <c r="J83" i="3"/>
  <c r="D203" i="1" l="1"/>
  <c r="D205" i="1"/>
  <c r="D206" i="1"/>
  <c r="D202" i="1"/>
  <c r="E202" i="1"/>
  <c r="E203" i="1"/>
  <c r="D199" i="1" l="1"/>
  <c r="D210" i="1" s="1"/>
  <c r="D204" i="1"/>
  <c r="E204" i="1"/>
  <c r="D207" i="1"/>
  <c r="D213" i="1" l="1"/>
  <c r="J210" i="1"/>
  <c r="E200" i="1"/>
  <c r="D200" i="1"/>
  <c r="D211" i="1" s="1"/>
  <c r="J211" i="1" s="1"/>
  <c r="D216" i="1" l="1"/>
  <c r="J216" i="1" s="1"/>
  <c r="J213" i="1"/>
  <c r="D214" i="1"/>
  <c r="D201" i="1"/>
  <c r="D208" i="1" s="1"/>
  <c r="D217" i="1" l="1"/>
  <c r="J217" i="1" s="1"/>
  <c r="J214" i="1"/>
  <c r="J201" i="1"/>
  <c r="D218" i="1" l="1"/>
  <c r="J218" i="1" s="1"/>
  <c r="E205" i="1"/>
  <c r="E206" i="1"/>
  <c r="E211" i="1" s="1"/>
  <c r="K211" i="1" l="1"/>
  <c r="L211" i="1"/>
  <c r="E214" i="1"/>
  <c r="L214" i="1" s="1"/>
  <c r="E207" i="1"/>
  <c r="E217" i="1" l="1"/>
  <c r="K214" i="1"/>
  <c r="E199" i="1"/>
  <c r="E210" i="1" s="1"/>
  <c r="L210" i="1" s="1"/>
  <c r="K217" i="1" l="1"/>
  <c r="L217" i="1"/>
  <c r="E213" i="1"/>
  <c r="L213" i="1" s="1"/>
  <c r="K210" i="1"/>
  <c r="E201" i="1"/>
  <c r="E208" i="1" s="1"/>
  <c r="E216" i="1" l="1"/>
  <c r="K213" i="1"/>
  <c r="K201" i="1"/>
  <c r="K216" i="1" l="1"/>
  <c r="L216" i="1"/>
  <c r="E218" i="1"/>
  <c r="K218" i="1" l="1"/>
  <c r="L218" i="1"/>
</calcChain>
</file>

<file path=xl/sharedStrings.xml><?xml version="1.0" encoding="utf-8"?>
<sst xmlns="http://schemas.openxmlformats.org/spreadsheetml/2006/main" count="1874" uniqueCount="580">
  <si>
    <t>Bežný rozpočet - príjmy</t>
  </si>
  <si>
    <t>Názov položky</t>
  </si>
  <si>
    <t>skutočnosť 2017</t>
  </si>
  <si>
    <t>skutočnosť 2018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</si>
  <si>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</si>
  <si>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</si>
  <si>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</si>
  <si>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</si>
  <si>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</si>
  <si>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</si>
  <si>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</si>
  <si>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</si>
  <si>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</si>
  <si>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</si>
  <si>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</si>
  <si>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</si>
  <si>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</si>
  <si>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</si>
  <si>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</si>
  <si>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</si>
  <si>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</si>
  <si>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</si>
  <si>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za služby denného stacionára</t>
  </si>
  <si>
    <t>príjem za separovaný zber</t>
  </si>
  <si>
    <t>poplatok za služby v Dome smútku</t>
  </si>
  <si>
    <t>poplatok za stočné</t>
  </si>
  <si>
    <t>príjem za réžiu v ŠKJ</t>
  </si>
  <si>
    <t>príjem za asistovanú službu Integrovaného obslužného miesta</t>
  </si>
  <si>
    <t>príspevok rodičov na náklady zariadenia MŠ</t>
  </si>
  <si>
    <t>príjem zo stravného v ŠKJ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</si>
  <si>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</si>
  <si>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</si>
  <si>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</si>
  <si>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</si>
  <si>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</si>
  <si>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</si>
  <si>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 xml:space="preserve">príjem z dobropisov </t>
  </si>
  <si>
    <t>príjem z vratiek</t>
  </si>
  <si>
    <t>príjem z refundácie za skladníka CO z MV SR</t>
  </si>
  <si>
    <t>granty, dotácie, transfery</t>
  </si>
  <si>
    <t>Granty na kultúrne podujatia</t>
  </si>
  <si>
    <t>Dotácia UPSVR na aktivačnú činnosť</t>
  </si>
  <si>
    <t xml:space="preserve">Dotácia MŽP - zníženie energetickej náročnosti budovy OÚ </t>
  </si>
  <si>
    <t>Dotácia MVSR na údržbu vojnových hrobov</t>
  </si>
  <si>
    <t>Transfer od obcí na SpU opatr.služby</t>
  </si>
  <si>
    <t>Transfer od ZŠ na SpU školstva</t>
  </si>
  <si>
    <t>Transfer od obcí na SpU stavebný</t>
  </si>
  <si>
    <t>Dotácia DPO SR na Dobr.hasič.zbor obce</t>
  </si>
  <si>
    <t>Dotácia z Fondu na podporu umenia - kultúrne projekty</t>
  </si>
  <si>
    <t>Dotácia MV SR na matričnú čin., register obyv., adries</t>
  </si>
  <si>
    <t>Dotácia MDVRR,MŽP na stavebný úrad</t>
  </si>
  <si>
    <t>Dotácia MPSVR na denný stacionár</t>
  </si>
  <si>
    <t>Transfer OkU pre ZŠ - právny subjekt</t>
  </si>
  <si>
    <t>BEŽNÉ PRÍJMY obce:</t>
  </si>
  <si>
    <t>RO</t>
  </si>
  <si>
    <t>Vlastný príjem ZŠ, preplatky</t>
  </si>
  <si>
    <t>Vlastný príjem ŠKD</t>
  </si>
  <si>
    <t>Projekt MŠVVŠ SR - Zvýšenie kvality vzdelávania na ZŠ</t>
  </si>
  <si>
    <t>Bežný príjem RO - Základnej školy Heľpa spolu:</t>
  </si>
  <si>
    <t>Vlastný príjem ZUŠ Heľpa</t>
  </si>
  <si>
    <t>Bežný príjem rozpočtových organizácií spolu: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</si>
  <si>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</si>
  <si>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</si>
  <si>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</si>
  <si>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</si>
  <si>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</si>
  <si>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</si>
  <si>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Fin.a rozpoč.záležitosti (HKON,audit,popl,fin.správa, poistné)</t>
  </si>
  <si>
    <t>0131</t>
  </si>
  <si>
    <t>Propagácia, reklama, inzercia (propagač. Predmety, bankovka)</t>
  </si>
  <si>
    <t>0133</t>
  </si>
  <si>
    <t>Všeobec.služby (Matrika,REGOB,evidencie,služby, správa)</t>
  </si>
  <si>
    <t>0160</t>
  </si>
  <si>
    <t>02 Obrana</t>
  </si>
  <si>
    <t>0220</t>
  </si>
  <si>
    <t>03 Verejný poriadok a bezpečnosť</t>
  </si>
  <si>
    <t>0320</t>
  </si>
  <si>
    <t>Ochrana pred požiarmi (Prevádzka dobr.hasič.zboru)</t>
  </si>
  <si>
    <t>0360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</si>
  <si>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</si>
  <si>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</si>
  <si>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</si>
  <si>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</si>
  <si>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</si>
  <si>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</si>
  <si>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</si>
  <si>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05 Ochrana životného prostredia</t>
  </si>
  <si>
    <t>0510</t>
  </si>
  <si>
    <t>Naklad.s odpadmi (zber,uloženie KO, 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</si>
  <si>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</si>
  <si>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</si>
  <si>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</si>
  <si>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</si>
  <si>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</si>
  <si>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Ochrana živ.prostr. (Starostlivosť o ŽP, ver.zeleň, potoky, protipovodň.opatrenia,veterinárne služ.)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</si>
  <si>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</si>
  <si>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</si>
  <si>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</si>
  <si>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</si>
  <si>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</si>
  <si>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</si>
  <si>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</si>
  <si>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</si>
  <si>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</si>
  <si>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</si>
  <si>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</si>
  <si>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</si>
  <si>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</si>
  <si>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 (prevent.prehliadky, lek.posúdenie)</t>
  </si>
  <si>
    <t>08 Rekreácia, kultúra a náboženstvo</t>
  </si>
  <si>
    <t>0810</t>
  </si>
  <si>
    <t>Rekreač.,šport.služby (prevádzka šport.areálu, ŠK, NDS projekt)</t>
  </si>
  <si>
    <t>0820</t>
  </si>
  <si>
    <t>Správa kult.služieb a zariad. (KUL,MĽK,AMF,podujatia,projekty FPU, múzeum)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</si>
  <si>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</si>
  <si>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</si>
  <si>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</si>
  <si>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</si>
  <si>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</si>
  <si>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Spoločenské, kultúrne, športové aktivity obce, projekty mládeže</t>
  </si>
  <si>
    <t>09 Vzdelávanie</t>
  </si>
  <si>
    <t>09111</t>
  </si>
  <si>
    <t>Predprimárne vzdelávanie (Prevádzka MŠ)</t>
  </si>
  <si>
    <t>09211</t>
  </si>
  <si>
    <t>0950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</si>
  <si>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</si>
  <si>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</si>
  <si>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</si>
  <si>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</si>
  <si>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</si>
  <si>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09608</t>
  </si>
  <si>
    <t>0980</t>
  </si>
  <si>
    <t>10 Sociálne zabezpečenie</t>
  </si>
  <si>
    <t>1020</t>
  </si>
  <si>
    <t>1040</t>
  </si>
  <si>
    <t>Rodina a deti (Príspevky na deti v HN, osob.príjemca PND)</t>
  </si>
  <si>
    <t>1050</t>
  </si>
  <si>
    <t>Nezamestnanosť (Aktivačná činnosť a programy pre uchádz.o zamestnanie)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</si>
  <si>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</si>
  <si>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</si>
  <si>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</si>
  <si>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</si>
  <si>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</si>
  <si>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Transfer z OkU pre Základnú školu</t>
  </si>
  <si>
    <t>Transfer vlastného príjmu Základnej školy</t>
  </si>
  <si>
    <t>Transfer na rozvojový projekt ZŠ  - spolufinancovanie obce</t>
  </si>
  <si>
    <t>Transfer z rozpočtu obce pre Školský klub detí</t>
  </si>
  <si>
    <t>Transfer vlastného príjmu Školského klubu detí</t>
  </si>
  <si>
    <t>Bežné výdavky Základnej školy spolu:</t>
  </si>
  <si>
    <t>Transfer obce pre Základnú umeleckú školu</t>
  </si>
  <si>
    <t>Transfer vlastného príjmu ZUŠ</t>
  </si>
  <si>
    <t>Bežné výdavky Základnej umeleckej školy:</t>
  </si>
  <si>
    <t>Bežné výdavky rozpočtových organizácií spolu:</t>
  </si>
  <si>
    <t>BEŽNÉ VÝDAVKY SPOLU:</t>
  </si>
  <si>
    <t>Kapitálový rozpočet</t>
  </si>
  <si>
    <t>Kapitálové príjmy</t>
  </si>
  <si>
    <t>predaj pozemkov</t>
  </si>
  <si>
    <t xml:space="preserve">KT EF Dobudovanie kanalizácie </t>
  </si>
  <si>
    <t>Kapitálové výdavky</t>
  </si>
  <si>
    <t>Zmena územno-plánovacej dokumentácie</t>
  </si>
  <si>
    <t>0610</t>
  </si>
  <si>
    <t>Nákup pozemkov,budov, objektov na ver. účely</t>
  </si>
  <si>
    <t>Finančné operácie</t>
  </si>
  <si>
    <t>príjmové</t>
  </si>
  <si>
    <t>návratné zdroje financovania</t>
  </si>
  <si>
    <t>výdavkové</t>
  </si>
  <si>
    <t>odvod správnych poplatkov za IOM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</si>
  <si>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</si>
  <si>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</si>
  <si>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</si>
  <si>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</si>
  <si>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</si>
  <si>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</si>
  <si>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</si>
  <si>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</si>
  <si>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</si>
  <si>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</si>
  <si>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</si>
  <si>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</si>
  <si>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</si>
  <si>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</si>
  <si>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Vypracovala: Mgr. A. Tkáčiková</t>
  </si>
  <si>
    <t>skutočnosť 2019</t>
  </si>
  <si>
    <t>príjmy z refundácií, vyúčtovanie služieb prenajímaných objektov</t>
  </si>
  <si>
    <t>Dotácia ŠÚ SR na sčítanie obyvateľov, domov, bytov</t>
  </si>
  <si>
    <t>Dotácia UPSVR na deti v hm.núdzi (strava,šk.potreby)</t>
  </si>
  <si>
    <t>Dotácia UPSVR na osobitného príjemcu a rod.prídavkov</t>
  </si>
  <si>
    <t>Vedľ.služby v rámci niž.sekund. vzdel. (ŠKJ pre 2.st.ZŠ,dospelí)</t>
  </si>
  <si>
    <t>Vedľ.služby nedefinované (SpÚ školstva + Polomka)</t>
  </si>
  <si>
    <t>Všeob.verejné služby (Voľby, sčítanie obyvateľov,domov,bytov)</t>
  </si>
  <si>
    <t>Dotácia BBSK na DFF HDST, Kolovrátok</t>
  </si>
  <si>
    <t>Rekonštrukcia strechy amfiteáter</t>
  </si>
  <si>
    <t>Rekonštrukcia elektroinštalácie obecných objektov</t>
  </si>
  <si>
    <t>Dobudovanie kanalizačnej siete</t>
  </si>
  <si>
    <t>Projektová dokumentácia pripavovaných inv.akcií</t>
  </si>
  <si>
    <t>skutočnosť 2020</t>
  </si>
  <si>
    <t>Dotácia MVSR na opatrenia Covid19</t>
  </si>
  <si>
    <t>Transfer OkU pre ZUŠ - právny subjekt</t>
  </si>
  <si>
    <t>Nákup motorových vozidiel, komunál.techniky, príves.vozík</t>
  </si>
  <si>
    <t>Správa a riadenie vzdelávania, Virtuálna univerzita</t>
  </si>
  <si>
    <t>Rozšírenie kapacity MŠ</t>
  </si>
  <si>
    <t>príjem za školné Virtuálna univerzita tretieho veku</t>
  </si>
  <si>
    <t>Dotácia MVSR na terénneho asistenta Covid</t>
  </si>
  <si>
    <t>Projekt UPSVR podpora zamestnanosti ZUŠ za min.r.</t>
  </si>
  <si>
    <t>Bežný príjem RO - Základnej umeleckej školy Heľpa spolu:</t>
  </si>
  <si>
    <t>Civilná ochrana (Skladník CO, evidencie, TAC)</t>
  </si>
  <si>
    <t>Staroba (Opatrovateľská služba, SpÚ OSL, projekt,denný stacionár,DC)</t>
  </si>
  <si>
    <t>FNK</t>
  </si>
  <si>
    <t>Názov investície</t>
  </si>
  <si>
    <t>Suma v rozpočte</t>
  </si>
  <si>
    <t>Peň.fond 46</t>
  </si>
  <si>
    <t>kontrola</t>
  </si>
  <si>
    <t>Rozpis rozpočtovej položky KR 0610 - projektová dokumentácia</t>
  </si>
  <si>
    <t>Názov PD</t>
  </si>
  <si>
    <t>Suma v EUR</t>
  </si>
  <si>
    <t>Poznámka</t>
  </si>
  <si>
    <t>Projektová dokumentácia pre pripravované inv.akcie</t>
  </si>
  <si>
    <t xml:space="preserve">PD Burkovaná, Hlavná </t>
  </si>
  <si>
    <t>PD rekonštrukcia strechy na amfiteátri</t>
  </si>
  <si>
    <t>Rezerva na prípadnú dokumentáciu</t>
  </si>
  <si>
    <t>PPD z peňažného fondu:</t>
  </si>
  <si>
    <t xml:space="preserve">Rekonštrukcia objektu č.589 (spoločenská miestnosť) </t>
  </si>
  <si>
    <t>Spolu kapitálové výdavky:</t>
  </si>
  <si>
    <t>Spolu bežné výdavky:</t>
  </si>
  <si>
    <t>PD rekonštr.el.zariadení pre revízie</t>
  </si>
  <si>
    <t>Vytýčenie stavieb</t>
  </si>
  <si>
    <t>Rezer. fond 46</t>
  </si>
  <si>
    <t xml:space="preserve">Dotácia SFZ projekt MŠ </t>
  </si>
  <si>
    <t>Dotácia OkU na výchovu,vzdelávanie v MŠ, rozvoj.projekt</t>
  </si>
  <si>
    <t>EÚ a ŠR, EF</t>
  </si>
  <si>
    <t>skutočnosť 2021</t>
  </si>
  <si>
    <t>Dotácia MVSR humanit.pomoc Ukrajina</t>
  </si>
  <si>
    <t>zapojenie zost. Dobrovoľ,zbierky na rekonštrukciu amfiteátra</t>
  </si>
  <si>
    <t>finančné zábezpeky ver.obstarávania, stavby</t>
  </si>
  <si>
    <t>iné príjm.operácie -kurzové rozdiely VU3V</t>
  </si>
  <si>
    <t>iné fin.operácie-kurzové rozdiely VU3V</t>
  </si>
  <si>
    <t>finančné operácie - vrátenie zábezpeky</t>
  </si>
  <si>
    <t>Dotácia UPSVR na Podporu zamestnanosti ( MŠ)</t>
  </si>
  <si>
    <t>Maj. zdroje obce 43/72c</t>
  </si>
  <si>
    <t>PD admin.budova (prípojky)</t>
  </si>
  <si>
    <t>PD chodník cez Krivuľu ul. Hlavná autobus.zastávka</t>
  </si>
  <si>
    <t>PD rozšírenie ČOV - zmena technológie (vpust)/kanalizácia</t>
  </si>
  <si>
    <t>Nákup komunálnej techniky</t>
  </si>
  <si>
    <t>PD réžia na amfiteátri</t>
  </si>
  <si>
    <t>Zvýšenie kapacity MŠ, interiérové vybavenie</t>
  </si>
  <si>
    <t>Dotácia MPSVR na soc.služby mim.odmeny, jednorázové odmeny</t>
  </si>
  <si>
    <t>Dotácia IA MPSVR SR na opatrovateľskú službu I., II.</t>
  </si>
  <si>
    <t>Dotácia MVSR na MOM celoplošné testovanie, testovanie firiem, ŠKJ</t>
  </si>
  <si>
    <t>Celkom:</t>
  </si>
  <si>
    <t>Dotácia MV SR - voľby (Referendum, komunálne, NRSR, prezident,EP)</t>
  </si>
  <si>
    <t>zapojenie zost. fondu prev.údržby,opráv bytov</t>
  </si>
  <si>
    <t>zapojenie nevyčerp.prostr.mr. ŠKJ stravné + dotácia</t>
  </si>
  <si>
    <t>zapojenie nevyčerp.prostr.mr. OSL projekt</t>
  </si>
  <si>
    <t>fin.operácie - správne poplatky ŠR za IOM</t>
  </si>
  <si>
    <t>príjmy z refundácie - iné náhrady, cent.vyrovnanie</t>
  </si>
  <si>
    <t>Hl.kategória</t>
  </si>
  <si>
    <t>obec</t>
  </si>
  <si>
    <t>ZŠ</t>
  </si>
  <si>
    <t>ZUŠ</t>
  </si>
  <si>
    <t>Celkom v Eur</t>
  </si>
  <si>
    <t>Spolu príjmy:</t>
  </si>
  <si>
    <t>Spolu výdavky:</t>
  </si>
  <si>
    <t>zdroje</t>
  </si>
  <si>
    <t>zš</t>
  </si>
  <si>
    <t>zuš</t>
  </si>
  <si>
    <t>spolu</t>
  </si>
  <si>
    <t>rozdiel</t>
  </si>
  <si>
    <t>11UA</t>
  </si>
  <si>
    <t>Príjmy 2024</t>
  </si>
  <si>
    <t>Výdavky 2024</t>
  </si>
  <si>
    <t>Príjmy 2025</t>
  </si>
  <si>
    <t>Výdavky 2025</t>
  </si>
  <si>
    <t>Eko rozpočet za obec rok 2024</t>
  </si>
  <si>
    <t>Eko rozpočet za obec rok 2025</t>
  </si>
  <si>
    <t>Kategória</t>
  </si>
  <si>
    <t>11 - Dane z príjmov</t>
  </si>
  <si>
    <t>12 - Dane z majetku</t>
  </si>
  <si>
    <t>13 - Dane miestne za služby</t>
  </si>
  <si>
    <t>Príjmy</t>
  </si>
  <si>
    <t>21 - Príjmy z vlastníctva majetku</t>
  </si>
  <si>
    <t>22 - Administratívne poplatky</t>
  </si>
  <si>
    <t>Spolu 200</t>
  </si>
  <si>
    <t>Spolu 100</t>
  </si>
  <si>
    <t>31 - Bežné granty a transfery</t>
  </si>
  <si>
    <t>Spolu 300</t>
  </si>
  <si>
    <t>23 - Kapitálové príjmy</t>
  </si>
  <si>
    <t>32 - Kapitálové granty a transfery</t>
  </si>
  <si>
    <t>45 - Ostatné finančné operácie</t>
  </si>
  <si>
    <t>Spolu 400</t>
  </si>
  <si>
    <t>Spolu 500</t>
  </si>
  <si>
    <t>Výdavky</t>
  </si>
  <si>
    <t>61 - mzdy,platy,odmeny</t>
  </si>
  <si>
    <t>62 - poistné do poisťovní</t>
  </si>
  <si>
    <t>63 - Tovary a služby</t>
  </si>
  <si>
    <t>64 - Bežné transfery</t>
  </si>
  <si>
    <t>Spolu 600</t>
  </si>
  <si>
    <t>71 - obstarávanie kapitálových aktív</t>
  </si>
  <si>
    <t>Spolu 700</t>
  </si>
  <si>
    <t>81 - úvery, návratné fin. výpomoci</t>
  </si>
  <si>
    <t>82 - splácanie istín</t>
  </si>
  <si>
    <t>65 - Splácanie úrokov</t>
  </si>
  <si>
    <t>24 - Úroky z vkladov</t>
  </si>
  <si>
    <t>29 - Iné nedaňové príjmy</t>
  </si>
  <si>
    <t>51 - Úvery, návratné fin.výpomoci</t>
  </si>
  <si>
    <t>Spolu 800</t>
  </si>
  <si>
    <t>Plán investícií - zdroje financovania v roku 2024</t>
  </si>
  <si>
    <t>skutočnosť 2022</t>
  </si>
  <si>
    <t>schválený 2023</t>
  </si>
  <si>
    <t>Dotácia MV SR - voľby (VUC, SAM, NRSR, prezident,EP, referendum)</t>
  </si>
  <si>
    <t>Dotácia inflačná pomoc na soc.služby</t>
  </si>
  <si>
    <t>KT Zvýšenie kapacity MŠ</t>
  </si>
  <si>
    <t>zapojenie fondu na rozvoj obce na investičné akcie</t>
  </si>
  <si>
    <t>Príjmy obce Heľpa celkom:</t>
  </si>
  <si>
    <t>Výdavky obce Heľpa celkom:</t>
  </si>
  <si>
    <t>plnenie rozpočtu OU</t>
  </si>
  <si>
    <t>čerpanie rozpočtu OU</t>
  </si>
  <si>
    <t>príjmy RO - školy</t>
  </si>
  <si>
    <t>výdavky RO - školy</t>
  </si>
  <si>
    <t>Dotácia EF SR na environmentálnu politiku</t>
  </si>
  <si>
    <t>Zníženie svetelného znečistenia (výmena svietidiel ver. osvet.)</t>
  </si>
  <si>
    <t>Obnova šport.infraštruktúry/stavebné úpravy športového areálu</t>
  </si>
  <si>
    <t>Dotácia MFSR vplyv inflácie na sam.funkcie</t>
  </si>
  <si>
    <t>Dotácia UV SR na miestne občianske preventívne služby</t>
  </si>
  <si>
    <t>Dotácia MHV SR - kompenzácie energie</t>
  </si>
  <si>
    <t>Dotácia MIRRI - riešenie migračných výziev</t>
  </si>
  <si>
    <t>Dotácia UPSVR na Podporu zamestnanosti znevýh.uchádzačov</t>
  </si>
  <si>
    <t>Dotácia UPSVR na Aktivácia znevýh.uchádzačov o zamestnanie</t>
  </si>
  <si>
    <t>BT projekt Podpora pomáhajúcich profesií pre ZŠ - právny subjekt</t>
  </si>
  <si>
    <t>Transfer projekt Podpora pomáhajúcich profesií</t>
  </si>
  <si>
    <t>KT EF Zníženie svetelného znečistenia</t>
  </si>
  <si>
    <t>KT FPŠ - Obnova športovej infraštruktúry</t>
  </si>
  <si>
    <t>splácanie istiny bankového úveru</t>
  </si>
  <si>
    <t>zapojenie nevyčerp.prostr.mr. MPSVR Den.stacionár</t>
  </si>
  <si>
    <t>príjem zo vstupného, kult.činnosti</t>
  </si>
  <si>
    <t>Dobudovanie kanalizácie I.etapa</t>
  </si>
  <si>
    <t>Obnova šport. Infraštruktúry</t>
  </si>
  <si>
    <t>Zníž. Svetel. Znečistenia (výmena svietidiel)</t>
  </si>
  <si>
    <t>zapoj.nevyčerp.FPŠ Obnova šport.infraštr.</t>
  </si>
  <si>
    <t>Obnova budovy ZŠ</t>
  </si>
  <si>
    <t>zapoj.nevyčerp.EF Zníž.svetel.znečistenia</t>
  </si>
  <si>
    <t>KT Rekonštrukcia objektu č. 589</t>
  </si>
  <si>
    <t>Predkladá: Miroslav Lilko - starosta obce</t>
  </si>
  <si>
    <t>Vybudovanie vodovodu Teplica II.</t>
  </si>
  <si>
    <t>Rekonštrukcia telocvične ZŠ</t>
  </si>
  <si>
    <t>upravený 2023-11</t>
  </si>
  <si>
    <t>Rozpočet obce Heľpa na rok 2024 bol schválený OZ uz.č. 264/2023 dňa 15.12.2023</t>
  </si>
  <si>
    <t>Obnova budovy ZŠ autor. Dozor</t>
  </si>
  <si>
    <t>Obnova budovy ZUŠ autor. Dozor</t>
  </si>
  <si>
    <t>zapoj.nevyčerp.MIRRI Zvýš.kapac.MŠ</t>
  </si>
  <si>
    <t>zapojenie nevyčerp.prostr.mr. ZŠ normatív, energie, UA</t>
  </si>
  <si>
    <t>zapojenie rezervného fondu na prevádzku</t>
  </si>
  <si>
    <t>Účel.rezerva 46</t>
  </si>
  <si>
    <t>RP 322</t>
  </si>
  <si>
    <t>RP 453</t>
  </si>
  <si>
    <t>Rozpočet obce Heľpa na roky 2025-2026 vzalo na vedomie OZ uz.č. 264/2023  dňa 15.12.2023</t>
  </si>
  <si>
    <t>KT EF Vybudovanie vodovodu Teplica II.</t>
  </si>
  <si>
    <t>0630</t>
  </si>
  <si>
    <t>Rekonštrukcia objektu-spoločenská miestnosť č.589</t>
  </si>
  <si>
    <t>zapojenie účel.rezervy na obnovu kanalizácie</t>
  </si>
  <si>
    <t>1BB1</t>
  </si>
  <si>
    <t>1BB2</t>
  </si>
  <si>
    <t>Príjmy 2026</t>
  </si>
  <si>
    <t>72g</t>
  </si>
  <si>
    <t>72j</t>
  </si>
  <si>
    <t>131N</t>
  </si>
  <si>
    <t>spolu:</t>
  </si>
  <si>
    <t>Výdavky 2026</t>
  </si>
  <si>
    <t xml:space="preserve"> vl.príjem škôl</t>
  </si>
  <si>
    <t>Rozpočet za obec podľa kategórií rok 2024</t>
  </si>
  <si>
    <t>Heľpa, dňa 29.12.2023</t>
  </si>
  <si>
    <t>P-V=školy</t>
  </si>
  <si>
    <t>Eko rozpočet za obec rok 2026</t>
  </si>
  <si>
    <t>zmena OZ 1</t>
  </si>
  <si>
    <t>uskutočnené úpravy v rozpočtových položkách:</t>
  </si>
  <si>
    <t>(zvýšenie/zníženie predchádzajúcej výšky rozpočtu  o uvedenú sumu)</t>
  </si>
  <si>
    <t>PRÍJMY</t>
  </si>
  <si>
    <t xml:space="preserve">Položka </t>
  </si>
  <si>
    <t>Názov</t>
  </si>
  <si>
    <t>Suma v Eur</t>
  </si>
  <si>
    <t>Bežný rozpočet</t>
  </si>
  <si>
    <t>Obec bez rozp.organizácie:</t>
  </si>
  <si>
    <t xml:space="preserve">Vlastný príjem ZUŠ </t>
  </si>
  <si>
    <t>Vlastný príjem ZŠ - projekt</t>
  </si>
  <si>
    <t>Obec spolu:</t>
  </si>
  <si>
    <t>VÝDAVKY</t>
  </si>
  <si>
    <t>Názov prvku/projektu</t>
  </si>
  <si>
    <t>Suma</t>
  </si>
  <si>
    <t xml:space="preserve">presun BT pre ZUŠ </t>
  </si>
  <si>
    <t>presun BT na Základnú školu</t>
  </si>
  <si>
    <t>+ chýba, - minúť</t>
  </si>
  <si>
    <t>Vypracovala: Mgr. A.Tkáčiková</t>
  </si>
  <si>
    <t xml:space="preserve">Vlastný príjem ZŠ </t>
  </si>
  <si>
    <t>RO - školy spolu:</t>
  </si>
  <si>
    <t xml:space="preserve">presun BT na Základnú školu </t>
  </si>
  <si>
    <t>Schválil: Miroslav Lilko</t>
  </si>
  <si>
    <t>Rozpočtové opatrenie starostu obce č. 1/2024</t>
  </si>
  <si>
    <t>Rozpočtové opatrenie OZ č.1/2024</t>
  </si>
  <si>
    <t>prenájom objektov</t>
  </si>
  <si>
    <t>BT UPSVR stravné</t>
  </si>
  <si>
    <t>ŠKJ potraviny</t>
  </si>
  <si>
    <t>Rod.prídavky</t>
  </si>
  <si>
    <t>BT MV SR Matrika</t>
  </si>
  <si>
    <t>BT UPSVR na aktivač.činnosť PUPN - zdroj</t>
  </si>
  <si>
    <t>FP UPSVR na osob.príjemca- rod.prídavky</t>
  </si>
  <si>
    <t>Matrika - plat.poistné</t>
  </si>
  <si>
    <t>BT UUP SR stavebný poriadok-obce</t>
  </si>
  <si>
    <t>BT RUŠS - MŠ vých. a vzdelávanie</t>
  </si>
  <si>
    <t>MŠ - uč.pomôcky</t>
  </si>
  <si>
    <t>BT RUŠS - ZŠ normatív</t>
  </si>
  <si>
    <t>DST zapoj.nevyčerp.FP z min.r.</t>
  </si>
  <si>
    <t>TOS zapoj.nevyčerp.FP z min.r.</t>
  </si>
  <si>
    <t>DST - vratka nepouž.FP</t>
  </si>
  <si>
    <t>TOS - vratka nepouž. FP</t>
  </si>
  <si>
    <t>OSL - vratka nepouž.FP</t>
  </si>
  <si>
    <t>PERS .údržba sotvéru, služby kom.infraštr.,nemoc</t>
  </si>
  <si>
    <t>SpU školstva - služby</t>
  </si>
  <si>
    <t>Dobropisy za vyúčt. Energie</t>
  </si>
  <si>
    <t>FIN -právne služby</t>
  </si>
  <si>
    <t>Obec Heľpa, Farská 588/2, 976 68 Heľpa</t>
  </si>
  <si>
    <t>Operatívna evidencia</t>
  </si>
  <si>
    <t>Por.č.</t>
  </si>
  <si>
    <t>Uz.č.</t>
  </si>
  <si>
    <t>RO č.</t>
  </si>
  <si>
    <t>zo dňa</t>
  </si>
  <si>
    <t>Rozpočtové opatrenie</t>
  </si>
  <si>
    <t>Zmena v príjmoch      v Eur</t>
  </si>
  <si>
    <t>Zmena vo výdavkoch v Eur</t>
  </si>
  <si>
    <t>1.</t>
  </si>
  <si>
    <t>RO ST č.1</t>
  </si>
  <si>
    <t>2.</t>
  </si>
  <si>
    <t>RO OZ č.1</t>
  </si>
  <si>
    <t>3.</t>
  </si>
  <si>
    <t>4.</t>
  </si>
  <si>
    <t>5.</t>
  </si>
  <si>
    <t>6.</t>
  </si>
  <si>
    <t>7.</t>
  </si>
  <si>
    <t>8.</t>
  </si>
  <si>
    <t>9.</t>
  </si>
  <si>
    <t xml:space="preserve">Poznámka: </t>
  </si>
  <si>
    <t>§ 14 ods. 2  písm.:</t>
  </si>
  <si>
    <t>a) presun rozpočtovaných prostriedkov v rámci schváleného rozpočtu, pričom sa nemenia celkové príjmy a celkové výdavky,</t>
  </si>
  <si>
    <t>b) povolené prekročenie a viazanie príjmov,</t>
  </si>
  <si>
    <t>c) povolené prekročenie a viazanie výdavkov,</t>
  </si>
  <si>
    <t>d) povolené prekročenie a viazanie finančných operácií.</t>
  </si>
  <si>
    <t>Schválil: Miroslav Lilko - starosta obce</t>
  </si>
  <si>
    <t>rozpočtových opatrení za rok 2024</t>
  </si>
  <si>
    <t>Refundácie energií</t>
  </si>
  <si>
    <t>PO - dvere, údržba, energie</t>
  </si>
  <si>
    <t>ČOV - energie</t>
  </si>
  <si>
    <t>CO skladník - DVP</t>
  </si>
  <si>
    <t>DC - energie, štiepka</t>
  </si>
  <si>
    <t>BT MV SR refund. DVP  CO skladníka</t>
  </si>
  <si>
    <t>V Heľpe 26.1.2024</t>
  </si>
  <si>
    <t>KUL - Deň matiek</t>
  </si>
  <si>
    <t>zmena ST 1</t>
  </si>
  <si>
    <t>schválený rozpočet</t>
  </si>
  <si>
    <t>BT UUP SR stavebný poriadok</t>
  </si>
  <si>
    <t>Dotácia RUŠS na výchovu,vzdelávanie v MŠ, rozvoj.projekt</t>
  </si>
  <si>
    <t>Dotácia MH SR - kompenzácie energie</t>
  </si>
  <si>
    <t xml:space="preserve">Dotácia MPSVR SR na opatrovateľskú službu </t>
  </si>
  <si>
    <t>Transfer RÚŠS pre ZŠ - právny subjekt</t>
  </si>
  <si>
    <t>ZD - nákup vybavenia</t>
  </si>
  <si>
    <t>PD vodozádržné opatrenia</t>
  </si>
  <si>
    <t>Heľpa 22.2.2024</t>
  </si>
  <si>
    <t>zmena rozpočtu</t>
  </si>
  <si>
    <t>Štúdia nájomné byty Teplica</t>
  </si>
  <si>
    <t>máme v PF</t>
  </si>
  <si>
    <t>Heľpa 15.12.2023</t>
  </si>
  <si>
    <t>Dobudovanie kanalizácie</t>
  </si>
  <si>
    <t>Rekonštrukcia elektroinštalácie -MD</t>
  </si>
  <si>
    <t>Obnova budovy ZUŠ</t>
  </si>
  <si>
    <t>Zapojenie peňažného fondu na investič.akcie</t>
  </si>
  <si>
    <t>§14 ods.2 písm. b), c),d)</t>
  </si>
  <si>
    <t>Pripomienky finančnej komisie k návrhu zmeny rozpočtu na rok 2024 boli zapracované dňa 21.2.2024</t>
  </si>
  <si>
    <t>Pripomienky OZ k návrhu zmeny rozpočtu na rok 2024 boli zapracované dňa 15.2.2024</t>
  </si>
  <si>
    <t>V Heľpe 22.2.2024</t>
  </si>
  <si>
    <t>SpU stavebný - st.poriadok</t>
  </si>
  <si>
    <t>CD - príplatky</t>
  </si>
  <si>
    <t>ŽP - služby, materiál</t>
  </si>
  <si>
    <t>AČ - materiál, OOPP</t>
  </si>
  <si>
    <t>KT MŽP nákup vybavenia ZD</t>
  </si>
  <si>
    <t>OPS - plat, poistné, vybavenie</t>
  </si>
  <si>
    <t>Bezpečnosť (Kamer.systém, bezpeč.projekt, GDPR, OPS)</t>
  </si>
  <si>
    <t>RO - certifikáty, GP, vyjadrenia, DVP</t>
  </si>
  <si>
    <t>KUL - Deň matiek, kult.podujatia</t>
  </si>
  <si>
    <t>Refundácie služieb</t>
  </si>
  <si>
    <t>Dobropisy z vyúčtovania energií</t>
  </si>
  <si>
    <t>Rozpočtové opatrenie starostu obce č. 2/2024</t>
  </si>
  <si>
    <t>OPS - školenie</t>
  </si>
  <si>
    <t>Preventívne prehliadky ŠKJ</t>
  </si>
  <si>
    <t>Obč. poriad. Služba- plat, poistné, materiál, služby</t>
  </si>
  <si>
    <t>CD - plat,poistné,matriál, PHM, servis</t>
  </si>
  <si>
    <t>MŠ - uč.pomôcky z dot., podujatia</t>
  </si>
  <si>
    <t>VEO - materiál, služby</t>
  </si>
  <si>
    <t>Byt štadión vodné, materiál</t>
  </si>
  <si>
    <t>DST - príplatky, poštovné, údržba VT, náhrady</t>
  </si>
  <si>
    <t>BT MIRRI Občianska poriadková služba</t>
  </si>
  <si>
    <t>V Heľpe 23.2.2024</t>
  </si>
  <si>
    <t>299/2024</t>
  </si>
  <si>
    <t>RO ST č.2</t>
  </si>
  <si>
    <t>§14 ods.2 písm. b), c)</t>
  </si>
  <si>
    <t>Zmena Rozpočtu obce Heľpa na rok 2024 rozpočtovým opatrením 1/2024 bola schválená OZ uz.č.299/2024 dňa 22.2.2024</t>
  </si>
  <si>
    <t>skutočnosť 2</t>
  </si>
  <si>
    <t>ZUŠ - en.certifikát, audit</t>
  </si>
  <si>
    <t>ZŠ - en.certifikát, audit</t>
  </si>
  <si>
    <t>RO - Komunitný plán, služby, GP,certifikáty, vyjadrenia</t>
  </si>
  <si>
    <t>RO - vyjadrenia, štiepka</t>
  </si>
  <si>
    <t>ZS - štiepka, údržba, telefón</t>
  </si>
  <si>
    <t>Obnova budovy ZŠ (energ.certifikáty, energ.audit)</t>
  </si>
  <si>
    <t>Záujm.vzdelávanie (semináre,kurzy,školenia)Obnova budovy ZUŠ</t>
  </si>
  <si>
    <t>Dotácia MIRRI  občianska poriadková služba</t>
  </si>
  <si>
    <t>BT FPU - DFF Kolovrátok, Knižnica</t>
  </si>
  <si>
    <t>KUL - FPU DFF Kolovrátok, Knižnica, spolufin.</t>
  </si>
  <si>
    <t>OPS školenia, kurzy</t>
  </si>
  <si>
    <t>zapojenie nevyčerp.prostr.mr. TOS projekt</t>
  </si>
  <si>
    <t>% plnenia</t>
  </si>
  <si>
    <t>zmena ST 2</t>
  </si>
  <si>
    <t>zmena ST 3</t>
  </si>
  <si>
    <t>RO OZ č.2</t>
  </si>
  <si>
    <t>V Heľpe 21.3.2024</t>
  </si>
  <si>
    <t>Obnova budovy ZŠ,  autor.dozor</t>
  </si>
  <si>
    <t>Obnova budovy ZUŠ, autor.dozor</t>
  </si>
  <si>
    <t>PD rekonštrukcia obec.objektov</t>
  </si>
  <si>
    <t>Rozpočtové opatrenie OZ č.2/2024</t>
  </si>
  <si>
    <t>KT SIaEA Obnova budovy ZŠ</t>
  </si>
  <si>
    <t>Nákup techniky ZD</t>
  </si>
  <si>
    <t xml:space="preserve">Obnova budovy ZŠ </t>
  </si>
  <si>
    <t>KT MŽP Nákup techniky ZD</t>
  </si>
  <si>
    <t>Nákup techniky zber.dvora</t>
  </si>
  <si>
    <t>Rekonštrukcia obecných objektov</t>
  </si>
  <si>
    <t>KT MŽP - Nákup techniky zber.dvora</t>
  </si>
  <si>
    <t>KT SIEA Obnova budovy ZŠ</t>
  </si>
  <si>
    <t>zmena OZ 2</t>
  </si>
  <si>
    <t>Nákup techniky zberného dvora</t>
  </si>
  <si>
    <t>Rozpočtové opatrenie starostu obce č. 3/2024</t>
  </si>
  <si>
    <t xml:space="preserve">Pripomienky finančnej komisie k návrhu zmeny rozpočtu na rok 2024 boli zapracované dňa </t>
  </si>
  <si>
    <t>BT UPSVR AČ-PUPN</t>
  </si>
  <si>
    <t>ZD - plat</t>
  </si>
  <si>
    <t>AČ PUPN - plat, materiál, OOPP</t>
  </si>
  <si>
    <t>RO ST č.3</t>
  </si>
  <si>
    <t>BT MŽP NFP Nákup techniky ZD</t>
  </si>
  <si>
    <t>Exter.proj.manažment</t>
  </si>
  <si>
    <t>ŠA - materiál</t>
  </si>
  <si>
    <t>ZD projekt - exter.manažment</t>
  </si>
  <si>
    <t>Heľpa 21.3.2024</t>
  </si>
  <si>
    <t>nájom iných objektov</t>
  </si>
  <si>
    <t>nájom vybavenia</t>
  </si>
  <si>
    <t>BT RÚŠS - ZŠ lyž.kurz</t>
  </si>
  <si>
    <t>FIN - spr.poplatky,dane</t>
  </si>
  <si>
    <t>PERS - DDS, komunik.infraštr, odstupné</t>
  </si>
  <si>
    <t>MATR - plat, energie</t>
  </si>
  <si>
    <t>CD - materiál, PHM</t>
  </si>
  <si>
    <t>ŠKJ - plat, energie</t>
  </si>
  <si>
    <t>KNI - plat, poistné, materiál, knihy</t>
  </si>
  <si>
    <t>V Heľpe 26.3.2024</t>
  </si>
  <si>
    <t>Rozpočtové opatrenie starostu obce č. 4/2024</t>
  </si>
  <si>
    <t>V Heľpe 18.4.2024</t>
  </si>
  <si>
    <t>MŠ - DDS, cestovné</t>
  </si>
  <si>
    <t>OU - DDS, cestovné</t>
  </si>
  <si>
    <t>Dotácia MŽP SR na Nákup techniky zber.dvora</t>
  </si>
  <si>
    <t>Zmena Rozpočtu obce Heľpa na rok 2024 rozpočtovým opatrením 2/2024 bola schválená OZ uz.č.317/2024 dňa 21.3.2024</t>
  </si>
  <si>
    <t>Pripomienky OZ k návrhu zmeny rozpočtu na rok 2024 boli zapracované dňa 15. a 21.3.2024</t>
  </si>
  <si>
    <t>BT SIEA NFP Obnova budovy ZŠ</t>
  </si>
  <si>
    <t>BT SIaEA Obnova budovy ZŠ</t>
  </si>
  <si>
    <t>Dotácia SIEA Obnova budovy ZŠ</t>
  </si>
  <si>
    <t>Rozpočtové opatrenie OZ č.3/2024</t>
  </si>
  <si>
    <t>317/2024</t>
  </si>
  <si>
    <t>BT RÚŠS - ZŠ normatív</t>
  </si>
  <si>
    <t>VS - školenia IKT</t>
  </si>
  <si>
    <t>skutočnosť 3</t>
  </si>
  <si>
    <t>Rekonštrukcia obecných objektov,  elektroinštalácie</t>
  </si>
  <si>
    <t>Heľpa 19.4.2024</t>
  </si>
  <si>
    <t>AMF rekonštrukcia</t>
  </si>
  <si>
    <t>Nákup budov</t>
  </si>
  <si>
    <t>KT BBSK rekonštrukcia AMF</t>
  </si>
  <si>
    <t xml:space="preserve">Vybudovanie vodovodu </t>
  </si>
  <si>
    <t>KT MŽP SR Vybudovanie vodovodu</t>
  </si>
  <si>
    <t>V Heľpe 19.4.2024</t>
  </si>
  <si>
    <t>zmena OZ 3</t>
  </si>
  <si>
    <t>KT BBSK Rekonštrukcia amfiteátra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</si>
</sst>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E_U_R_-;\-* #,##0.00\ _E_U_R_-;_-* &quot;-&quot;??\ _E_U_R_-;_-@_-"/>
    <numFmt numFmtId="165" formatCode="_-* #,##0\ _E_U_R_-;\-* #,##0\ _E_U_R_-;_-* &quot;-&quot;??\ _E_U_R_-;_-@_-"/>
  </numFmts>
  <fonts count="60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sz val="1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4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i/>
      <sz val="11"/>
      <color theme="3" tint="0.59999389629810485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8" tint="0.7999816888943144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Arial CE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name val="Arial CE"/>
    </font>
    <font>
      <b/>
      <sz val="10"/>
      <name val="Arial CE"/>
    </font>
    <font>
      <b/>
      <sz val="9"/>
      <name val="Arial CE"/>
    </font>
    <font>
      <sz val="11"/>
      <color theme="3" tint="0.79998168889431442"/>
      <name val="Calibri"/>
      <family val="2"/>
      <scheme val="minor"/>
    </font>
    <font>
      <b/>
      <sz val="12"/>
      <name val="Arial CE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8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20" fillId="0" borderId="0" applyFont="0" applyFill="0" applyBorder="0" applyAlignment="0" applyProtection="0"/>
    <xf numFmtId="0" fontId="5" fillId="0" borderId="0"/>
    <xf numFmtId="9" fontId="20" fillId="0" borderId="0" applyFont="0" applyFill="0" applyBorder="0" applyAlignment="0" applyProtection="0"/>
  </cellStyleXfs>
  <cellXfs count="760">
    <xf numFmtId="0" fontId="0" fillId="0" borderId="0" xfId="0"/>
    <xf numFmtId="0" fontId="2" fillId="0" borderId="0" xfId="0" applyFont="1"/>
    <xf numFmtId="3" fontId="3" fillId="2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3" fontId="5" fillId="0" borderId="12" xfId="0" applyNumberFormat="1" applyFont="1" applyFill="1" applyBorder="1"/>
    <xf numFmtId="3" fontId="6" fillId="0" borderId="13" xfId="0" applyNumberFormat="1" applyFont="1" applyFill="1" applyBorder="1"/>
    <xf numFmtId="3" fontId="4" fillId="0" borderId="13" xfId="0" applyNumberFormat="1" applyFont="1" applyFill="1" applyBorder="1"/>
    <xf numFmtId="0" fontId="2" fillId="0" borderId="14" xfId="0" applyFont="1" applyFill="1" applyBorder="1"/>
    <xf numFmtId="0" fontId="2" fillId="0" borderId="15" xfId="0" applyFont="1" applyBorder="1"/>
    <xf numFmtId="3" fontId="5" fillId="0" borderId="16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0" fontId="2" fillId="0" borderId="17" xfId="0" applyFont="1" applyFill="1" applyBorder="1"/>
    <xf numFmtId="0" fontId="2" fillId="0" borderId="18" xfId="0" applyFont="1" applyBorder="1"/>
    <xf numFmtId="3" fontId="5" fillId="0" borderId="19" xfId="0" applyNumberFormat="1" applyFont="1" applyBorder="1"/>
    <xf numFmtId="3" fontId="2" fillId="0" borderId="20" xfId="0" applyNumberFormat="1" applyFont="1" applyBorder="1"/>
    <xf numFmtId="3" fontId="2" fillId="0" borderId="20" xfId="0" applyNumberFormat="1" applyFont="1" applyFill="1" applyBorder="1"/>
    <xf numFmtId="0" fontId="2" fillId="0" borderId="21" xfId="0" applyFont="1" applyFill="1" applyBorder="1"/>
    <xf numFmtId="0" fontId="2" fillId="0" borderId="22" xfId="0" applyFont="1" applyBorder="1"/>
    <xf numFmtId="3" fontId="5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Fill="1" applyBorder="1"/>
    <xf numFmtId="0" fontId="2" fillId="0" borderId="25" xfId="0" applyFont="1" applyFill="1" applyBorder="1"/>
    <xf numFmtId="0" fontId="2" fillId="0" borderId="26" xfId="0" applyFont="1" applyBorder="1"/>
    <xf numFmtId="3" fontId="5" fillId="0" borderId="27" xfId="0" applyNumberFormat="1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/>
    <xf numFmtId="3" fontId="2" fillId="0" borderId="0" xfId="0" applyNumberFormat="1" applyFont="1"/>
    <xf numFmtId="0" fontId="2" fillId="0" borderId="28" xfId="0" applyFont="1" applyFill="1" applyBorder="1"/>
    <xf numFmtId="0" fontId="2" fillId="0" borderId="29" xfId="0" applyFont="1" applyBorder="1"/>
    <xf numFmtId="3" fontId="5" fillId="0" borderId="3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7" fillId="0" borderId="24" xfId="0" applyNumberFormat="1" applyFont="1" applyFill="1" applyBorder="1"/>
    <xf numFmtId="3" fontId="5" fillId="0" borderId="23" xfId="0" applyNumberFormat="1" applyFont="1" applyFill="1" applyBorder="1"/>
    <xf numFmtId="0" fontId="2" fillId="0" borderId="10" xfId="0" applyFont="1" applyFill="1" applyBorder="1"/>
    <xf numFmtId="0" fontId="2" fillId="0" borderId="11" xfId="0" applyFont="1" applyBorder="1"/>
    <xf numFmtId="3" fontId="5" fillId="0" borderId="12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Fill="1" applyBorder="1"/>
    <xf numFmtId="3" fontId="6" fillId="0" borderId="9" xfId="0" applyNumberFormat="1" applyFont="1" applyBorder="1"/>
    <xf numFmtId="3" fontId="6" fillId="0" borderId="9" xfId="0" applyNumberFormat="1" applyFont="1" applyFill="1" applyBorder="1"/>
    <xf numFmtId="3" fontId="2" fillId="0" borderId="31" xfId="0" applyNumberFormat="1" applyFont="1" applyBorder="1"/>
    <xf numFmtId="0" fontId="2" fillId="0" borderId="32" xfId="0" applyFont="1" applyFill="1" applyBorder="1"/>
    <xf numFmtId="0" fontId="2" fillId="0" borderId="33" xfId="0" applyFont="1" applyBorder="1"/>
    <xf numFmtId="3" fontId="2" fillId="0" borderId="23" xfId="0" applyNumberFormat="1" applyFont="1" applyBorder="1"/>
    <xf numFmtId="3" fontId="2" fillId="0" borderId="31" xfId="0" applyNumberFormat="1" applyFont="1" applyFill="1" applyBorder="1"/>
    <xf numFmtId="0" fontId="2" fillId="0" borderId="34" xfId="0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10" xfId="0" applyFont="1" applyBorder="1"/>
    <xf numFmtId="0" fontId="4" fillId="0" borderId="3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4" fillId="2" borderId="15" xfId="0" applyFont="1" applyFill="1" applyBorder="1"/>
    <xf numFmtId="0" fontId="8" fillId="0" borderId="21" xfId="0" applyFont="1" applyFill="1" applyBorder="1"/>
    <xf numFmtId="3" fontId="8" fillId="0" borderId="24" xfId="0" applyNumberFormat="1" applyFont="1" applyFill="1" applyBorder="1"/>
    <xf numFmtId="0" fontId="8" fillId="0" borderId="17" xfId="0" applyFont="1" applyFill="1" applyBorder="1"/>
    <xf numFmtId="3" fontId="8" fillId="0" borderId="20" xfId="0" applyNumberFormat="1" applyFont="1" applyFill="1" applyBorder="1"/>
    <xf numFmtId="0" fontId="4" fillId="0" borderId="17" xfId="0" applyFont="1" applyFill="1" applyBorder="1"/>
    <xf numFmtId="0" fontId="4" fillId="0" borderId="22" xfId="0" applyFont="1" applyBorder="1"/>
    <xf numFmtId="3" fontId="5" fillId="0" borderId="20" xfId="0" applyNumberFormat="1" applyFont="1" applyFill="1" applyBorder="1"/>
    <xf numFmtId="0" fontId="8" fillId="0" borderId="25" xfId="0" applyFont="1" applyFill="1" applyBorder="1"/>
    <xf numFmtId="3" fontId="8" fillId="0" borderId="6" xfId="0" applyNumberFormat="1" applyFont="1" applyFill="1" applyBorder="1"/>
    <xf numFmtId="0" fontId="4" fillId="0" borderId="18" xfId="0" applyFont="1" applyBorder="1"/>
    <xf numFmtId="0" fontId="4" fillId="0" borderId="25" xfId="0" applyFont="1" applyFill="1" applyBorder="1"/>
    <xf numFmtId="0" fontId="4" fillId="0" borderId="26" xfId="0" applyFont="1" applyBorder="1"/>
    <xf numFmtId="3" fontId="2" fillId="0" borderId="6" xfId="0" applyNumberFormat="1" applyFont="1" applyFill="1" applyBorder="1"/>
    <xf numFmtId="3" fontId="2" fillId="0" borderId="42" xfId="0" applyNumberFormat="1" applyFont="1" applyFill="1" applyBorder="1"/>
    <xf numFmtId="0" fontId="8" fillId="0" borderId="39" xfId="0" applyFont="1" applyFill="1" applyBorder="1"/>
    <xf numFmtId="3" fontId="7" fillId="0" borderId="20" xfId="0" applyNumberFormat="1" applyFont="1" applyFill="1" applyBorder="1"/>
    <xf numFmtId="0" fontId="4" fillId="0" borderId="21" xfId="0" applyFont="1" applyFill="1" applyBorder="1"/>
    <xf numFmtId="0" fontId="4" fillId="0" borderId="38" xfId="0" applyFont="1" applyBorder="1"/>
    <xf numFmtId="0" fontId="9" fillId="2" borderId="14" xfId="0" applyFont="1" applyFill="1" applyBorder="1"/>
    <xf numFmtId="3" fontId="9" fillId="2" borderId="9" xfId="0" applyNumberFormat="1" applyFont="1" applyFill="1" applyBorder="1" applyAlignment="1">
      <alignment horizontal="right"/>
    </xf>
    <xf numFmtId="0" fontId="6" fillId="4" borderId="17" xfId="0" applyFont="1" applyFill="1" applyBorder="1"/>
    <xf numFmtId="0" fontId="6" fillId="4" borderId="18" xfId="0" applyFont="1" applyFill="1" applyBorder="1"/>
    <xf numFmtId="3" fontId="6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3" fontId="6" fillId="4" borderId="24" xfId="0" applyNumberFormat="1" applyFont="1" applyFill="1" applyBorder="1" applyAlignment="1">
      <alignment horizontal="right"/>
    </xf>
    <xf numFmtId="0" fontId="6" fillId="4" borderId="32" xfId="0" applyFont="1" applyFill="1" applyBorder="1"/>
    <xf numFmtId="0" fontId="6" fillId="4" borderId="33" xfId="0" applyFont="1" applyFill="1" applyBorder="1"/>
    <xf numFmtId="3" fontId="6" fillId="4" borderId="31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0" fontId="6" fillId="4" borderId="40" xfId="0" applyFont="1" applyFill="1" applyBorder="1"/>
    <xf numFmtId="0" fontId="6" fillId="4" borderId="44" xfId="0" applyFont="1" applyFill="1" applyBorder="1"/>
    <xf numFmtId="3" fontId="6" fillId="4" borderId="42" xfId="0" applyNumberFormat="1" applyFont="1" applyFill="1" applyBorder="1" applyAlignment="1">
      <alignment horizontal="right"/>
    </xf>
    <xf numFmtId="3" fontId="9" fillId="4" borderId="9" xfId="0" applyNumberFormat="1" applyFont="1" applyFill="1" applyBorder="1" applyAlignment="1">
      <alignment horizontal="right"/>
    </xf>
    <xf numFmtId="0" fontId="2" fillId="0" borderId="0" xfId="0" applyFont="1" applyFill="1"/>
    <xf numFmtId="0" fontId="9" fillId="0" borderId="0" xfId="0" applyFont="1" applyFill="1" applyBorder="1"/>
    <xf numFmtId="0" fontId="4" fillId="0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0" fontId="3" fillId="5" borderId="14" xfId="0" applyFont="1" applyFill="1" applyBorder="1"/>
    <xf numFmtId="0" fontId="3" fillId="5" borderId="47" xfId="0" applyFont="1" applyFill="1" applyBorder="1"/>
    <xf numFmtId="3" fontId="3" fillId="5" borderId="16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4" fillId="0" borderId="37" xfId="0" applyFont="1" applyBorder="1"/>
    <xf numFmtId="49" fontId="2" fillId="0" borderId="2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4" fillId="0" borderId="34" xfId="0" applyFont="1" applyFill="1" applyBorder="1"/>
    <xf numFmtId="3" fontId="4" fillId="0" borderId="13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5" borderId="47" xfId="0" applyFont="1" applyFill="1" applyBorder="1"/>
    <xf numFmtId="49" fontId="4" fillId="0" borderId="1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right"/>
    </xf>
    <xf numFmtId="0" fontId="4" fillId="0" borderId="52" xfId="0" applyFont="1" applyBorder="1"/>
    <xf numFmtId="0" fontId="4" fillId="0" borderId="41" xfId="0" applyFont="1" applyBorder="1"/>
    <xf numFmtId="3" fontId="4" fillId="0" borderId="0" xfId="0" applyNumberFormat="1" applyFont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right"/>
    </xf>
    <xf numFmtId="0" fontId="4" fillId="0" borderId="39" xfId="0" applyFont="1" applyBorder="1"/>
    <xf numFmtId="49" fontId="4" fillId="0" borderId="21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3" fillId="5" borderId="54" xfId="0" applyFont="1" applyFill="1" applyBorder="1"/>
    <xf numFmtId="0" fontId="2" fillId="5" borderId="55" xfId="0" applyFont="1" applyFill="1" applyBorder="1"/>
    <xf numFmtId="3" fontId="3" fillId="5" borderId="50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49" xfId="0" applyFont="1" applyBorder="1"/>
    <xf numFmtId="3" fontId="6" fillId="0" borderId="24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9" fontId="3" fillId="5" borderId="10" xfId="0" applyNumberFormat="1" applyFont="1" applyFill="1" applyBorder="1" applyAlignment="1">
      <alignment horizontal="left"/>
    </xf>
    <xf numFmtId="0" fontId="3" fillId="5" borderId="34" xfId="0" applyFont="1" applyFill="1" applyBorder="1"/>
    <xf numFmtId="3" fontId="3" fillId="5" borderId="12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0" fontId="4" fillId="0" borderId="38" xfId="0" applyFont="1" applyFill="1" applyBorder="1"/>
    <xf numFmtId="49" fontId="4" fillId="0" borderId="56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49" fontId="4" fillId="0" borderId="57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9" fillId="5" borderId="54" xfId="0" applyFont="1" applyFill="1" applyBorder="1"/>
    <xf numFmtId="3" fontId="9" fillId="5" borderId="51" xfId="0" applyNumberFormat="1" applyFont="1" applyFill="1" applyBorder="1" applyAlignment="1">
      <alignment horizontal="right"/>
    </xf>
    <xf numFmtId="0" fontId="6" fillId="6" borderId="52" xfId="0" applyFont="1" applyFill="1" applyBorder="1"/>
    <xf numFmtId="3" fontId="6" fillId="6" borderId="5" xfId="0" applyNumberFormat="1" applyFont="1" applyFill="1" applyBorder="1" applyAlignment="1">
      <alignment horizontal="right"/>
    </xf>
    <xf numFmtId="49" fontId="6" fillId="6" borderId="36" xfId="0" applyNumberFormat="1" applyFont="1" applyFill="1" applyBorder="1" applyAlignment="1">
      <alignment horizontal="right"/>
    </xf>
    <xf numFmtId="0" fontId="6" fillId="6" borderId="37" xfId="0" applyFont="1" applyFill="1" applyBorder="1"/>
    <xf numFmtId="3" fontId="6" fillId="6" borderId="24" xfId="0" applyNumberFormat="1" applyFont="1" applyFill="1" applyBorder="1" applyAlignment="1">
      <alignment horizontal="right"/>
    </xf>
    <xf numFmtId="0" fontId="6" fillId="6" borderId="39" xfId="0" applyFont="1" applyFill="1" applyBorder="1"/>
    <xf numFmtId="3" fontId="6" fillId="6" borderId="6" xfId="0" applyNumberFormat="1" applyFont="1" applyFill="1" applyBorder="1" applyAlignment="1">
      <alignment horizontal="right"/>
    </xf>
    <xf numFmtId="49" fontId="6" fillId="6" borderId="35" xfId="0" applyNumberFormat="1" applyFont="1" applyFill="1" applyBorder="1" applyAlignment="1">
      <alignment horizontal="right"/>
    </xf>
    <xf numFmtId="0" fontId="6" fillId="6" borderId="38" xfId="0" applyFont="1" applyFill="1" applyBorder="1"/>
    <xf numFmtId="3" fontId="6" fillId="6" borderId="20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49" fontId="4" fillId="4" borderId="56" xfId="0" applyNumberFormat="1" applyFont="1" applyFill="1" applyBorder="1" applyAlignment="1">
      <alignment horizontal="right"/>
    </xf>
    <xf numFmtId="0" fontId="6" fillId="4" borderId="52" xfId="0" applyFont="1" applyFill="1" applyBorder="1"/>
    <xf numFmtId="3" fontId="6" fillId="4" borderId="5" xfId="0" applyNumberFormat="1" applyFont="1" applyFill="1" applyBorder="1" applyAlignment="1">
      <alignment horizontal="right"/>
    </xf>
    <xf numFmtId="49" fontId="4" fillId="4" borderId="35" xfId="0" applyNumberFormat="1" applyFont="1" applyFill="1" applyBorder="1" applyAlignment="1">
      <alignment horizontal="right"/>
    </xf>
    <xf numFmtId="0" fontId="6" fillId="4" borderId="38" xfId="0" applyFont="1" applyFill="1" applyBorder="1"/>
    <xf numFmtId="3" fontId="10" fillId="4" borderId="51" xfId="0" applyNumberFormat="1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0" fontId="9" fillId="5" borderId="14" xfId="0" applyFont="1" applyFill="1" applyBorder="1"/>
    <xf numFmtId="3" fontId="9" fillId="5" borderId="9" xfId="0" applyNumberFormat="1" applyFont="1" applyFill="1" applyBorder="1" applyAlignment="1">
      <alignment horizontal="right"/>
    </xf>
    <xf numFmtId="3" fontId="9" fillId="9" borderId="16" xfId="0" applyNumberFormat="1" applyFont="1" applyFill="1" applyBorder="1" applyAlignment="1"/>
    <xf numFmtId="3" fontId="4" fillId="0" borderId="27" xfId="0" applyNumberFormat="1" applyFont="1" applyFill="1" applyBorder="1" applyAlignment="1"/>
    <xf numFmtId="3" fontId="4" fillId="0" borderId="58" xfId="0" applyNumberFormat="1" applyFont="1" applyFill="1" applyBorder="1" applyAlignment="1"/>
    <xf numFmtId="0" fontId="4" fillId="0" borderId="36" xfId="0" applyFont="1" applyFill="1" applyBorder="1"/>
    <xf numFmtId="3" fontId="4" fillId="0" borderId="23" xfId="0" applyNumberFormat="1" applyFont="1" applyFill="1" applyBorder="1" applyAlignment="1"/>
    <xf numFmtId="0" fontId="4" fillId="0" borderId="35" xfId="0" applyFont="1" applyFill="1" applyBorder="1"/>
    <xf numFmtId="3" fontId="4" fillId="0" borderId="19" xfId="0" applyNumberFormat="1" applyFont="1" applyFill="1" applyBorder="1" applyAlignment="1"/>
    <xf numFmtId="0" fontId="4" fillId="0" borderId="24" xfId="0" applyFont="1" applyBorder="1"/>
    <xf numFmtId="0" fontId="5" fillId="0" borderId="18" xfId="0" applyFont="1" applyBorder="1"/>
    <xf numFmtId="3" fontId="5" fillId="0" borderId="30" xfId="0" applyNumberFormat="1" applyFont="1" applyFill="1" applyBorder="1" applyAlignment="1"/>
    <xf numFmtId="49" fontId="5" fillId="0" borderId="2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/>
    <xf numFmtId="3" fontId="5" fillId="0" borderId="27" xfId="0" applyNumberFormat="1" applyFont="1" applyFill="1" applyBorder="1" applyAlignment="1"/>
    <xf numFmtId="3" fontId="5" fillId="0" borderId="12" xfId="0" applyNumberFormat="1" applyFont="1" applyFill="1" applyBorder="1" applyAlignment="1"/>
    <xf numFmtId="49" fontId="5" fillId="0" borderId="35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/>
    <xf numFmtId="49" fontId="5" fillId="0" borderId="60" xfId="0" applyNumberFormat="1" applyFont="1" applyFill="1" applyBorder="1" applyAlignment="1">
      <alignment horizontal="right"/>
    </xf>
    <xf numFmtId="0" fontId="5" fillId="0" borderId="44" xfId="0" applyFont="1" applyBorder="1"/>
    <xf numFmtId="3" fontId="5" fillId="0" borderId="53" xfId="0" applyNumberFormat="1" applyFont="1" applyFill="1" applyBorder="1" applyAlignment="1"/>
    <xf numFmtId="3" fontId="5" fillId="0" borderId="58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49" fontId="5" fillId="0" borderId="35" xfId="0" applyNumberFormat="1" applyFont="1" applyBorder="1" applyAlignment="1">
      <alignment horizontal="right"/>
    </xf>
    <xf numFmtId="49" fontId="5" fillId="0" borderId="57" xfId="0" applyNumberFormat="1" applyFont="1" applyBorder="1" applyAlignment="1">
      <alignment horizontal="right"/>
    </xf>
    <xf numFmtId="49" fontId="5" fillId="0" borderId="33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57" xfId="0" applyFont="1" applyBorder="1"/>
    <xf numFmtId="0" fontId="2" fillId="0" borderId="33" xfId="0" applyFont="1" applyFill="1" applyBorder="1"/>
    <xf numFmtId="3" fontId="7" fillId="0" borderId="31" xfId="0" applyNumberFormat="1" applyFont="1" applyFill="1" applyBorder="1" applyAlignment="1">
      <alignment horizontal="right"/>
    </xf>
    <xf numFmtId="0" fontId="2" fillId="0" borderId="59" xfId="0" applyFont="1" applyBorder="1"/>
    <xf numFmtId="0" fontId="2" fillId="0" borderId="26" xfId="0" applyFont="1" applyFill="1" applyBorder="1"/>
    <xf numFmtId="3" fontId="7" fillId="0" borderId="6" xfId="0" applyNumberFormat="1" applyFont="1" applyFill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6" fillId="0" borderId="28" xfId="0" applyFont="1" applyBorder="1"/>
    <xf numFmtId="3" fontId="4" fillId="0" borderId="5" xfId="0" applyNumberFormat="1" applyFont="1" applyBorder="1"/>
    <xf numFmtId="0" fontId="16" fillId="0" borderId="21" xfId="0" applyFont="1" applyBorder="1"/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/>
    <xf numFmtId="3" fontId="9" fillId="10" borderId="24" xfId="0" applyNumberFormat="1" applyFont="1" applyFill="1" applyBorder="1"/>
    <xf numFmtId="0" fontId="16" fillId="0" borderId="36" xfId="0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3" fontId="4" fillId="0" borderId="24" xfId="0" applyNumberFormat="1" applyFont="1" applyFill="1" applyBorder="1"/>
    <xf numFmtId="3" fontId="9" fillId="10" borderId="31" xfId="0" applyNumberFormat="1" applyFont="1" applyFill="1" applyBorder="1"/>
    <xf numFmtId="0" fontId="18" fillId="2" borderId="7" xfId="0" applyFont="1" applyFill="1" applyBorder="1" applyAlignment="1"/>
    <xf numFmtId="0" fontId="19" fillId="2" borderId="8" xfId="0" applyFont="1" applyFill="1" applyBorder="1" applyAlignment="1"/>
    <xf numFmtId="3" fontId="9" fillId="2" borderId="9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10" xfId="0" applyFont="1" applyFill="1" applyBorder="1"/>
    <xf numFmtId="3" fontId="8" fillId="0" borderId="13" xfId="0" applyNumberFormat="1" applyFont="1" applyFill="1" applyBorder="1"/>
    <xf numFmtId="0" fontId="2" fillId="0" borderId="47" xfId="0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39" xfId="0" applyFont="1" applyBorder="1"/>
    <xf numFmtId="3" fontId="3" fillId="2" borderId="16" xfId="0" applyNumberFormat="1" applyFont="1" applyFill="1" applyBorder="1" applyAlignment="1">
      <alignment horizontal="right"/>
    </xf>
    <xf numFmtId="3" fontId="3" fillId="2" borderId="63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12" xfId="0" applyFont="1" applyBorder="1"/>
    <xf numFmtId="0" fontId="4" fillId="2" borderId="47" xfId="0" applyFont="1" applyFill="1" applyBorder="1"/>
    <xf numFmtId="0" fontId="8" fillId="0" borderId="37" xfId="0" applyFont="1" applyFill="1" applyBorder="1"/>
    <xf numFmtId="0" fontId="8" fillId="0" borderId="34" xfId="0" applyFont="1" applyFill="1" applyBorder="1"/>
    <xf numFmtId="0" fontId="2" fillId="0" borderId="37" xfId="0" applyFont="1" applyFill="1" applyBorder="1"/>
    <xf numFmtId="0" fontId="6" fillId="0" borderId="37" xfId="0" applyFont="1" applyFill="1" applyBorder="1"/>
    <xf numFmtId="0" fontId="2" fillId="2" borderId="47" xfId="0" applyFont="1" applyFill="1" applyBorder="1"/>
    <xf numFmtId="0" fontId="8" fillId="0" borderId="46" xfId="0" applyFont="1" applyFill="1" applyBorder="1"/>
    <xf numFmtId="3" fontId="2" fillId="0" borderId="48" xfId="0" applyNumberFormat="1" applyFont="1" applyBorder="1"/>
    <xf numFmtId="0" fontId="4" fillId="0" borderId="48" xfId="0" applyFont="1" applyBorder="1"/>
    <xf numFmtId="3" fontId="8" fillId="0" borderId="23" xfId="0" applyNumberFormat="1" applyFont="1" applyFill="1" applyBorder="1"/>
    <xf numFmtId="3" fontId="8" fillId="0" borderId="19" xfId="0" applyNumberFormat="1" applyFont="1" applyFill="1" applyBorder="1"/>
    <xf numFmtId="3" fontId="2" fillId="0" borderId="19" xfId="0" applyNumberFormat="1" applyFont="1" applyBorder="1"/>
    <xf numFmtId="3" fontId="4" fillId="0" borderId="19" xfId="0" applyNumberFormat="1" applyFont="1" applyBorder="1"/>
    <xf numFmtId="3" fontId="8" fillId="0" borderId="12" xfId="0" applyNumberFormat="1" applyFont="1" applyFill="1" applyBorder="1"/>
    <xf numFmtId="3" fontId="4" fillId="0" borderId="27" xfId="0" applyNumberFormat="1" applyFont="1" applyBorder="1"/>
    <xf numFmtId="3" fontId="8" fillId="0" borderId="27" xfId="0" applyNumberFormat="1" applyFont="1" applyFill="1" applyBorder="1"/>
    <xf numFmtId="3" fontId="2" fillId="0" borderId="23" xfId="0" applyNumberFormat="1" applyFont="1" applyFill="1" applyBorder="1"/>
    <xf numFmtId="3" fontId="6" fillId="0" borderId="23" xfId="0" applyNumberFormat="1" applyFont="1" applyFill="1" applyBorder="1"/>
    <xf numFmtId="3" fontId="9" fillId="2" borderId="16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6" fillId="0" borderId="49" xfId="0" applyNumberFormat="1" applyFont="1" applyFill="1" applyBorder="1"/>
    <xf numFmtId="3" fontId="7" fillId="0" borderId="49" xfId="0" applyNumberFormat="1" applyFont="1" applyBorder="1"/>
    <xf numFmtId="3" fontId="7" fillId="0" borderId="2" xfId="0" applyNumberFormat="1" applyFont="1" applyBorder="1"/>
    <xf numFmtId="3" fontId="2" fillId="0" borderId="46" xfId="0" applyNumberFormat="1" applyFont="1" applyBorder="1"/>
    <xf numFmtId="3" fontId="7" fillId="0" borderId="48" xfId="0" applyNumberFormat="1" applyFont="1" applyBorder="1"/>
    <xf numFmtId="3" fontId="2" fillId="0" borderId="49" xfId="0" applyNumberFormat="1" applyFont="1" applyFill="1" applyBorder="1"/>
    <xf numFmtId="3" fontId="7" fillId="0" borderId="49" xfId="0" applyNumberFormat="1" applyFont="1" applyFill="1" applyBorder="1"/>
    <xf numFmtId="3" fontId="9" fillId="2" borderId="8" xfId="0" applyNumberFormat="1" applyFont="1" applyFill="1" applyBorder="1" applyAlignment="1">
      <alignment horizontal="right"/>
    </xf>
    <xf numFmtId="3" fontId="2" fillId="0" borderId="27" xfId="0" applyNumberFormat="1" applyFont="1" applyBorder="1"/>
    <xf numFmtId="3" fontId="7" fillId="0" borderId="19" xfId="0" applyNumberFormat="1" applyFont="1" applyFill="1" applyBorder="1"/>
    <xf numFmtId="3" fontId="7" fillId="0" borderId="23" xfId="0" applyNumberFormat="1" applyFont="1" applyFill="1" applyBorder="1"/>
    <xf numFmtId="3" fontId="2" fillId="0" borderId="19" xfId="0" applyNumberFormat="1" applyFont="1" applyFill="1" applyBorder="1"/>
    <xf numFmtId="0" fontId="2" fillId="0" borderId="18" xfId="0" applyFont="1" applyFill="1" applyBorder="1"/>
    <xf numFmtId="0" fontId="2" fillId="0" borderId="56" xfId="0" applyFont="1" applyBorder="1"/>
    <xf numFmtId="0" fontId="2" fillId="0" borderId="29" xfId="0" applyFont="1" applyFill="1" applyBorder="1"/>
    <xf numFmtId="3" fontId="7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3" fontId="8" fillId="0" borderId="64" xfId="0" applyNumberFormat="1" applyFont="1" applyFill="1" applyBorder="1"/>
    <xf numFmtId="3" fontId="8" fillId="0" borderId="65" xfId="0" applyNumberFormat="1" applyFont="1" applyFill="1" applyBorder="1"/>
    <xf numFmtId="3" fontId="2" fillId="0" borderId="65" xfId="0" applyNumberFormat="1" applyFont="1" applyBorder="1"/>
    <xf numFmtId="3" fontId="5" fillId="0" borderId="65" xfId="0" applyNumberFormat="1" applyFont="1" applyBorder="1"/>
    <xf numFmtId="3" fontId="8" fillId="0" borderId="66" xfId="0" applyNumberFormat="1" applyFont="1" applyFill="1" applyBorder="1"/>
    <xf numFmtId="3" fontId="8" fillId="0" borderId="67" xfId="0" applyNumberFormat="1" applyFont="1" applyFill="1" applyBorder="1"/>
    <xf numFmtId="3" fontId="2" fillId="0" borderId="65" xfId="0" applyNumberFormat="1" applyFont="1" applyFill="1" applyBorder="1"/>
    <xf numFmtId="3" fontId="7" fillId="0" borderId="46" xfId="0" applyNumberFormat="1" applyFont="1" applyBorder="1"/>
    <xf numFmtId="0" fontId="5" fillId="0" borderId="24" xfId="0" applyFont="1" applyFill="1" applyBorder="1"/>
    <xf numFmtId="0" fontId="2" fillId="0" borderId="36" xfId="0" applyFont="1" applyBorder="1"/>
    <xf numFmtId="0" fontId="2" fillId="0" borderId="22" xfId="0" applyFont="1" applyFill="1" applyBorder="1"/>
    <xf numFmtId="3" fontId="9" fillId="12" borderId="9" xfId="0" applyNumberFormat="1" applyFont="1" applyFill="1" applyBorder="1" applyAlignment="1">
      <alignment horizontal="right"/>
    </xf>
    <xf numFmtId="0" fontId="8" fillId="0" borderId="38" xfId="0" applyFont="1" applyFill="1" applyBorder="1"/>
    <xf numFmtId="3" fontId="10" fillId="4" borderId="42" xfId="0" applyNumberFormat="1" applyFont="1" applyFill="1" applyBorder="1" applyAlignment="1">
      <alignment horizontal="right"/>
    </xf>
    <xf numFmtId="0" fontId="6" fillId="4" borderId="56" xfId="0" applyFont="1" applyFill="1" applyBorder="1" applyAlignment="1">
      <alignment horizontal="left"/>
    </xf>
    <xf numFmtId="3" fontId="10" fillId="4" borderId="5" xfId="0" applyNumberFormat="1" applyFont="1" applyFill="1" applyBorder="1" applyAlignment="1">
      <alignment horizontal="right"/>
    </xf>
    <xf numFmtId="3" fontId="6" fillId="4" borderId="27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0" fillId="0" borderId="0" xfId="0" applyNumberFormat="1"/>
    <xf numFmtId="3" fontId="5" fillId="14" borderId="23" xfId="0" applyNumberFormat="1" applyFont="1" applyFill="1" applyBorder="1" applyAlignment="1"/>
    <xf numFmtId="0" fontId="22" fillId="0" borderId="0" xfId="0" applyFont="1"/>
    <xf numFmtId="0" fontId="23" fillId="15" borderId="16" xfId="0" applyFont="1" applyFill="1" applyBorder="1" applyAlignment="1">
      <alignment horizontal="center" vertical="center"/>
    </xf>
    <xf numFmtId="3" fontId="23" fillId="15" borderId="16" xfId="0" applyNumberFormat="1" applyFont="1" applyFill="1" applyBorder="1" applyAlignment="1">
      <alignment horizontal="center" vertical="center" wrapText="1"/>
    </xf>
    <xf numFmtId="3" fontId="24" fillId="16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right"/>
    </xf>
    <xf numFmtId="0" fontId="5" fillId="0" borderId="19" xfId="0" applyFont="1" applyBorder="1"/>
    <xf numFmtId="3" fontId="26" fillId="16" borderId="19" xfId="0" applyNumberFormat="1" applyFont="1" applyFill="1" applyBorder="1"/>
    <xf numFmtId="3" fontId="27" fillId="0" borderId="0" xfId="0" applyNumberFormat="1" applyFont="1"/>
    <xf numFmtId="0" fontId="25" fillId="0" borderId="14" xfId="0" applyFont="1" applyBorder="1"/>
    <xf numFmtId="0" fontId="25" fillId="0" borderId="15" xfId="0" applyFont="1" applyBorder="1"/>
    <xf numFmtId="0" fontId="25" fillId="0" borderId="9" xfId="0" applyFont="1" applyBorder="1"/>
    <xf numFmtId="49" fontId="5" fillId="0" borderId="23" xfId="0" applyNumberFormat="1" applyFont="1" applyFill="1" applyBorder="1" applyAlignment="1">
      <alignment horizontal="right"/>
    </xf>
    <xf numFmtId="0" fontId="28" fillId="0" borderId="21" xfId="0" applyFont="1" applyBorder="1"/>
    <xf numFmtId="3" fontId="29" fillId="0" borderId="22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right"/>
    </xf>
    <xf numFmtId="3" fontId="26" fillId="16" borderId="30" xfId="0" applyNumberFormat="1" applyFont="1" applyFill="1" applyBorder="1"/>
    <xf numFmtId="0" fontId="28" fillId="0" borderId="21" xfId="0" applyFont="1" applyFill="1" applyBorder="1"/>
    <xf numFmtId="3" fontId="26" fillId="16" borderId="23" xfId="0" applyNumberFormat="1" applyFont="1" applyFill="1" applyBorder="1"/>
    <xf numFmtId="49" fontId="5" fillId="0" borderId="53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right"/>
    </xf>
    <xf numFmtId="3" fontId="5" fillId="17" borderId="27" xfId="0" applyNumberFormat="1" applyFont="1" applyFill="1" applyBorder="1" applyAlignment="1"/>
    <xf numFmtId="3" fontId="26" fillId="16" borderId="27" xfId="0" applyNumberFormat="1" applyFont="1" applyFill="1" applyBorder="1"/>
    <xf numFmtId="3" fontId="28" fillId="0" borderId="22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/>
    </xf>
    <xf numFmtId="0" fontId="5" fillId="0" borderId="53" xfId="0" applyFont="1" applyFill="1" applyBorder="1"/>
    <xf numFmtId="3" fontId="33" fillId="15" borderId="63" xfId="0" applyNumberFormat="1" applyFont="1" applyFill="1" applyBorder="1"/>
    <xf numFmtId="3" fontId="32" fillId="0" borderId="19" xfId="0" applyNumberFormat="1" applyFont="1" applyFill="1" applyBorder="1" applyAlignment="1"/>
    <xf numFmtId="0" fontId="5" fillId="0" borderId="20" xfId="0" applyFont="1" applyBorder="1"/>
    <xf numFmtId="3" fontId="0" fillId="0" borderId="19" xfId="0" applyNumberFormat="1" applyFill="1" applyBorder="1"/>
    <xf numFmtId="49" fontId="32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3" fontId="33" fillId="0" borderId="0" xfId="0" applyNumberFormat="1" applyFont="1" applyFill="1" applyBorder="1"/>
    <xf numFmtId="3" fontId="35" fillId="0" borderId="0" xfId="0" applyNumberFormat="1" applyFont="1"/>
    <xf numFmtId="3" fontId="11" fillId="0" borderId="0" xfId="0" applyNumberFormat="1" applyFont="1" applyFill="1" applyBorder="1"/>
    <xf numFmtId="3" fontId="27" fillId="0" borderId="0" xfId="0" applyNumberFormat="1" applyFont="1" applyFill="1"/>
    <xf numFmtId="0" fontId="0" fillId="0" borderId="0" xfId="0" applyFill="1"/>
    <xf numFmtId="3" fontId="32" fillId="0" borderId="0" xfId="0" applyNumberFormat="1" applyFont="1"/>
    <xf numFmtId="0" fontId="22" fillId="0" borderId="0" xfId="0" applyFont="1" applyFill="1"/>
    <xf numFmtId="0" fontId="30" fillId="0" borderId="32" xfId="0" applyFont="1" applyFill="1" applyBorder="1"/>
    <xf numFmtId="3" fontId="30" fillId="0" borderId="33" xfId="0" applyNumberFormat="1" applyFont="1" applyFill="1" applyBorder="1" applyAlignment="1">
      <alignment horizontal="right"/>
    </xf>
    <xf numFmtId="0" fontId="25" fillId="14" borderId="14" xfId="0" applyFont="1" applyFill="1" applyBorder="1"/>
    <xf numFmtId="3" fontId="31" fillId="14" borderId="15" xfId="0" applyNumberFormat="1" applyFont="1" applyFill="1" applyBorder="1" applyAlignment="1">
      <alignment horizontal="right"/>
    </xf>
    <xf numFmtId="164" fontId="25" fillId="14" borderId="9" xfId="1" applyNumberFormat="1" applyFont="1" applyFill="1" applyBorder="1"/>
    <xf numFmtId="3" fontId="36" fillId="0" borderId="0" xfId="0" applyNumberFormat="1" applyFont="1" applyBorder="1"/>
    <xf numFmtId="3" fontId="26" fillId="16" borderId="16" xfId="0" applyNumberFormat="1" applyFont="1" applyFill="1" applyBorder="1"/>
    <xf numFmtId="0" fontId="6" fillId="0" borderId="22" xfId="0" applyFont="1" applyFill="1" applyBorder="1" applyAlignment="1">
      <alignment horizontal="left"/>
    </xf>
    <xf numFmtId="3" fontId="6" fillId="0" borderId="48" xfId="0" applyNumberFormat="1" applyFont="1" applyFill="1" applyBorder="1"/>
    <xf numFmtId="0" fontId="4" fillId="0" borderId="46" xfId="0" applyFont="1" applyBorder="1"/>
    <xf numFmtId="3" fontId="2" fillId="0" borderId="27" xfId="0" applyNumberFormat="1" applyFont="1" applyFill="1" applyBorder="1"/>
    <xf numFmtId="3" fontId="2" fillId="0" borderId="67" xfId="0" applyNumberFormat="1" applyFont="1" applyFill="1" applyBorder="1"/>
    <xf numFmtId="164" fontId="28" fillId="0" borderId="24" xfId="1" applyNumberFormat="1" applyFont="1" applyBorder="1"/>
    <xf numFmtId="165" fontId="28" fillId="0" borderId="24" xfId="1" applyNumberFormat="1" applyFont="1" applyBorder="1"/>
    <xf numFmtId="3" fontId="27" fillId="0" borderId="0" xfId="0" applyNumberFormat="1" applyFont="1" applyBorder="1"/>
    <xf numFmtId="165" fontId="28" fillId="0" borderId="24" xfId="1" applyNumberFormat="1" applyFont="1" applyFill="1" applyBorder="1" applyAlignment="1">
      <alignment horizontal="left"/>
    </xf>
    <xf numFmtId="165" fontId="28" fillId="0" borderId="24" xfId="1" applyNumberFormat="1" applyFont="1" applyFill="1" applyBorder="1"/>
    <xf numFmtId="0" fontId="28" fillId="0" borderId="32" xfId="0" applyFont="1" applyFill="1" applyBorder="1"/>
    <xf numFmtId="3" fontId="28" fillId="0" borderId="33" xfId="0" applyNumberFormat="1" applyFont="1" applyFill="1" applyBorder="1" applyAlignment="1">
      <alignment horizontal="right"/>
    </xf>
    <xf numFmtId="165" fontId="28" fillId="0" borderId="31" xfId="1" applyNumberFormat="1" applyFont="1" applyFill="1" applyBorder="1"/>
    <xf numFmtId="164" fontId="28" fillId="0" borderId="31" xfId="1" applyNumberFormat="1" applyFont="1" applyFill="1" applyBorder="1"/>
    <xf numFmtId="3" fontId="7" fillId="0" borderId="0" xfId="0" applyNumberFormat="1" applyFont="1"/>
    <xf numFmtId="0" fontId="3" fillId="18" borderId="5" xfId="0" applyFont="1" applyFill="1" applyBorder="1" applyAlignment="1">
      <alignment horizontal="center" vertical="center" wrapText="1"/>
    </xf>
    <xf numFmtId="0" fontId="2" fillId="0" borderId="60" xfId="0" applyFont="1" applyBorder="1"/>
    <xf numFmtId="3" fontId="7" fillId="0" borderId="42" xfId="0" applyNumberFormat="1" applyFont="1" applyFill="1" applyBorder="1" applyAlignment="1">
      <alignment horizontal="right"/>
    </xf>
    <xf numFmtId="0" fontId="0" fillId="19" borderId="14" xfId="0" applyFill="1" applyBorder="1"/>
    <xf numFmtId="0" fontId="0" fillId="19" borderId="15" xfId="0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0" borderId="17" xfId="0" applyBorder="1"/>
    <xf numFmtId="3" fontId="0" fillId="0" borderId="18" xfId="0" applyNumberFormat="1" applyBorder="1"/>
    <xf numFmtId="3" fontId="0" fillId="0" borderId="38" xfId="0" applyNumberFormat="1" applyBorder="1"/>
    <xf numFmtId="3" fontId="0" fillId="20" borderId="19" xfId="0" applyNumberFormat="1" applyFill="1" applyBorder="1"/>
    <xf numFmtId="0" fontId="0" fillId="0" borderId="21" xfId="0" applyBorder="1"/>
    <xf numFmtId="3" fontId="0" fillId="0" borderId="22" xfId="0" applyNumberFormat="1" applyBorder="1"/>
    <xf numFmtId="3" fontId="0" fillId="0" borderId="37" xfId="0" applyNumberFormat="1" applyBorder="1"/>
    <xf numFmtId="0" fontId="0" fillId="0" borderId="32" xfId="0" applyBorder="1"/>
    <xf numFmtId="3" fontId="0" fillId="0" borderId="33" xfId="0" applyNumberFormat="1" applyBorder="1"/>
    <xf numFmtId="3" fontId="0" fillId="0" borderId="69" xfId="0" applyNumberFormat="1" applyBorder="1"/>
    <xf numFmtId="3" fontId="38" fillId="0" borderId="0" xfId="0" applyNumberFormat="1" applyFont="1"/>
    <xf numFmtId="3" fontId="0" fillId="19" borderId="15" xfId="0" applyNumberFormat="1" applyFill="1" applyBorder="1"/>
    <xf numFmtId="3" fontId="0" fillId="19" borderId="47" xfId="0" applyNumberFormat="1" applyFill="1" applyBorder="1"/>
    <xf numFmtId="3" fontId="0" fillId="20" borderId="16" xfId="0" applyNumberFormat="1" applyFill="1" applyBorder="1"/>
    <xf numFmtId="3" fontId="0" fillId="0" borderId="18" xfId="0" applyNumberFormat="1" applyFill="1" applyBorder="1"/>
    <xf numFmtId="0" fontId="39" fillId="0" borderId="0" xfId="0" applyFont="1"/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4" xfId="0" applyBorder="1"/>
    <xf numFmtId="0" fontId="0" fillId="0" borderId="32" xfId="0" applyBorder="1" applyAlignment="1">
      <alignment horizontal="right"/>
    </xf>
    <xf numFmtId="0" fontId="0" fillId="0" borderId="33" xfId="0" applyBorder="1"/>
    <xf numFmtId="0" fontId="0" fillId="0" borderId="31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0" fillId="0" borderId="40" xfId="0" applyBorder="1"/>
    <xf numFmtId="3" fontId="0" fillId="0" borderId="44" xfId="0" applyNumberFormat="1" applyBorder="1"/>
    <xf numFmtId="3" fontId="0" fillId="0" borderId="41" xfId="0" applyNumberFormat="1" applyBorder="1"/>
    <xf numFmtId="3" fontId="0" fillId="20" borderId="53" xfId="0" applyNumberFormat="1" applyFill="1" applyBorder="1"/>
    <xf numFmtId="0" fontId="0" fillId="0" borderId="18" xfId="0" applyBorder="1"/>
    <xf numFmtId="0" fontId="0" fillId="0" borderId="44" xfId="0" applyBorder="1"/>
    <xf numFmtId="0" fontId="0" fillId="11" borderId="14" xfId="0" applyFill="1" applyBorder="1"/>
    <xf numFmtId="3" fontId="0" fillId="11" borderId="15" xfId="0" applyNumberFormat="1" applyFill="1" applyBorder="1"/>
    <xf numFmtId="3" fontId="0" fillId="11" borderId="47" xfId="0" applyNumberFormat="1" applyFill="1" applyBorder="1"/>
    <xf numFmtId="3" fontId="0" fillId="11" borderId="16" xfId="0" applyNumberFormat="1" applyFill="1" applyBorder="1"/>
    <xf numFmtId="0" fontId="37" fillId="19" borderId="14" xfId="0" applyFont="1" applyFill="1" applyBorder="1" applyAlignment="1">
      <alignment horizontal="center"/>
    </xf>
    <xf numFmtId="3" fontId="37" fillId="19" borderId="15" xfId="0" applyNumberFormat="1" applyFont="1" applyFill="1" applyBorder="1"/>
    <xf numFmtId="3" fontId="37" fillId="19" borderId="16" xfId="0" applyNumberFormat="1" applyFont="1" applyFill="1" applyBorder="1"/>
    <xf numFmtId="3" fontId="39" fillId="0" borderId="0" xfId="0" applyNumberFormat="1" applyFont="1"/>
    <xf numFmtId="3" fontId="0" fillId="11" borderId="19" xfId="0" applyNumberFormat="1" applyFill="1" applyBorder="1"/>
    <xf numFmtId="0" fontId="0" fillId="11" borderId="54" xfId="0" applyFill="1" applyBorder="1"/>
    <xf numFmtId="3" fontId="0" fillId="11" borderId="70" xfId="0" applyNumberFormat="1" applyFill="1" applyBorder="1"/>
    <xf numFmtId="3" fontId="0" fillId="11" borderId="53" xfId="0" applyNumberFormat="1" applyFill="1" applyBorder="1"/>
    <xf numFmtId="0" fontId="0" fillId="0" borderId="0" xfId="0" applyAlignment="1">
      <alignment horizontal="right"/>
    </xf>
    <xf numFmtId="0" fontId="4" fillId="0" borderId="40" xfId="0" applyFont="1" applyFill="1" applyBorder="1"/>
    <xf numFmtId="3" fontId="4" fillId="0" borderId="53" xfId="0" applyNumberFormat="1" applyFont="1" applyBorder="1"/>
    <xf numFmtId="3" fontId="2" fillId="0" borderId="53" xfId="0" applyNumberFormat="1" applyFont="1" applyFill="1" applyBorder="1"/>
    <xf numFmtId="3" fontId="4" fillId="0" borderId="23" xfId="0" applyNumberFormat="1" applyFont="1" applyBorder="1"/>
    <xf numFmtId="0" fontId="8" fillId="0" borderId="40" xfId="0" applyFont="1" applyFill="1" applyBorder="1"/>
    <xf numFmtId="0" fontId="8" fillId="0" borderId="41" xfId="0" applyFont="1" applyFill="1" applyBorder="1"/>
    <xf numFmtId="0" fontId="2" fillId="0" borderId="44" xfId="0" applyFont="1" applyFill="1" applyBorder="1"/>
    <xf numFmtId="0" fontId="2" fillId="0" borderId="35" xfId="0" applyFont="1" applyBorder="1"/>
    <xf numFmtId="3" fontId="7" fillId="0" borderId="20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 vertical="center"/>
    </xf>
    <xf numFmtId="3" fontId="40" fillId="0" borderId="0" xfId="0" applyNumberFormat="1" applyFont="1"/>
    <xf numFmtId="0" fontId="41" fillId="0" borderId="0" xfId="0" applyFont="1" applyAlignment="1">
      <alignment horizontal="right"/>
    </xf>
    <xf numFmtId="3" fontId="41" fillId="0" borderId="0" xfId="0" applyNumberFormat="1" applyFont="1"/>
    <xf numFmtId="0" fontId="41" fillId="0" borderId="0" xfId="0" applyFont="1"/>
    <xf numFmtId="0" fontId="5" fillId="0" borderId="20" xfId="0" applyFont="1" applyFill="1" applyBorder="1"/>
    <xf numFmtId="49" fontId="5" fillId="0" borderId="37" xfId="0" applyNumberFormat="1" applyFont="1" applyFill="1" applyBorder="1" applyAlignment="1">
      <alignment horizontal="left"/>
    </xf>
    <xf numFmtId="0" fontId="2" fillId="0" borderId="41" xfId="0" applyFont="1" applyBorder="1"/>
    <xf numFmtId="3" fontId="8" fillId="0" borderId="31" xfId="0" applyNumberFormat="1" applyFont="1" applyFill="1" applyBorder="1"/>
    <xf numFmtId="3" fontId="5" fillId="0" borderId="31" xfId="0" applyNumberFormat="1" applyFont="1" applyFill="1" applyBorder="1"/>
    <xf numFmtId="3" fontId="5" fillId="0" borderId="24" xfId="0" applyNumberFormat="1" applyFont="1" applyFill="1" applyBorder="1"/>
    <xf numFmtId="49" fontId="6" fillId="6" borderId="28" xfId="0" applyNumberFormat="1" applyFont="1" applyFill="1" applyBorder="1" applyAlignment="1">
      <alignment horizontal="right"/>
    </xf>
    <xf numFmtId="49" fontId="6" fillId="6" borderId="17" xfId="0" applyNumberFormat="1" applyFont="1" applyFill="1" applyBorder="1" applyAlignment="1">
      <alignment horizontal="right"/>
    </xf>
    <xf numFmtId="49" fontId="6" fillId="6" borderId="21" xfId="0" applyNumberFormat="1" applyFont="1" applyFill="1" applyBorder="1" applyAlignment="1">
      <alignment horizontal="right"/>
    </xf>
    <xf numFmtId="49" fontId="6" fillId="6" borderId="25" xfId="0" applyNumberFormat="1" applyFont="1" applyFill="1" applyBorder="1" applyAlignment="1">
      <alignment horizontal="right"/>
    </xf>
    <xf numFmtId="0" fontId="4" fillId="0" borderId="60" xfId="0" applyFont="1" applyFill="1" applyBorder="1"/>
    <xf numFmtId="0" fontId="42" fillId="4" borderId="17" xfId="0" applyFont="1" applyFill="1" applyBorder="1"/>
    <xf numFmtId="0" fontId="42" fillId="4" borderId="18" xfId="0" applyFont="1" applyFill="1" applyBorder="1"/>
    <xf numFmtId="3" fontId="42" fillId="0" borderId="19" xfId="0" applyNumberFormat="1" applyFont="1" applyBorder="1"/>
    <xf numFmtId="0" fontId="42" fillId="4" borderId="48" xfId="0" applyFont="1" applyFill="1" applyBorder="1"/>
    <xf numFmtId="3" fontId="42" fillId="4" borderId="19" xfId="0" applyNumberFormat="1" applyFont="1" applyFill="1" applyBorder="1"/>
    <xf numFmtId="3" fontId="42" fillId="4" borderId="65" xfId="0" applyNumberFormat="1" applyFont="1" applyFill="1" applyBorder="1"/>
    <xf numFmtId="3" fontId="42" fillId="4" borderId="20" xfId="0" applyNumberFormat="1" applyFont="1" applyFill="1" applyBorder="1"/>
    <xf numFmtId="0" fontId="42" fillId="4" borderId="21" xfId="0" applyFont="1" applyFill="1" applyBorder="1"/>
    <xf numFmtId="0" fontId="42" fillId="4" borderId="37" xfId="0" applyFont="1" applyFill="1" applyBorder="1"/>
    <xf numFmtId="3" fontId="42" fillId="4" borderId="23" xfId="0" applyNumberFormat="1" applyFont="1" applyFill="1" applyBorder="1"/>
    <xf numFmtId="0" fontId="42" fillId="4" borderId="49" xfId="0" applyFont="1" applyFill="1" applyBorder="1"/>
    <xf numFmtId="3" fontId="42" fillId="4" borderId="64" xfId="0" applyNumberFormat="1" applyFont="1" applyFill="1" applyBorder="1"/>
    <xf numFmtId="3" fontId="42" fillId="4" borderId="24" xfId="0" applyNumberFormat="1" applyFont="1" applyFill="1" applyBorder="1"/>
    <xf numFmtId="3" fontId="43" fillId="0" borderId="0" xfId="0" applyNumberFormat="1" applyFont="1"/>
    <xf numFmtId="49" fontId="5" fillId="0" borderId="27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left"/>
    </xf>
    <xf numFmtId="0" fontId="4" fillId="0" borderId="20" xfId="0" applyFont="1" applyBorder="1"/>
    <xf numFmtId="14" fontId="7" fillId="0" borderId="0" xfId="0" applyNumberFormat="1" applyFont="1"/>
    <xf numFmtId="3" fontId="26" fillId="16" borderId="12" xfId="0" applyNumberFormat="1" applyFont="1" applyFill="1" applyBorder="1"/>
    <xf numFmtId="0" fontId="5" fillId="0" borderId="30" xfId="0" applyFont="1" applyFill="1" applyBorder="1"/>
    <xf numFmtId="49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3" fontId="44" fillId="0" borderId="0" xfId="0" applyNumberFormat="1" applyFont="1"/>
    <xf numFmtId="3" fontId="43" fillId="0" borderId="48" xfId="0" applyNumberFormat="1" applyFont="1" applyBorder="1"/>
    <xf numFmtId="3" fontId="45" fillId="0" borderId="0" xfId="0" applyNumberFormat="1" applyFont="1"/>
    <xf numFmtId="0" fontId="43" fillId="0" borderId="0" xfId="0" applyFont="1" applyAlignment="1">
      <alignment horizontal="right"/>
    </xf>
    <xf numFmtId="49" fontId="5" fillId="0" borderId="38" xfId="0" applyNumberFormat="1" applyFont="1" applyFill="1" applyBorder="1" applyAlignment="1">
      <alignment horizontal="left"/>
    </xf>
    <xf numFmtId="0" fontId="5" fillId="0" borderId="34" xfId="0" applyFont="1" applyBorder="1"/>
    <xf numFmtId="3" fontId="46" fillId="0" borderId="0" xfId="0" applyNumberFormat="1" applyFont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3" fontId="0" fillId="0" borderId="26" xfId="0" applyNumberFormat="1" applyFill="1" applyBorder="1"/>
    <xf numFmtId="0" fontId="0" fillId="0" borderId="25" xfId="0" applyBorder="1" applyAlignment="1">
      <alignment horizontal="right"/>
    </xf>
    <xf numFmtId="3" fontId="0" fillId="0" borderId="33" xfId="0" applyNumberFormat="1" applyFill="1" applyBorder="1"/>
    <xf numFmtId="0" fontId="0" fillId="0" borderId="31" xfId="0" applyFill="1" applyBorder="1"/>
    <xf numFmtId="0" fontId="37" fillId="11" borderId="14" xfId="0" applyFont="1" applyFill="1" applyBorder="1"/>
    <xf numFmtId="3" fontId="37" fillId="11" borderId="15" xfId="0" applyNumberFormat="1" applyFont="1" applyFill="1" applyBorder="1"/>
    <xf numFmtId="3" fontId="37" fillId="11" borderId="47" xfId="0" applyNumberFormat="1" applyFont="1" applyFill="1" applyBorder="1"/>
    <xf numFmtId="3" fontId="37" fillId="11" borderId="14" xfId="0" applyNumberFormat="1" applyFont="1" applyFill="1" applyBorder="1"/>
    <xf numFmtId="3" fontId="37" fillId="11" borderId="9" xfId="0" applyNumberFormat="1" applyFont="1" applyFill="1" applyBorder="1"/>
    <xf numFmtId="0" fontId="0" fillId="20" borderId="2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0" fontId="47" fillId="0" borderId="0" xfId="0" applyFont="1" applyFill="1" applyBorder="1"/>
    <xf numFmtId="3" fontId="47" fillId="0" borderId="0" xfId="0" applyNumberFormat="1" applyFont="1" applyFill="1" applyBorder="1"/>
    <xf numFmtId="0" fontId="46" fillId="0" borderId="0" xfId="0" applyFont="1"/>
    <xf numFmtId="0" fontId="0" fillId="0" borderId="0" xfId="0" applyAlignment="1"/>
    <xf numFmtId="0" fontId="49" fillId="0" borderId="0" xfId="0" applyFont="1" applyAlignment="1">
      <alignment horizontal="center"/>
    </xf>
    <xf numFmtId="0" fontId="49" fillId="5" borderId="54" xfId="0" applyFont="1" applyFill="1" applyBorder="1" applyAlignment="1">
      <alignment horizontal="center"/>
    </xf>
    <xf numFmtId="0" fontId="49" fillId="5" borderId="70" xfId="0" applyFont="1" applyFill="1" applyBorder="1" applyAlignment="1">
      <alignment horizontal="center"/>
    </xf>
    <xf numFmtId="0" fontId="49" fillId="5" borderId="51" xfId="0" applyFont="1" applyFill="1" applyBorder="1" applyAlignment="1">
      <alignment horizontal="center"/>
    </xf>
    <xf numFmtId="3" fontId="49" fillId="16" borderId="9" xfId="0" applyNumberFormat="1" applyFont="1" applyFill="1" applyBorder="1" applyAlignment="1">
      <alignment horizontal="right"/>
    </xf>
    <xf numFmtId="0" fontId="6" fillId="16" borderId="17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left"/>
    </xf>
    <xf numFmtId="3" fontId="6" fillId="16" borderId="20" xfId="0" applyNumberFormat="1" applyFont="1" applyFill="1" applyBorder="1" applyAlignment="1">
      <alignment horizontal="right"/>
    </xf>
    <xf numFmtId="3" fontId="49" fillId="10" borderId="9" xfId="0" applyNumberFormat="1" applyFont="1" applyFill="1" applyBorder="1" applyAlignment="1"/>
    <xf numFmtId="0" fontId="8" fillId="21" borderId="35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left"/>
    </xf>
    <xf numFmtId="3" fontId="8" fillId="21" borderId="20" xfId="0" applyNumberFormat="1" applyFont="1" applyFill="1" applyBorder="1" applyAlignment="1">
      <alignment horizontal="right"/>
    </xf>
    <xf numFmtId="3" fontId="49" fillId="7" borderId="9" xfId="0" applyNumberFormat="1" applyFont="1" applyFill="1" applyBorder="1" applyAlignment="1"/>
    <xf numFmtId="0" fontId="0" fillId="7" borderId="56" xfId="0" applyFill="1" applyBorder="1" applyAlignment="1">
      <alignment horizontal="center"/>
    </xf>
    <xf numFmtId="0" fontId="0" fillId="7" borderId="29" xfId="0" applyFill="1" applyBorder="1"/>
    <xf numFmtId="3" fontId="0" fillId="7" borderId="5" xfId="0" applyNumberFormat="1" applyFill="1" applyBorder="1"/>
    <xf numFmtId="0" fontId="0" fillId="7" borderId="59" xfId="0" applyFill="1" applyBorder="1" applyAlignment="1">
      <alignment horizontal="center"/>
    </xf>
    <xf numFmtId="0" fontId="0" fillId="7" borderId="18" xfId="0" applyFill="1" applyBorder="1"/>
    <xf numFmtId="3" fontId="0" fillId="7" borderId="6" xfId="0" applyNumberFormat="1" applyFill="1" applyBorder="1"/>
    <xf numFmtId="3" fontId="10" fillId="5" borderId="9" xfId="0" applyNumberFormat="1" applyFont="1" applyFill="1" applyBorder="1"/>
    <xf numFmtId="0" fontId="0" fillId="0" borderId="28" xfId="0" applyBorder="1"/>
    <xf numFmtId="0" fontId="0" fillId="0" borderId="29" xfId="0" applyFill="1" applyBorder="1"/>
    <xf numFmtId="3" fontId="0" fillId="0" borderId="5" xfId="0" applyNumberFormat="1" applyBorder="1"/>
    <xf numFmtId="0" fontId="0" fillId="0" borderId="44" xfId="0" applyFill="1" applyBorder="1"/>
    <xf numFmtId="3" fontId="0" fillId="0" borderId="42" xfId="0" applyNumberFormat="1" applyBorder="1"/>
    <xf numFmtId="3" fontId="32" fillId="5" borderId="9" xfId="0" applyNumberFormat="1" applyFont="1" applyFill="1" applyBorder="1"/>
    <xf numFmtId="0" fontId="0" fillId="0" borderId="0" xfId="0" applyFill="1" applyBorder="1"/>
    <xf numFmtId="0" fontId="49" fillId="5" borderId="28" xfId="0" applyFont="1" applyFill="1" applyBorder="1" applyAlignment="1">
      <alignment horizontal="center" wrapText="1"/>
    </xf>
    <xf numFmtId="0" fontId="49" fillId="5" borderId="29" xfId="0" applyFont="1" applyFill="1" applyBorder="1" applyAlignment="1">
      <alignment horizontal="center"/>
    </xf>
    <xf numFmtId="3" fontId="49" fillId="5" borderId="5" xfId="0" applyNumberFormat="1" applyFont="1" applyFill="1" applyBorder="1" applyAlignment="1">
      <alignment horizontal="center"/>
    </xf>
    <xf numFmtId="3" fontId="10" fillId="16" borderId="9" xfId="0" applyNumberFormat="1" applyFont="1" applyFill="1" applyBorder="1" applyAlignment="1">
      <alignment horizontal="right"/>
    </xf>
    <xf numFmtId="49" fontId="6" fillId="16" borderId="35" xfId="0" applyNumberFormat="1" applyFont="1" applyFill="1" applyBorder="1" applyAlignment="1">
      <alignment horizontal="center"/>
    </xf>
    <xf numFmtId="49" fontId="6" fillId="16" borderId="18" xfId="0" applyNumberFormat="1" applyFont="1" applyFill="1" applyBorder="1" applyAlignment="1">
      <alignment horizontal="left" vertical="center"/>
    </xf>
    <xf numFmtId="49" fontId="8" fillId="16" borderId="1" xfId="0" applyNumberFormat="1" applyFont="1" applyFill="1" applyBorder="1" applyAlignment="1">
      <alignment horizontal="center"/>
    </xf>
    <xf numFmtId="49" fontId="8" fillId="16" borderId="2" xfId="0" applyNumberFormat="1" applyFont="1" applyFill="1" applyBorder="1" applyAlignment="1">
      <alignment horizontal="center"/>
    </xf>
    <xf numFmtId="49" fontId="8" fillId="16" borderId="66" xfId="0" applyNumberFormat="1" applyFont="1" applyFill="1" applyBorder="1" applyAlignment="1">
      <alignment horizontal="center"/>
    </xf>
    <xf numFmtId="3" fontId="49" fillId="10" borderId="63" xfId="0" applyNumberFormat="1" applyFont="1" applyFill="1" applyBorder="1" applyAlignment="1"/>
    <xf numFmtId="49" fontId="8" fillId="21" borderId="32" xfId="0" applyNumberFormat="1" applyFont="1" applyFill="1" applyBorder="1" applyAlignment="1">
      <alignment horizontal="center"/>
    </xf>
    <xf numFmtId="0" fontId="8" fillId="10" borderId="22" xfId="0" applyFont="1" applyFill="1" applyBorder="1" applyAlignment="1">
      <alignment horizontal="left"/>
    </xf>
    <xf numFmtId="3" fontId="8" fillId="21" borderId="31" xfId="0" applyNumberFormat="1" applyFont="1" applyFill="1" applyBorder="1" applyAlignment="1">
      <alignment horizontal="right"/>
    </xf>
    <xf numFmtId="0" fontId="8" fillId="10" borderId="33" xfId="0" applyFont="1" applyFill="1" applyBorder="1" applyAlignment="1">
      <alignment horizontal="left"/>
    </xf>
    <xf numFmtId="0" fontId="6" fillId="7" borderId="35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left"/>
    </xf>
    <xf numFmtId="3" fontId="6" fillId="7" borderId="20" xfId="0" applyNumberFormat="1" applyFont="1" applyFill="1" applyBorder="1" applyAlignment="1"/>
    <xf numFmtId="49" fontId="5" fillId="7" borderId="1" xfId="0" applyNumberFormat="1" applyFont="1" applyFill="1" applyBorder="1" applyAlignment="1">
      <alignment horizontal="center"/>
    </xf>
    <xf numFmtId="0" fontId="5" fillId="7" borderId="11" xfId="0" applyFont="1" applyFill="1" applyBorder="1"/>
    <xf numFmtId="3" fontId="0" fillId="13" borderId="13" xfId="0" applyNumberFormat="1" applyFill="1" applyBorder="1"/>
    <xf numFmtId="49" fontId="0" fillId="0" borderId="17" xfId="0" applyNumberFormat="1" applyFill="1" applyBorder="1"/>
    <xf numFmtId="0" fontId="5" fillId="0" borderId="18" xfId="0" applyFont="1" applyFill="1" applyBorder="1"/>
    <xf numFmtId="3" fontId="0" fillId="0" borderId="20" xfId="0" applyNumberFormat="1" applyFill="1" applyBorder="1"/>
    <xf numFmtId="49" fontId="0" fillId="0" borderId="10" xfId="0" applyNumberFormat="1" applyFill="1" applyBorder="1"/>
    <xf numFmtId="0" fontId="5" fillId="0" borderId="11" xfId="0" applyFont="1" applyFill="1" applyBorder="1"/>
    <xf numFmtId="3" fontId="0" fillId="0" borderId="13" xfId="0" applyNumberFormat="1" applyFill="1" applyBorder="1"/>
    <xf numFmtId="49" fontId="51" fillId="0" borderId="0" xfId="0" applyNumberFormat="1" applyFont="1" applyAlignment="1">
      <alignment horizontal="right"/>
    </xf>
    <xf numFmtId="0" fontId="5" fillId="0" borderId="0" xfId="0" applyFont="1"/>
    <xf numFmtId="0" fontId="6" fillId="7" borderId="18" xfId="0" applyFont="1" applyFill="1" applyBorder="1" applyAlignment="1">
      <alignment horizontal="left"/>
    </xf>
    <xf numFmtId="3" fontId="6" fillId="7" borderId="20" xfId="0" applyNumberFormat="1" applyFont="1" applyFill="1" applyBorder="1" applyAlignment="1">
      <alignment horizontal="right"/>
    </xf>
    <xf numFmtId="0" fontId="0" fillId="7" borderId="35" xfId="0" applyFill="1" applyBorder="1" applyAlignment="1">
      <alignment horizontal="center"/>
    </xf>
    <xf numFmtId="3" fontId="0" fillId="7" borderId="20" xfId="0" applyNumberFormat="1" applyFill="1" applyBorder="1"/>
    <xf numFmtId="3" fontId="0" fillId="19" borderId="9" xfId="0" applyNumberFormat="1" applyFill="1" applyBorder="1"/>
    <xf numFmtId="49" fontId="8" fillId="21" borderId="56" xfId="0" applyNumberFormat="1" applyFont="1" applyFill="1" applyBorder="1" applyAlignment="1">
      <alignment horizontal="center"/>
    </xf>
    <xf numFmtId="0" fontId="8" fillId="10" borderId="29" xfId="0" applyFont="1" applyFill="1" applyBorder="1" applyAlignment="1">
      <alignment horizontal="left"/>
    </xf>
    <xf numFmtId="3" fontId="8" fillId="21" borderId="5" xfId="0" applyNumberFormat="1" applyFont="1" applyFill="1" applyBorder="1" applyAlignment="1">
      <alignment horizontal="right"/>
    </xf>
    <xf numFmtId="49" fontId="8" fillId="21" borderId="36" xfId="0" applyNumberFormat="1" applyFont="1" applyFill="1" applyBorder="1" applyAlignment="1">
      <alignment horizontal="center"/>
    </xf>
    <xf numFmtId="3" fontId="8" fillId="21" borderId="24" xfId="0" applyNumberFormat="1" applyFont="1" applyFill="1" applyBorder="1" applyAlignment="1">
      <alignment horizontal="right"/>
    </xf>
    <xf numFmtId="49" fontId="8" fillId="21" borderId="1" xfId="0" applyNumberFormat="1" applyFont="1" applyFill="1" applyBorder="1" applyAlignment="1">
      <alignment horizontal="center"/>
    </xf>
    <xf numFmtId="0" fontId="8" fillId="10" borderId="11" xfId="0" applyFont="1" applyFill="1" applyBorder="1" applyAlignment="1">
      <alignment horizontal="left"/>
    </xf>
    <xf numFmtId="3" fontId="8" fillId="21" borderId="13" xfId="0" applyNumberFormat="1" applyFont="1" applyFill="1" applyBorder="1" applyAlignment="1">
      <alignment horizontal="right"/>
    </xf>
    <xf numFmtId="49" fontId="5" fillId="7" borderId="35" xfId="0" applyNumberFormat="1" applyFont="1" applyFill="1" applyBorder="1" applyAlignment="1">
      <alignment horizontal="center"/>
    </xf>
    <xf numFmtId="0" fontId="5" fillId="7" borderId="18" xfId="0" applyFont="1" applyFill="1" applyBorder="1"/>
    <xf numFmtId="3" fontId="0" fillId="13" borderId="20" xfId="0" applyNumberFormat="1" applyFill="1" applyBorder="1"/>
    <xf numFmtId="0" fontId="53" fillId="5" borderId="14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center" vertical="center"/>
    </xf>
    <xf numFmtId="0" fontId="53" fillId="5" borderId="47" xfId="0" applyFont="1" applyFill="1" applyBorder="1" applyAlignment="1">
      <alignment horizontal="center" vertical="center"/>
    </xf>
    <xf numFmtId="49" fontId="53" fillId="5" borderId="15" xfId="0" applyNumberFormat="1" applyFont="1" applyFill="1" applyBorder="1" applyAlignment="1">
      <alignment horizontal="center" vertical="center" wrapText="1"/>
    </xf>
    <xf numFmtId="0" fontId="53" fillId="5" borderId="9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/>
    </xf>
    <xf numFmtId="14" fontId="54" fillId="0" borderId="29" xfId="0" applyNumberFormat="1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3" fontId="54" fillId="0" borderId="29" xfId="0" applyNumberFormat="1" applyFont="1" applyBorder="1"/>
    <xf numFmtId="3" fontId="54" fillId="0" borderId="5" xfId="0" applyNumberFormat="1" applyFont="1" applyBorder="1"/>
    <xf numFmtId="0" fontId="55" fillId="0" borderId="21" xfId="0" applyFont="1" applyBorder="1" applyAlignment="1">
      <alignment horizontal="center"/>
    </xf>
    <xf numFmtId="14" fontId="55" fillId="0" borderId="22" xfId="0" applyNumberFormat="1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14" fontId="54" fillId="0" borderId="22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3" fontId="54" fillId="0" borderId="22" xfId="0" applyNumberFormat="1" applyFont="1" applyBorder="1"/>
    <xf numFmtId="3" fontId="54" fillId="0" borderId="24" xfId="0" applyNumberFormat="1" applyFont="1" applyBorder="1"/>
    <xf numFmtId="0" fontId="54" fillId="0" borderId="17" xfId="0" applyFont="1" applyBorder="1" applyAlignment="1">
      <alignment horizontal="center"/>
    </xf>
    <xf numFmtId="14" fontId="54" fillId="0" borderId="18" xfId="0" applyNumberFormat="1" applyFont="1" applyBorder="1" applyAlignment="1">
      <alignment horizontal="center"/>
    </xf>
    <xf numFmtId="3" fontId="54" fillId="0" borderId="18" xfId="0" applyNumberFormat="1" applyFont="1" applyBorder="1"/>
    <xf numFmtId="3" fontId="54" fillId="0" borderId="20" xfId="0" applyNumberFormat="1" applyFont="1" applyBorder="1"/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3" fontId="54" fillId="0" borderId="11" xfId="0" applyNumberFormat="1" applyFont="1" applyBorder="1"/>
    <xf numFmtId="3" fontId="54" fillId="0" borderId="13" xfId="0" applyNumberFormat="1" applyFont="1" applyBorder="1"/>
    <xf numFmtId="0" fontId="53" fillId="0" borderId="0" xfId="0" applyFont="1"/>
    <xf numFmtId="0" fontId="54" fillId="0" borderId="0" xfId="0" applyFont="1"/>
    <xf numFmtId="3" fontId="2" fillId="22" borderId="24" xfId="0" applyNumberFormat="1" applyFont="1" applyFill="1" applyBorder="1"/>
    <xf numFmtId="3" fontId="6" fillId="22" borderId="24" xfId="0" applyNumberFormat="1" applyFont="1" applyFill="1" applyBorder="1" applyAlignment="1">
      <alignment horizontal="right"/>
    </xf>
    <xf numFmtId="3" fontId="4" fillId="22" borderId="24" xfId="0" applyNumberFormat="1" applyFont="1" applyFill="1" applyBorder="1" applyAlignment="1">
      <alignment horizontal="right"/>
    </xf>
    <xf numFmtId="3" fontId="7" fillId="22" borderId="24" xfId="0" applyNumberFormat="1" applyFont="1" applyFill="1" applyBorder="1" applyAlignment="1">
      <alignment horizontal="right"/>
    </xf>
    <xf numFmtId="3" fontId="2" fillId="22" borderId="20" xfId="0" applyNumberFormat="1" applyFont="1" applyFill="1" applyBorder="1"/>
    <xf numFmtId="3" fontId="2" fillId="22" borderId="6" xfId="0" applyNumberFormat="1" applyFont="1" applyFill="1" applyBorder="1"/>
    <xf numFmtId="3" fontId="7" fillId="22" borderId="20" xfId="0" applyNumberFormat="1" applyFont="1" applyFill="1" applyBorder="1"/>
    <xf numFmtId="3" fontId="7" fillId="22" borderId="24" xfId="0" applyNumberFormat="1" applyFont="1" applyFill="1" applyBorder="1"/>
    <xf numFmtId="3" fontId="42" fillId="22" borderId="24" xfId="0" applyNumberFormat="1" applyFont="1" applyFill="1" applyBorder="1"/>
    <xf numFmtId="3" fontId="6" fillId="22" borderId="51" xfId="0" applyNumberFormat="1" applyFont="1" applyFill="1" applyBorder="1" applyAlignment="1">
      <alignment horizontal="right"/>
    </xf>
    <xf numFmtId="3" fontId="4" fillId="22" borderId="13" xfId="0" applyNumberFormat="1" applyFont="1" applyFill="1" applyBorder="1" applyAlignment="1">
      <alignment horizontal="right"/>
    </xf>
    <xf numFmtId="3" fontId="6" fillId="22" borderId="5" xfId="0" applyNumberFormat="1" applyFont="1" applyFill="1" applyBorder="1" applyAlignment="1">
      <alignment horizontal="right"/>
    </xf>
    <xf numFmtId="3" fontId="4" fillId="22" borderId="20" xfId="0" applyNumberFormat="1" applyFont="1" applyFill="1" applyBorder="1" applyAlignment="1">
      <alignment horizontal="right"/>
    </xf>
    <xf numFmtId="0" fontId="2" fillId="0" borderId="21" xfId="0" applyFont="1" applyBorder="1"/>
    <xf numFmtId="3" fontId="57" fillId="0" borderId="0" xfId="0" applyNumberFormat="1" applyFont="1"/>
    <xf numFmtId="3" fontId="4" fillId="22" borderId="23" xfId="0" applyNumberFormat="1" applyFont="1" applyFill="1" applyBorder="1" applyAlignment="1">
      <alignment horizontal="right"/>
    </xf>
    <xf numFmtId="3" fontId="6" fillId="22" borderId="19" xfId="0" applyNumberFormat="1" applyFont="1" applyFill="1" applyBorder="1" applyAlignment="1">
      <alignment horizontal="right"/>
    </xf>
    <xf numFmtId="3" fontId="4" fillId="22" borderId="27" xfId="0" applyNumberFormat="1" applyFont="1" applyFill="1" applyBorder="1" applyAlignment="1">
      <alignment horizontal="right"/>
    </xf>
    <xf numFmtId="3" fontId="4" fillId="22" borderId="31" xfId="0" applyNumberFormat="1" applyFont="1" applyFill="1" applyBorder="1" applyAlignment="1">
      <alignment horizontal="right"/>
    </xf>
    <xf numFmtId="0" fontId="5" fillId="22" borderId="0" xfId="0" applyFont="1" applyFill="1" applyBorder="1"/>
    <xf numFmtId="3" fontId="5" fillId="22" borderId="53" xfId="0" applyNumberFormat="1" applyFont="1" applyFill="1" applyBorder="1" applyAlignment="1"/>
    <xf numFmtId="0" fontId="0" fillId="22" borderId="0" xfId="0" applyFill="1"/>
    <xf numFmtId="49" fontId="5" fillId="22" borderId="26" xfId="0" applyNumberFormat="1" applyFont="1" applyFill="1" applyBorder="1" applyAlignment="1">
      <alignment horizontal="left"/>
    </xf>
    <xf numFmtId="3" fontId="5" fillId="22" borderId="27" xfId="0" applyNumberFormat="1" applyFont="1" applyFill="1" applyBorder="1" applyAlignment="1"/>
    <xf numFmtId="49" fontId="5" fillId="22" borderId="23" xfId="0" applyNumberFormat="1" applyFont="1" applyFill="1" applyBorder="1" applyAlignment="1">
      <alignment horizontal="left"/>
    </xf>
    <xf numFmtId="3" fontId="5" fillId="22" borderId="23" xfId="0" applyNumberFormat="1" applyFont="1" applyFill="1" applyBorder="1" applyAlignment="1"/>
    <xf numFmtId="0" fontId="5" fillId="22" borderId="20" xfId="0" applyFont="1" applyFill="1" applyBorder="1"/>
    <xf numFmtId="3" fontId="0" fillId="22" borderId="19" xfId="0" applyNumberFormat="1" applyFill="1" applyBorder="1"/>
    <xf numFmtId="49" fontId="5" fillId="22" borderId="58" xfId="0" applyNumberFormat="1" applyFont="1" applyFill="1" applyBorder="1" applyAlignment="1">
      <alignment horizontal="left"/>
    </xf>
    <xf numFmtId="3" fontId="5" fillId="22" borderId="58" xfId="0" applyNumberFormat="1" applyFont="1" applyFill="1" applyBorder="1" applyAlignment="1"/>
    <xf numFmtId="3" fontId="28" fillId="22" borderId="22" xfId="0" applyNumberFormat="1" applyFont="1" applyFill="1" applyBorder="1" applyAlignment="1">
      <alignment horizontal="right"/>
    </xf>
    <xf numFmtId="0" fontId="28" fillId="22" borderId="21" xfId="0" applyFont="1" applyFill="1" applyBorder="1"/>
    <xf numFmtId="0" fontId="28" fillId="22" borderId="32" xfId="0" applyFont="1" applyFill="1" applyBorder="1"/>
    <xf numFmtId="3" fontId="28" fillId="22" borderId="33" xfId="0" applyNumberFormat="1" applyFont="1" applyFill="1" applyBorder="1" applyAlignment="1">
      <alignment horizontal="right"/>
    </xf>
    <xf numFmtId="49" fontId="5" fillId="17" borderId="26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left"/>
    </xf>
    <xf numFmtId="3" fontId="4" fillId="22" borderId="19" xfId="0" applyNumberFormat="1" applyFont="1" applyFill="1" applyBorder="1" applyAlignment="1"/>
    <xf numFmtId="3" fontId="5" fillId="22" borderId="19" xfId="0" applyNumberFormat="1" applyFont="1" applyFill="1" applyBorder="1" applyAlignment="1"/>
    <xf numFmtId="0" fontId="2" fillId="0" borderId="1" xfId="0" applyFont="1" applyBorder="1"/>
    <xf numFmtId="0" fontId="2" fillId="0" borderId="11" xfId="0" applyFont="1" applyFill="1" applyBorder="1"/>
    <xf numFmtId="3" fontId="7" fillId="0" borderId="13" xfId="0" applyNumberFormat="1" applyFont="1" applyFill="1" applyBorder="1" applyAlignment="1">
      <alignment horizontal="right"/>
    </xf>
    <xf numFmtId="3" fontId="7" fillId="22" borderId="6" xfId="0" applyNumberFormat="1" applyFont="1" applyFill="1" applyBorder="1" applyAlignment="1">
      <alignment horizontal="right"/>
    </xf>
    <xf numFmtId="3" fontId="58" fillId="0" borderId="0" xfId="0" applyNumberFormat="1" applyFont="1"/>
    <xf numFmtId="0" fontId="49" fillId="0" borderId="0" xfId="0" applyFont="1" applyAlignment="1">
      <alignment horizontal="center"/>
    </xf>
    <xf numFmtId="3" fontId="59" fillId="0" borderId="0" xfId="0" applyNumberFormat="1" applyFont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right"/>
    </xf>
    <xf numFmtId="3" fontId="6" fillId="22" borderId="20" xfId="0" applyNumberFormat="1" applyFont="1" applyFill="1" applyBorder="1" applyAlignment="1">
      <alignment horizontal="right"/>
    </xf>
    <xf numFmtId="3" fontId="8" fillId="22" borderId="20" xfId="0" applyNumberFormat="1" applyFont="1" applyFill="1" applyBorder="1"/>
    <xf numFmtId="9" fontId="6" fillId="0" borderId="0" xfId="3" applyFont="1" applyFill="1" applyBorder="1" applyAlignment="1">
      <alignment horizontal="right"/>
    </xf>
    <xf numFmtId="0" fontId="49" fillId="0" borderId="0" xfId="0" applyFont="1" applyAlignment="1">
      <alignment horizontal="center"/>
    </xf>
    <xf numFmtId="49" fontId="5" fillId="0" borderId="26" xfId="0" applyNumberFormat="1" applyFont="1" applyFill="1" applyBorder="1" applyAlignment="1">
      <alignment horizontal="left"/>
    </xf>
    <xf numFmtId="0" fontId="5" fillId="22" borderId="23" xfId="0" applyFont="1" applyFill="1" applyBorder="1"/>
    <xf numFmtId="49" fontId="5" fillId="22" borderId="53" xfId="0" applyNumberFormat="1" applyFont="1" applyFill="1" applyBorder="1" applyAlignment="1">
      <alignment horizontal="right"/>
    </xf>
    <xf numFmtId="49" fontId="5" fillId="22" borderId="23" xfId="0" applyNumberFormat="1" applyFont="1" applyFill="1" applyBorder="1" applyAlignment="1">
      <alignment horizontal="right"/>
    </xf>
    <xf numFmtId="3" fontId="5" fillId="22" borderId="20" xfId="0" applyNumberFormat="1" applyFont="1" applyFill="1" applyBorder="1"/>
    <xf numFmtId="3" fontId="4" fillId="22" borderId="5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3" fontId="2" fillId="22" borderId="13" xfId="0" applyNumberFormat="1" applyFont="1" applyFill="1" applyBorder="1"/>
    <xf numFmtId="49" fontId="6" fillId="16" borderId="22" xfId="0" applyNumberFormat="1" applyFont="1" applyFill="1" applyBorder="1" applyAlignment="1">
      <alignment horizontal="center"/>
    </xf>
    <xf numFmtId="49" fontId="6" fillId="16" borderId="22" xfId="0" applyNumberFormat="1" applyFont="1" applyFill="1" applyBorder="1" applyAlignment="1">
      <alignment horizontal="left" vertical="center"/>
    </xf>
    <xf numFmtId="3" fontId="6" fillId="16" borderId="22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5" borderId="7" xfId="0" applyFont="1" applyFill="1" applyBorder="1" applyAlignment="1"/>
    <xf numFmtId="0" fontId="2" fillId="0" borderId="8" xfId="0" applyFont="1" applyBorder="1" applyAlignment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7" fillId="10" borderId="36" xfId="0" applyFont="1" applyFill="1" applyBorder="1" applyAlignment="1">
      <alignment horizontal="center"/>
    </xf>
    <xf numFmtId="0" fontId="17" fillId="10" borderId="61" xfId="0" applyFont="1" applyFill="1" applyBorder="1" applyAlignment="1">
      <alignment horizontal="center"/>
    </xf>
    <xf numFmtId="0" fontId="9" fillId="10" borderId="59" xfId="0" applyFont="1" applyFill="1" applyBorder="1" applyAlignment="1">
      <alignment horizontal="center"/>
    </xf>
    <xf numFmtId="0" fontId="9" fillId="10" borderId="62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9" fillId="12" borderId="43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/>
    </xf>
    <xf numFmtId="0" fontId="32" fillId="5" borderId="43" xfId="0" applyFont="1" applyFill="1" applyBorder="1" applyAlignment="1">
      <alignment horizontal="center"/>
    </xf>
    <xf numFmtId="0" fontId="32" fillId="5" borderId="8" xfId="0" applyFont="1" applyFill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16" borderId="7" xfId="0" applyFont="1" applyFill="1" applyBorder="1" applyAlignment="1">
      <alignment horizontal="center"/>
    </xf>
    <xf numFmtId="0" fontId="49" fillId="16" borderId="43" xfId="0" applyFont="1" applyFill="1" applyBorder="1" applyAlignment="1">
      <alignment horizontal="center"/>
    </xf>
    <xf numFmtId="0" fontId="49" fillId="10" borderId="7" xfId="0" applyFont="1" applyFill="1" applyBorder="1" applyAlignment="1">
      <alignment horizontal="center"/>
    </xf>
    <xf numFmtId="0" fontId="49" fillId="10" borderId="63" xfId="0" applyFont="1" applyFill="1" applyBorder="1" applyAlignment="1">
      <alignment horizontal="center"/>
    </xf>
    <xf numFmtId="0" fontId="49" fillId="7" borderId="7" xfId="0" applyFont="1" applyFill="1" applyBorder="1" applyAlignment="1">
      <alignment horizontal="center"/>
    </xf>
    <xf numFmtId="0" fontId="49" fillId="7" borderId="43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8" fillId="16" borderId="66" xfId="0" applyFont="1" applyFill="1" applyBorder="1" applyAlignment="1">
      <alignment horizontal="center"/>
    </xf>
    <xf numFmtId="0" fontId="49" fillId="10" borderId="8" xfId="0" applyFont="1" applyFill="1" applyBorder="1" applyAlignment="1">
      <alignment horizontal="center"/>
    </xf>
    <xf numFmtId="0" fontId="8" fillId="21" borderId="1" xfId="0" applyFont="1" applyFill="1" applyBorder="1" applyAlignment="1">
      <alignment horizontal="center"/>
    </xf>
    <xf numFmtId="0" fontId="8" fillId="21" borderId="2" xfId="0" applyFont="1" applyFill="1" applyBorder="1" applyAlignment="1">
      <alignment horizontal="center"/>
    </xf>
    <xf numFmtId="0" fontId="8" fillId="21" borderId="66" xfId="0" applyFont="1" applyFill="1" applyBorder="1" applyAlignment="1">
      <alignment horizontal="center"/>
    </xf>
    <xf numFmtId="0" fontId="49" fillId="7" borderId="8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49" fillId="16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14" borderId="7" xfId="0" applyFont="1" applyFill="1" applyBorder="1" applyAlignment="1">
      <alignment horizontal="center"/>
    </xf>
    <xf numFmtId="0" fontId="25" fillId="14" borderId="8" xfId="0" applyFont="1" applyFill="1" applyBorder="1" applyAlignment="1">
      <alignment horizontal="center"/>
    </xf>
    <xf numFmtId="0" fontId="25" fillId="14" borderId="63" xfId="0" applyFont="1" applyFill="1" applyBorder="1" applyAlignment="1">
      <alignment horizontal="center"/>
    </xf>
    <xf numFmtId="49" fontId="32" fillId="15" borderId="7" xfId="0" applyNumberFormat="1" applyFont="1" applyFill="1" applyBorder="1" applyAlignment="1">
      <alignment horizontal="center"/>
    </xf>
    <xf numFmtId="49" fontId="32" fillId="15" borderId="63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 wrapText="1"/>
    </xf>
    <xf numFmtId="0" fontId="5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Border="1"/>
    <xf numFmtId="3" fontId="4" fillId="0" borderId="16" xfId="0" applyNumberFormat="1" applyFont="1" applyFill="1" applyBorder="1" applyAlignment="1"/>
    <xf numFmtId="0" fontId="5" fillId="0" borderId="0" xfId="0" applyFont="1" applyFill="1" applyBorder="1"/>
    <xf numFmtId="49" fontId="5" fillId="22" borderId="19" xfId="0" applyNumberFormat="1" applyFont="1" applyFill="1" applyBorder="1" applyAlignment="1">
      <alignment horizontal="right"/>
    </xf>
    <xf numFmtId="49" fontId="5" fillId="22" borderId="58" xfId="0" applyNumberFormat="1" applyFont="1" applyFill="1" applyBorder="1" applyAlignment="1">
      <alignment horizontal="right"/>
    </xf>
    <xf numFmtId="0" fontId="5" fillId="22" borderId="53" xfId="0" applyFont="1" applyFill="1" applyBorder="1"/>
    <xf numFmtId="3" fontId="42" fillId="14" borderId="24" xfId="0" applyNumberFormat="1" applyFont="1" applyFill="1" applyBorder="1"/>
    <xf numFmtId="3" fontId="6" fillId="13" borderId="5" xfId="0" applyNumberFormat="1" applyFont="1" applyFill="1" applyBorder="1" applyAlignment="1">
      <alignment horizontal="right"/>
    </xf>
    <xf numFmtId="3" fontId="4" fillId="22" borderId="23" xfId="0" applyNumberFormat="1" applyFont="1" applyFill="1" applyBorder="1" applyAlignment="1"/>
  </cellXfs>
  <cellStyles count="4">
    <cellStyle name="Čiarka" xfId="1" builtinId="3"/>
    <cellStyle name="Normálna" xfId="0" builtinId="0"/>
    <cellStyle name="Normálna 2" xfId="2" xr:uid="{00000000-0005-0000-0000-000001000000}"/>
    <cellStyle name="Percentá" xfId="3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612E-0795-4579-86A2-4540280537CD}">
  <sheetPr>
    <pageSetUpPr fitToPage="1"/>
  </sheetPr>
  <dimension ref="A1:W233"/>
  <sheetViews>
    <sheetView tabSelected="1" zoomScale="124" zoomScaleNormal="124" workbookViewId="0">
      <selection sqref="A1:E1"/>
    </sheetView>
  </sheetViews>
  <sheetFormatPr defaultRowHeight="15" x14ac:dyDescent="0.25"/>
  <cols>
    <col min="1" max="1" width="6.42578125" customWidth="1"/>
    <col min="2" max="2" width="55.42578125" customWidth="1"/>
    <col min="3" max="3" width="13.28515625" customWidth="1"/>
    <col min="4" max="4" width="12.7109375" customWidth="1"/>
    <col min="5" max="10" width="12.85546875" customWidth="1"/>
    <col min="11" max="11" width="8.7109375" customWidth="1"/>
    <col min="12" max="12" width="14.42578125" customWidth="1"/>
    <col min="13" max="13" width="9.5703125" customWidth="1"/>
    <col min="14" max="14" width="10.140625" customWidth="1"/>
    <col min="15" max="15" width="11" customWidth="1"/>
    <col min="16" max="16" width="9.85546875" customWidth="1"/>
    <col min="18" max="18" width="12.7109375" customWidth="1"/>
  </cols>
  <sheetData>
    <row r="1" spans="1:20" ht="18.75" thickBot="1" x14ac:dyDescent="0.3">
      <c r="A1" s="675" t="s">
        <v>0</v>
      </c>
      <c r="B1" s="676"/>
      <c r="C1" s="676"/>
      <c r="D1" s="676"/>
      <c r="E1" s="676"/>
      <c r="F1" s="650"/>
      <c r="G1" s="650"/>
      <c r="H1" s="650"/>
      <c r="I1" s="650"/>
      <c r="J1" s="650"/>
      <c r="K1" s="650"/>
      <c r="L1" s="1"/>
    </row>
    <row r="2" spans="1:20" ht="46.5" customHeight="1" thickBot="1" x14ac:dyDescent="0.3">
      <c r="A2" s="677" t="s">
        <v>1</v>
      </c>
      <c r="B2" s="678"/>
      <c r="C2" s="289" t="s">
        <v>455</v>
      </c>
      <c r="D2" s="289" t="s">
        <v>454</v>
      </c>
      <c r="E2" s="289" t="s">
        <v>372</v>
      </c>
      <c r="F2" s="289" t="s">
        <v>516</v>
      </c>
      <c r="G2" s="289" t="s">
        <v>532</v>
      </c>
      <c r="H2" s="289" t="s">
        <v>517</v>
      </c>
      <c r="I2" s="289" t="s">
        <v>578</v>
      </c>
      <c r="J2" s="289" t="s">
        <v>569</v>
      </c>
      <c r="K2" s="651" t="s">
        <v>515</v>
      </c>
      <c r="L2" s="1"/>
    </row>
    <row r="3" spans="1:20" ht="15.75" thickBot="1" x14ac:dyDescent="0.3">
      <c r="A3" s="679" t="s">
        <v>4</v>
      </c>
      <c r="B3" s="680"/>
      <c r="C3" s="2">
        <f t="shared" ref="C3:J3" si="0">SUM(C4:C10)</f>
        <v>1485800</v>
      </c>
      <c r="D3" s="2">
        <f t="shared" si="0"/>
        <v>1485800</v>
      </c>
      <c r="E3" s="2">
        <f t="shared" si="0"/>
        <v>1485800</v>
      </c>
      <c r="F3" s="2">
        <f t="shared" si="0"/>
        <v>1485800</v>
      </c>
      <c r="G3" s="2">
        <f t="shared" si="0"/>
        <v>1485800</v>
      </c>
      <c r="H3" s="2">
        <f t="shared" si="0"/>
        <v>1485800</v>
      </c>
      <c r="I3" s="2">
        <f t="shared" ref="I3" si="1">SUM(I4:I10)</f>
        <v>1485800</v>
      </c>
      <c r="J3" s="2">
        <f t="shared" si="0"/>
        <v>428445</v>
      </c>
      <c r="K3" s="659">
        <f>J3/H3</f>
        <v>0.28835980616502893</v>
      </c>
      <c r="L3" s="1"/>
    </row>
    <row r="4" spans="1:20" ht="15.75" thickBot="1" x14ac:dyDescent="0.3">
      <c r="A4" s="3">
        <v>111</v>
      </c>
      <c r="B4" s="114" t="s">
        <v>5</v>
      </c>
      <c r="C4" s="6">
        <v>1373000</v>
      </c>
      <c r="D4" s="6">
        <v>1373000</v>
      </c>
      <c r="E4" s="6">
        <v>1373000</v>
      </c>
      <c r="F4" s="6">
        <v>1373000</v>
      </c>
      <c r="G4" s="6">
        <v>1373000</v>
      </c>
      <c r="H4" s="6">
        <v>1373000</v>
      </c>
      <c r="I4" s="6">
        <v>1373000</v>
      </c>
      <c r="J4" s="6">
        <v>397515</v>
      </c>
      <c r="K4" s="659">
        <f t="shared" ref="K4:K68" si="2">J4/H4</f>
        <v>0.28952294246176258</v>
      </c>
      <c r="L4" s="1"/>
    </row>
    <row r="5" spans="1:20" ht="15.75" thickBot="1" x14ac:dyDescent="0.3">
      <c r="A5" s="7">
        <v>121</v>
      </c>
      <c r="B5" s="244" t="s">
        <v>6</v>
      </c>
      <c r="C5" s="11">
        <v>60400</v>
      </c>
      <c r="D5" s="11">
        <v>60400</v>
      </c>
      <c r="E5" s="11">
        <v>60400</v>
      </c>
      <c r="F5" s="11">
        <v>60400</v>
      </c>
      <c r="G5" s="11">
        <v>60400</v>
      </c>
      <c r="H5" s="11">
        <v>60400</v>
      </c>
      <c r="I5" s="11">
        <v>60400</v>
      </c>
      <c r="J5" s="11">
        <v>15895</v>
      </c>
      <c r="K5" s="659">
        <f t="shared" si="2"/>
        <v>0.26316225165562912</v>
      </c>
      <c r="L5" s="1"/>
    </row>
    <row r="6" spans="1:20" x14ac:dyDescent="0.25">
      <c r="A6" s="12">
        <v>133</v>
      </c>
      <c r="B6" s="245" t="s">
        <v>7</v>
      </c>
      <c r="C6" s="16">
        <v>2000</v>
      </c>
      <c r="D6" s="16">
        <v>2000</v>
      </c>
      <c r="E6" s="16">
        <v>2000</v>
      </c>
      <c r="F6" s="16">
        <v>2000</v>
      </c>
      <c r="G6" s="16">
        <v>2000</v>
      </c>
      <c r="H6" s="16">
        <v>2000</v>
      </c>
      <c r="I6" s="16">
        <v>2000</v>
      </c>
      <c r="J6" s="16">
        <v>1464</v>
      </c>
      <c r="K6" s="659">
        <f t="shared" si="2"/>
        <v>0.73199999999999998</v>
      </c>
      <c r="L6" s="1"/>
    </row>
    <row r="7" spans="1:20" x14ac:dyDescent="0.25">
      <c r="A7" s="17">
        <v>133</v>
      </c>
      <c r="B7" s="246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400</v>
      </c>
      <c r="J7" s="21">
        <v>0</v>
      </c>
      <c r="K7" s="659">
        <f t="shared" si="2"/>
        <v>0</v>
      </c>
      <c r="L7" s="1"/>
    </row>
    <row r="8" spans="1:20" x14ac:dyDescent="0.25">
      <c r="A8" s="17">
        <v>133</v>
      </c>
      <c r="B8" s="246" t="s">
        <v>9</v>
      </c>
      <c r="C8" s="21">
        <v>5000</v>
      </c>
      <c r="D8" s="21">
        <v>5000</v>
      </c>
      <c r="E8" s="21">
        <v>5000</v>
      </c>
      <c r="F8" s="21">
        <v>5000</v>
      </c>
      <c r="G8" s="21">
        <v>5000</v>
      </c>
      <c r="H8" s="21">
        <v>5000</v>
      </c>
      <c r="I8" s="21">
        <v>5000</v>
      </c>
      <c r="J8" s="21">
        <v>548</v>
      </c>
      <c r="K8" s="659">
        <f t="shared" si="2"/>
        <v>0.1096</v>
      </c>
      <c r="L8" s="1"/>
    </row>
    <row r="9" spans="1:20" x14ac:dyDescent="0.25">
      <c r="A9" s="17">
        <v>133</v>
      </c>
      <c r="B9" s="246" t="s">
        <v>10</v>
      </c>
      <c r="C9" s="21">
        <v>7000</v>
      </c>
      <c r="D9" s="21">
        <v>7000</v>
      </c>
      <c r="E9" s="21">
        <v>7000</v>
      </c>
      <c r="F9" s="21">
        <v>7000</v>
      </c>
      <c r="G9" s="21">
        <v>7000</v>
      </c>
      <c r="H9" s="21">
        <v>7000</v>
      </c>
      <c r="I9" s="21">
        <v>7000</v>
      </c>
      <c r="J9" s="21">
        <v>371</v>
      </c>
      <c r="K9" s="659">
        <f t="shared" si="2"/>
        <v>5.2999999999999999E-2</v>
      </c>
      <c r="L9" s="1"/>
    </row>
    <row r="10" spans="1:20" ht="15.75" thickBot="1" x14ac:dyDescent="0.3">
      <c r="A10" s="22">
        <v>133</v>
      </c>
      <c r="B10" s="247" t="s">
        <v>11</v>
      </c>
      <c r="C10" s="26">
        <v>38000</v>
      </c>
      <c r="D10" s="26">
        <v>38000</v>
      </c>
      <c r="E10" s="26">
        <v>38000</v>
      </c>
      <c r="F10" s="26">
        <v>38000</v>
      </c>
      <c r="G10" s="26">
        <v>38000</v>
      </c>
      <c r="H10" s="26">
        <v>38000</v>
      </c>
      <c r="I10" s="26">
        <v>38000</v>
      </c>
      <c r="J10" s="26">
        <v>12652</v>
      </c>
      <c r="K10" s="659">
        <f t="shared" si="2"/>
        <v>0.33294736842105266</v>
      </c>
      <c r="L10" s="27">
        <f>SUM(H6:H10)</f>
        <v>52400</v>
      </c>
      <c r="M10" s="27">
        <f>SUM(J6:J10)</f>
        <v>15035</v>
      </c>
      <c r="N10" s="27"/>
      <c r="O10" s="27"/>
      <c r="P10" s="27"/>
      <c r="Q10" s="27"/>
    </row>
    <row r="11" spans="1:20" ht="15.75" thickBot="1" x14ac:dyDescent="0.3">
      <c r="A11" s="679" t="s">
        <v>12</v>
      </c>
      <c r="B11" s="680"/>
      <c r="C11" s="248">
        <f t="shared" ref="C11:J11" si="3">SUM(C12:C31)</f>
        <v>246161</v>
      </c>
      <c r="D11" s="248">
        <f t="shared" si="3"/>
        <v>246161</v>
      </c>
      <c r="E11" s="248">
        <f t="shared" si="3"/>
        <v>246161</v>
      </c>
      <c r="F11" s="248">
        <f t="shared" si="3"/>
        <v>246161</v>
      </c>
      <c r="G11" s="248">
        <f t="shared" si="3"/>
        <v>246161</v>
      </c>
      <c r="H11" s="248">
        <f t="shared" si="3"/>
        <v>246161</v>
      </c>
      <c r="I11" s="248">
        <f t="shared" ref="I11" si="4">SUM(I12:I31)</f>
        <v>246161</v>
      </c>
      <c r="J11" s="248">
        <f t="shared" si="3"/>
        <v>56062</v>
      </c>
      <c r="K11" s="659">
        <f t="shared" si="2"/>
        <v>0.22774525615349303</v>
      </c>
      <c r="L11" s="1"/>
    </row>
    <row r="12" spans="1:20" x14ac:dyDescent="0.25">
      <c r="A12" s="28">
        <v>212</v>
      </c>
      <c r="B12" s="29" t="s">
        <v>13</v>
      </c>
      <c r="C12" s="32">
        <v>2913</v>
      </c>
      <c r="D12" s="32">
        <v>2913</v>
      </c>
      <c r="E12" s="32">
        <v>2913</v>
      </c>
      <c r="F12" s="32">
        <v>2913</v>
      </c>
      <c r="G12" s="32">
        <v>2913</v>
      </c>
      <c r="H12" s="32">
        <v>2913</v>
      </c>
      <c r="I12" s="32">
        <v>2913</v>
      </c>
      <c r="J12" s="32">
        <v>756</v>
      </c>
      <c r="K12" s="659">
        <f t="shared" si="2"/>
        <v>0.25952626158599384</v>
      </c>
      <c r="L12" s="1"/>
    </row>
    <row r="13" spans="1:20" x14ac:dyDescent="0.25">
      <c r="A13" s="17">
        <v>212</v>
      </c>
      <c r="B13" s="18" t="s">
        <v>14</v>
      </c>
      <c r="C13" s="21">
        <v>1000</v>
      </c>
      <c r="D13" s="21">
        <v>1000</v>
      </c>
      <c r="E13" s="21">
        <v>1000</v>
      </c>
      <c r="F13" s="21">
        <v>1000</v>
      </c>
      <c r="G13" s="21">
        <v>1000</v>
      </c>
      <c r="H13" s="21">
        <v>1000</v>
      </c>
      <c r="I13" s="21">
        <v>1000</v>
      </c>
      <c r="J13" s="21">
        <v>20</v>
      </c>
      <c r="K13" s="659">
        <f t="shared" si="2"/>
        <v>0.02</v>
      </c>
      <c r="L13" s="27"/>
    </row>
    <row r="14" spans="1:20" x14ac:dyDescent="0.25">
      <c r="A14" s="12">
        <v>212</v>
      </c>
      <c r="B14" s="13" t="s">
        <v>15</v>
      </c>
      <c r="C14" s="82">
        <v>3425</v>
      </c>
      <c r="D14" s="82">
        <v>3425</v>
      </c>
      <c r="E14" s="82">
        <v>3425</v>
      </c>
      <c r="F14" s="82">
        <v>3425</v>
      </c>
      <c r="G14" s="82">
        <v>3425</v>
      </c>
      <c r="H14" s="82">
        <v>3425</v>
      </c>
      <c r="I14" s="82">
        <v>3425</v>
      </c>
      <c r="J14" s="82">
        <v>908</v>
      </c>
      <c r="K14" s="659">
        <f t="shared" si="2"/>
        <v>0.26510948905109488</v>
      </c>
      <c r="L14" s="1"/>
    </row>
    <row r="15" spans="1:20" x14ac:dyDescent="0.25">
      <c r="A15" s="17">
        <v>212</v>
      </c>
      <c r="B15" s="18" t="s">
        <v>16</v>
      </c>
      <c r="C15" s="21">
        <v>19813</v>
      </c>
      <c r="D15" s="21">
        <v>19813</v>
      </c>
      <c r="E15" s="21">
        <v>19813</v>
      </c>
      <c r="F15" s="21">
        <v>19813</v>
      </c>
      <c r="G15" s="21">
        <v>19813</v>
      </c>
      <c r="H15" s="602">
        <f>19813-100</f>
        <v>19713</v>
      </c>
      <c r="I15" s="21">
        <f>19813-100</f>
        <v>19713</v>
      </c>
      <c r="J15" s="21">
        <v>4116</v>
      </c>
      <c r="K15" s="659">
        <f t="shared" si="2"/>
        <v>0.2087962258408157</v>
      </c>
      <c r="L15" s="27"/>
    </row>
    <row r="16" spans="1:20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669">
        <v>100</v>
      </c>
      <c r="I16" s="39">
        <v>100</v>
      </c>
      <c r="J16" s="39">
        <v>0</v>
      </c>
      <c r="K16" s="659">
        <f t="shared" si="2"/>
        <v>0</v>
      </c>
      <c r="L16" s="310">
        <f>SUM(H12:H16)</f>
        <v>27151</v>
      </c>
      <c r="M16" s="310">
        <f>SUM(J12:J16)</f>
        <v>5800</v>
      </c>
      <c r="N16" s="310"/>
      <c r="O16" s="310"/>
      <c r="P16" s="310"/>
      <c r="S16" s="27"/>
      <c r="T16" s="310"/>
    </row>
    <row r="17" spans="1:20" ht="15.75" thickBot="1" x14ac:dyDescent="0.3">
      <c r="A17" s="7">
        <v>221</v>
      </c>
      <c r="B17" s="8" t="s">
        <v>18</v>
      </c>
      <c r="C17" s="41">
        <v>7200</v>
      </c>
      <c r="D17" s="41">
        <v>7200</v>
      </c>
      <c r="E17" s="41">
        <v>7200</v>
      </c>
      <c r="F17" s="41">
        <v>7200</v>
      </c>
      <c r="G17" s="41">
        <v>7200</v>
      </c>
      <c r="H17" s="41">
        <v>7200</v>
      </c>
      <c r="I17" s="41">
        <v>7200</v>
      </c>
      <c r="J17" s="41">
        <v>1064</v>
      </c>
      <c r="K17" s="659">
        <f t="shared" si="2"/>
        <v>0.14777777777777779</v>
      </c>
      <c r="L17" s="1"/>
    </row>
    <row r="18" spans="1:20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/>
      <c r="K18" s="659">
        <v>0</v>
      </c>
      <c r="L18" s="1"/>
    </row>
    <row r="19" spans="1:20" x14ac:dyDescent="0.25">
      <c r="A19" s="12">
        <v>223</v>
      </c>
      <c r="B19" s="13" t="s">
        <v>20</v>
      </c>
      <c r="C19" s="16">
        <v>1000</v>
      </c>
      <c r="D19" s="16">
        <v>1000</v>
      </c>
      <c r="E19" s="16">
        <v>1000</v>
      </c>
      <c r="F19" s="16">
        <v>1000</v>
      </c>
      <c r="G19" s="16">
        <v>1000</v>
      </c>
      <c r="H19" s="16">
        <v>1000</v>
      </c>
      <c r="I19" s="16">
        <v>1000</v>
      </c>
      <c r="J19" s="16">
        <v>38</v>
      </c>
      <c r="K19" s="659">
        <f t="shared" si="2"/>
        <v>3.7999999999999999E-2</v>
      </c>
      <c r="L19" s="1"/>
    </row>
    <row r="20" spans="1:20" x14ac:dyDescent="0.25">
      <c r="A20" s="17">
        <v>223</v>
      </c>
      <c r="B20" s="18" t="s">
        <v>21</v>
      </c>
      <c r="C20" s="21">
        <v>21000</v>
      </c>
      <c r="D20" s="21">
        <v>21000</v>
      </c>
      <c r="E20" s="21">
        <v>21000</v>
      </c>
      <c r="F20" s="21">
        <v>21000</v>
      </c>
      <c r="G20" s="21">
        <v>21000</v>
      </c>
      <c r="H20" s="21">
        <v>21000</v>
      </c>
      <c r="I20" s="21">
        <v>21000</v>
      </c>
      <c r="J20" s="21">
        <v>5163</v>
      </c>
      <c r="K20" s="659">
        <f t="shared" si="2"/>
        <v>0.24585714285714286</v>
      </c>
      <c r="L20" s="1"/>
    </row>
    <row r="21" spans="1:20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16</v>
      </c>
      <c r="K21" s="659">
        <f t="shared" si="2"/>
        <v>0.32</v>
      </c>
      <c r="L21" s="1"/>
    </row>
    <row r="22" spans="1:20" x14ac:dyDescent="0.25">
      <c r="A22" s="17">
        <v>223</v>
      </c>
      <c r="B22" s="18" t="s">
        <v>333</v>
      </c>
      <c r="C22" s="21">
        <v>4000</v>
      </c>
      <c r="D22" s="21">
        <v>4000</v>
      </c>
      <c r="E22" s="21">
        <v>4000</v>
      </c>
      <c r="F22" s="21">
        <v>4000</v>
      </c>
      <c r="G22" s="21">
        <v>4000</v>
      </c>
      <c r="H22" s="21">
        <v>4000</v>
      </c>
      <c r="I22" s="21">
        <v>4000</v>
      </c>
      <c r="J22" s="21">
        <v>708</v>
      </c>
      <c r="K22" s="659">
        <f t="shared" si="2"/>
        <v>0.17699999999999999</v>
      </c>
      <c r="L22" s="1"/>
    </row>
    <row r="23" spans="1:20" x14ac:dyDescent="0.25">
      <c r="A23" s="17">
        <v>223</v>
      </c>
      <c r="B23" s="18" t="s">
        <v>23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0</v>
      </c>
      <c r="K23" s="659">
        <f t="shared" si="2"/>
        <v>0</v>
      </c>
      <c r="L23" s="1"/>
    </row>
    <row r="24" spans="1:20" x14ac:dyDescent="0.25">
      <c r="A24" s="17">
        <v>223</v>
      </c>
      <c r="B24" s="18" t="s">
        <v>24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80</v>
      </c>
      <c r="K24" s="659">
        <f t="shared" si="2"/>
        <v>0.08</v>
      </c>
      <c r="L24" s="1"/>
    </row>
    <row r="25" spans="1:20" x14ac:dyDescent="0.25">
      <c r="A25" s="17">
        <v>223</v>
      </c>
      <c r="B25" s="18" t="s">
        <v>25</v>
      </c>
      <c r="C25" s="21">
        <v>46000</v>
      </c>
      <c r="D25" s="21">
        <v>46000</v>
      </c>
      <c r="E25" s="21">
        <v>46000</v>
      </c>
      <c r="F25" s="21">
        <v>46000</v>
      </c>
      <c r="G25" s="21">
        <v>46000</v>
      </c>
      <c r="H25" s="21">
        <v>46000</v>
      </c>
      <c r="I25" s="21">
        <v>46000</v>
      </c>
      <c r="J25" s="21">
        <v>11959</v>
      </c>
      <c r="K25" s="659">
        <f t="shared" si="2"/>
        <v>0.25997826086956521</v>
      </c>
      <c r="L25" s="1"/>
    </row>
    <row r="26" spans="1:20" x14ac:dyDescent="0.25">
      <c r="A26" s="17">
        <v>223</v>
      </c>
      <c r="B26" s="18" t="s">
        <v>26</v>
      </c>
      <c r="C26" s="21">
        <v>45000</v>
      </c>
      <c r="D26" s="21">
        <v>45000</v>
      </c>
      <c r="E26" s="21">
        <v>45000</v>
      </c>
      <c r="F26" s="21">
        <v>45000</v>
      </c>
      <c r="G26" s="21">
        <v>45000</v>
      </c>
      <c r="H26" s="21">
        <v>45000</v>
      </c>
      <c r="I26" s="21">
        <v>45000</v>
      </c>
      <c r="J26" s="21">
        <v>16620</v>
      </c>
      <c r="K26" s="659">
        <f t="shared" si="2"/>
        <v>0.36933333333333335</v>
      </c>
      <c r="L26" s="1"/>
    </row>
    <row r="27" spans="1:20" x14ac:dyDescent="0.25">
      <c r="A27" s="17">
        <v>223</v>
      </c>
      <c r="B27" s="18" t="s">
        <v>27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0</v>
      </c>
      <c r="K27" s="659">
        <f t="shared" si="2"/>
        <v>0</v>
      </c>
      <c r="L27" s="27"/>
    </row>
    <row r="28" spans="1:20" x14ac:dyDescent="0.25">
      <c r="A28" s="17">
        <v>223</v>
      </c>
      <c r="B28" s="18" t="s">
        <v>28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2100</v>
      </c>
      <c r="I28" s="21">
        <v>2100</v>
      </c>
      <c r="J28" s="21">
        <v>812</v>
      </c>
      <c r="K28" s="659">
        <f t="shared" si="2"/>
        <v>0.38666666666666666</v>
      </c>
      <c r="L28" s="1"/>
    </row>
    <row r="29" spans="1:20" x14ac:dyDescent="0.25">
      <c r="A29" s="17">
        <v>223</v>
      </c>
      <c r="B29" s="18" t="s">
        <v>201</v>
      </c>
      <c r="C29" s="21">
        <v>1300</v>
      </c>
      <c r="D29" s="21">
        <v>1300</v>
      </c>
      <c r="E29" s="21">
        <v>1300</v>
      </c>
      <c r="F29" s="21">
        <v>1300</v>
      </c>
      <c r="G29" s="21">
        <v>1300</v>
      </c>
      <c r="H29" s="21">
        <v>1300</v>
      </c>
      <c r="I29" s="21">
        <v>1300</v>
      </c>
      <c r="J29" s="21">
        <v>560</v>
      </c>
      <c r="K29" s="659">
        <f t="shared" si="2"/>
        <v>0.43076923076923079</v>
      </c>
      <c r="L29" s="1"/>
    </row>
    <row r="30" spans="1:20" x14ac:dyDescent="0.25">
      <c r="A30" s="43">
        <v>223</v>
      </c>
      <c r="B30" s="44" t="s">
        <v>29</v>
      </c>
      <c r="C30" s="46">
        <v>85900</v>
      </c>
      <c r="D30" s="46">
        <v>85900</v>
      </c>
      <c r="E30" s="46">
        <v>85900</v>
      </c>
      <c r="F30" s="46">
        <v>85900</v>
      </c>
      <c r="G30" s="46">
        <v>85900</v>
      </c>
      <c r="H30" s="46">
        <v>85900</v>
      </c>
      <c r="I30" s="46">
        <v>85900</v>
      </c>
      <c r="J30" s="46">
        <v>13242</v>
      </c>
      <c r="K30" s="659">
        <f t="shared" si="2"/>
        <v>0.15415599534342259</v>
      </c>
      <c r="L30" s="27"/>
    </row>
    <row r="31" spans="1:20" ht="15.75" thickBot="1" x14ac:dyDescent="0.3">
      <c r="A31" s="22">
        <v>223</v>
      </c>
      <c r="B31" s="23" t="s">
        <v>30</v>
      </c>
      <c r="C31" s="79">
        <v>3400</v>
      </c>
      <c r="D31" s="79">
        <v>3400</v>
      </c>
      <c r="E31" s="79">
        <v>3400</v>
      </c>
      <c r="F31" s="79">
        <v>3400</v>
      </c>
      <c r="G31" s="79">
        <v>3400</v>
      </c>
      <c r="H31" s="79">
        <v>3400</v>
      </c>
      <c r="I31" s="79">
        <v>3400</v>
      </c>
      <c r="J31" s="79">
        <v>0</v>
      </c>
      <c r="K31" s="659">
        <f t="shared" si="2"/>
        <v>0</v>
      </c>
      <c r="L31" s="27">
        <f>SUM(H19:H31)</f>
        <v>211810</v>
      </c>
      <c r="M31" s="27">
        <f>SUM(J19:J31)</f>
        <v>49198</v>
      </c>
      <c r="N31" s="27"/>
      <c r="O31" s="27"/>
      <c r="P31" s="27"/>
      <c r="S31" s="310"/>
      <c r="T31" s="310"/>
    </row>
    <row r="32" spans="1:20" ht="15.75" thickBot="1" x14ac:dyDescent="0.3">
      <c r="A32" s="667" t="s">
        <v>31</v>
      </c>
      <c r="B32" s="668"/>
      <c r="C32" s="2">
        <f t="shared" ref="C32:J32" si="5">SUM(C33)</f>
        <v>50</v>
      </c>
      <c r="D32" s="2">
        <f t="shared" si="5"/>
        <v>50</v>
      </c>
      <c r="E32" s="2">
        <f t="shared" si="5"/>
        <v>50</v>
      </c>
      <c r="F32" s="2">
        <f t="shared" si="5"/>
        <v>50</v>
      </c>
      <c r="G32" s="2">
        <f t="shared" si="5"/>
        <v>50</v>
      </c>
      <c r="H32" s="2">
        <f t="shared" si="5"/>
        <v>50</v>
      </c>
      <c r="I32" s="2">
        <f t="shared" si="5"/>
        <v>50</v>
      </c>
      <c r="J32" s="2">
        <f t="shared" si="5"/>
        <v>2</v>
      </c>
      <c r="K32" s="659">
        <f t="shared" si="2"/>
        <v>0.04</v>
      </c>
      <c r="L32" s="1"/>
    </row>
    <row r="33" spans="1:14" ht="15.75" thickBot="1" x14ac:dyDescent="0.3">
      <c r="A33" s="51">
        <v>240</v>
      </c>
      <c r="B33" s="47" t="s">
        <v>32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2</v>
      </c>
      <c r="K33" s="659">
        <f t="shared" si="2"/>
        <v>0.04</v>
      </c>
      <c r="L33" s="1"/>
    </row>
    <row r="34" spans="1:14" ht="15.75" thickBot="1" x14ac:dyDescent="0.3">
      <c r="A34" s="667" t="s">
        <v>33</v>
      </c>
      <c r="B34" s="668"/>
      <c r="C34" s="248">
        <f>SUM(C35:C39)</f>
        <v>71070</v>
      </c>
      <c r="D34" s="248">
        <f>SUM(D35:D39)</f>
        <v>71085</v>
      </c>
      <c r="E34" s="248">
        <f>SUM(E35:E39)</f>
        <v>78785</v>
      </c>
      <c r="F34" s="248">
        <f t="shared" ref="F34:J34" si="6">SUM(F35:F39)</f>
        <v>78785</v>
      </c>
      <c r="G34" s="248">
        <f t="shared" si="6"/>
        <v>78785</v>
      </c>
      <c r="H34" s="248">
        <f t="shared" si="6"/>
        <v>78785</v>
      </c>
      <c r="I34" s="248">
        <f t="shared" ref="I34" si="7">SUM(I35:I39)</f>
        <v>78785</v>
      </c>
      <c r="J34" s="248">
        <f t="shared" si="6"/>
        <v>20850</v>
      </c>
      <c r="K34" s="659">
        <f t="shared" si="2"/>
        <v>0.26464428507964716</v>
      </c>
      <c r="L34" s="1"/>
    </row>
    <row r="35" spans="1:14" x14ac:dyDescent="0.25">
      <c r="A35" s="57">
        <v>292</v>
      </c>
      <c r="B35" s="58" t="s">
        <v>36</v>
      </c>
      <c r="C35" s="61">
        <v>1000</v>
      </c>
      <c r="D35" s="603">
        <f>1000+7000</f>
        <v>8000</v>
      </c>
      <c r="E35" s="603">
        <f>1000+7000-7000+7000</f>
        <v>8000</v>
      </c>
      <c r="F35" s="603">
        <f>1000+7000-7000+7000</f>
        <v>8000</v>
      </c>
      <c r="G35" s="61">
        <f>1000+7000-7000+7000</f>
        <v>8000</v>
      </c>
      <c r="H35" s="61">
        <f>1000+7000-7000+7000</f>
        <v>8000</v>
      </c>
      <c r="I35" s="61">
        <f>1000+7000-7000+7000</f>
        <v>8000</v>
      </c>
      <c r="J35" s="61">
        <v>7874</v>
      </c>
      <c r="K35" s="659">
        <f t="shared" si="2"/>
        <v>0.98424999999999996</v>
      </c>
      <c r="L35" s="1"/>
    </row>
    <row r="36" spans="1:14" x14ac:dyDescent="0.25">
      <c r="A36" s="57">
        <v>292</v>
      </c>
      <c r="B36" s="58" t="s">
        <v>37</v>
      </c>
      <c r="C36" s="60">
        <v>500</v>
      </c>
      <c r="D36" s="60">
        <v>500</v>
      </c>
      <c r="E36" s="60">
        <v>500</v>
      </c>
      <c r="F36" s="60">
        <v>500</v>
      </c>
      <c r="G36" s="60">
        <v>500</v>
      </c>
      <c r="H36" s="60">
        <v>500</v>
      </c>
      <c r="I36" s="60">
        <v>500</v>
      </c>
      <c r="J36" s="60">
        <v>149</v>
      </c>
      <c r="K36" s="659">
        <f t="shared" si="2"/>
        <v>0.29799999999999999</v>
      </c>
      <c r="L36" s="1"/>
    </row>
    <row r="37" spans="1:14" x14ac:dyDescent="0.25">
      <c r="A37" s="57">
        <v>292</v>
      </c>
      <c r="B37" s="18" t="s">
        <v>38</v>
      </c>
      <c r="C37" s="64">
        <v>350</v>
      </c>
      <c r="D37" s="605">
        <f>350+15</f>
        <v>365</v>
      </c>
      <c r="E37" s="64">
        <f>350+15</f>
        <v>365</v>
      </c>
      <c r="F37" s="64">
        <f t="shared" ref="F37:I37" si="8">350+15</f>
        <v>365</v>
      </c>
      <c r="G37" s="64">
        <f t="shared" si="8"/>
        <v>365</v>
      </c>
      <c r="H37" s="64">
        <f t="shared" si="8"/>
        <v>365</v>
      </c>
      <c r="I37" s="64">
        <f t="shared" si="8"/>
        <v>365</v>
      </c>
      <c r="J37" s="64">
        <v>0</v>
      </c>
      <c r="K37" s="659">
        <f t="shared" si="2"/>
        <v>0</v>
      </c>
      <c r="L37" s="1"/>
    </row>
    <row r="38" spans="1:14" x14ac:dyDescent="0.25">
      <c r="A38" s="57">
        <v>292</v>
      </c>
      <c r="B38" s="58" t="s">
        <v>183</v>
      </c>
      <c r="C38" s="60">
        <v>69200</v>
      </c>
      <c r="D38" s="604">
        <f>69200-7000</f>
        <v>62200</v>
      </c>
      <c r="E38" s="604">
        <f>69200-7000+7000+700</f>
        <v>69900</v>
      </c>
      <c r="F38" s="604">
        <f t="shared" ref="F38:I38" si="9">69200-7000+7000+700</f>
        <v>69900</v>
      </c>
      <c r="G38" s="60">
        <f t="shared" si="9"/>
        <v>69900</v>
      </c>
      <c r="H38" s="60">
        <f t="shared" si="9"/>
        <v>69900</v>
      </c>
      <c r="I38" s="60">
        <f t="shared" si="9"/>
        <v>69900</v>
      </c>
      <c r="J38" s="60">
        <v>12827</v>
      </c>
      <c r="K38" s="659">
        <f t="shared" si="2"/>
        <v>0.18350500715307583</v>
      </c>
      <c r="L38" s="27">
        <f>H38+H37</f>
        <v>70265</v>
      </c>
      <c r="M38" s="27">
        <f>J38+J37</f>
        <v>12827</v>
      </c>
      <c r="N38" s="27"/>
    </row>
    <row r="39" spans="1:14" ht="15.75" thickBot="1" x14ac:dyDescent="0.3">
      <c r="A39" s="57">
        <v>292</v>
      </c>
      <c r="B39" s="58" t="s">
        <v>254</v>
      </c>
      <c r="C39" s="60">
        <v>20</v>
      </c>
      <c r="D39" s="60">
        <v>20</v>
      </c>
      <c r="E39" s="60">
        <v>20</v>
      </c>
      <c r="F39" s="60">
        <v>20</v>
      </c>
      <c r="G39" s="60">
        <v>20</v>
      </c>
      <c r="H39" s="60">
        <v>20</v>
      </c>
      <c r="I39" s="60">
        <v>20</v>
      </c>
      <c r="J39" s="60">
        <v>0</v>
      </c>
      <c r="K39" s="659">
        <f t="shared" si="2"/>
        <v>0</v>
      </c>
      <c r="L39" s="1"/>
    </row>
    <row r="40" spans="1:14" ht="15.75" thickBot="1" x14ac:dyDescent="0.3">
      <c r="A40" s="65" t="s">
        <v>39</v>
      </c>
      <c r="B40" s="252"/>
      <c r="C40" s="248">
        <f>SUM(C41:C64)</f>
        <v>955422</v>
      </c>
      <c r="D40" s="248">
        <f>SUM(D41:D64)</f>
        <v>1013208</v>
      </c>
      <c r="E40" s="248">
        <f>SUM(E41:E64)</f>
        <v>1013208</v>
      </c>
      <c r="F40" s="248">
        <f t="shared" ref="F40:J40" si="10">SUM(F41:F64)</f>
        <v>1065308</v>
      </c>
      <c r="G40" s="248">
        <f t="shared" si="10"/>
        <v>1076728</v>
      </c>
      <c r="H40" s="248">
        <f t="shared" si="10"/>
        <v>1079860</v>
      </c>
      <c r="I40" s="248">
        <f t="shared" ref="I40" si="11">SUM(I41:I64)</f>
        <v>1079860</v>
      </c>
      <c r="J40" s="248">
        <f t="shared" si="10"/>
        <v>304551</v>
      </c>
      <c r="K40" s="659">
        <f t="shared" si="2"/>
        <v>0.28202822588113274</v>
      </c>
      <c r="L40" s="1"/>
    </row>
    <row r="41" spans="1:14" x14ac:dyDescent="0.25">
      <c r="A41" s="67">
        <v>311</v>
      </c>
      <c r="B41" s="253" t="s">
        <v>40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59">
        <v>0</v>
      </c>
      <c r="L41" s="1"/>
    </row>
    <row r="42" spans="1:14" x14ac:dyDescent="0.25">
      <c r="A42" s="67">
        <v>312</v>
      </c>
      <c r="B42" s="246" t="s">
        <v>510</v>
      </c>
      <c r="C42" s="70">
        <v>0</v>
      </c>
      <c r="D42" s="70">
        <v>0</v>
      </c>
      <c r="E42" s="70">
        <v>0</v>
      </c>
      <c r="F42" s="658">
        <f>40885+7215</f>
        <v>48100</v>
      </c>
      <c r="G42" s="70">
        <f>40885+7215</f>
        <v>48100</v>
      </c>
      <c r="H42" s="70">
        <f>40885+7215</f>
        <v>48100</v>
      </c>
      <c r="I42" s="70">
        <f>40885+7215</f>
        <v>48100</v>
      </c>
      <c r="J42" s="70">
        <v>0</v>
      </c>
      <c r="K42" s="659">
        <f t="shared" si="2"/>
        <v>0</v>
      </c>
      <c r="L42" s="1"/>
    </row>
    <row r="43" spans="1:14" x14ac:dyDescent="0.25">
      <c r="A43" s="67">
        <v>312</v>
      </c>
      <c r="B43" s="253" t="s">
        <v>458</v>
      </c>
      <c r="C43" s="70">
        <v>28000</v>
      </c>
      <c r="D43" s="70">
        <v>28000</v>
      </c>
      <c r="E43" s="70">
        <v>28000</v>
      </c>
      <c r="F43" s="70">
        <v>28000</v>
      </c>
      <c r="G43" s="70">
        <v>28000</v>
      </c>
      <c r="H43" s="70">
        <v>28000</v>
      </c>
      <c r="I43" s="70">
        <v>28000</v>
      </c>
      <c r="J43" s="70">
        <v>8469</v>
      </c>
      <c r="K43" s="659">
        <f t="shared" si="2"/>
        <v>0.30246428571428574</v>
      </c>
      <c r="L43" s="1"/>
    </row>
    <row r="44" spans="1:14" x14ac:dyDescent="0.25">
      <c r="A44" s="71">
        <v>312</v>
      </c>
      <c r="B44" s="246" t="s">
        <v>185</v>
      </c>
      <c r="C44" s="16">
        <v>55000</v>
      </c>
      <c r="D44" s="606">
        <f>55000+2600</f>
        <v>57600</v>
      </c>
      <c r="E44" s="16">
        <f>55000+2600</f>
        <v>57600</v>
      </c>
      <c r="F44" s="16">
        <f t="shared" ref="F44:I44" si="12">55000+2600</f>
        <v>57600</v>
      </c>
      <c r="G44" s="16">
        <f t="shared" si="12"/>
        <v>57600</v>
      </c>
      <c r="H44" s="16">
        <f t="shared" si="12"/>
        <v>57600</v>
      </c>
      <c r="I44" s="16">
        <f t="shared" si="12"/>
        <v>57600</v>
      </c>
      <c r="J44" s="16">
        <v>57188</v>
      </c>
      <c r="K44" s="659">
        <f t="shared" si="2"/>
        <v>0.99284722222222221</v>
      </c>
      <c r="L44" s="1"/>
    </row>
    <row r="45" spans="1:14" x14ac:dyDescent="0.25">
      <c r="A45" s="71">
        <v>312</v>
      </c>
      <c r="B45" s="246" t="s">
        <v>186</v>
      </c>
      <c r="C45" s="16">
        <v>180</v>
      </c>
      <c r="D45" s="606">
        <f>180+180</f>
        <v>360</v>
      </c>
      <c r="E45" s="16">
        <f>180+180</f>
        <v>360</v>
      </c>
      <c r="F45" s="16">
        <f t="shared" ref="F45:I45" si="13">180+180</f>
        <v>360</v>
      </c>
      <c r="G45" s="16">
        <f t="shared" si="13"/>
        <v>360</v>
      </c>
      <c r="H45" s="16">
        <f t="shared" si="13"/>
        <v>360</v>
      </c>
      <c r="I45" s="16">
        <f t="shared" si="13"/>
        <v>360</v>
      </c>
      <c r="J45" s="16">
        <v>180</v>
      </c>
      <c r="K45" s="659">
        <f t="shared" si="2"/>
        <v>0.5</v>
      </c>
      <c r="L45" s="27"/>
    </row>
    <row r="46" spans="1:14" x14ac:dyDescent="0.25">
      <c r="A46" s="71">
        <v>312</v>
      </c>
      <c r="B46" s="111" t="s">
        <v>41</v>
      </c>
      <c r="C46" s="73">
        <v>600</v>
      </c>
      <c r="D46" s="73">
        <v>600</v>
      </c>
      <c r="E46" s="73">
        <v>600</v>
      </c>
      <c r="F46" s="73">
        <v>600</v>
      </c>
      <c r="G46" s="73">
        <v>600</v>
      </c>
      <c r="H46" s="665">
        <f>600+700</f>
        <v>1300</v>
      </c>
      <c r="I46" s="73">
        <f>600+700</f>
        <v>1300</v>
      </c>
      <c r="J46" s="73">
        <v>220</v>
      </c>
      <c r="K46" s="659">
        <f t="shared" si="2"/>
        <v>0.16923076923076924</v>
      </c>
      <c r="L46" s="27"/>
    </row>
    <row r="47" spans="1:14" x14ac:dyDescent="0.25">
      <c r="A47" s="71">
        <v>312</v>
      </c>
      <c r="B47" s="111" t="s">
        <v>559</v>
      </c>
      <c r="C47" s="73">
        <v>0</v>
      </c>
      <c r="D47" s="73">
        <v>0</v>
      </c>
      <c r="E47" s="73">
        <v>0</v>
      </c>
      <c r="F47" s="73">
        <v>0</v>
      </c>
      <c r="G47" s="665">
        <v>9700</v>
      </c>
      <c r="H47" s="73">
        <v>9700</v>
      </c>
      <c r="I47" s="73">
        <v>9700</v>
      </c>
      <c r="J47" s="73">
        <v>0</v>
      </c>
      <c r="K47" s="659">
        <f t="shared" si="2"/>
        <v>0</v>
      </c>
      <c r="L47" s="27"/>
    </row>
    <row r="48" spans="1:14" x14ac:dyDescent="0.25">
      <c r="A48" s="71">
        <v>312</v>
      </c>
      <c r="B48" s="111" t="s">
        <v>564</v>
      </c>
      <c r="C48" s="73">
        <v>0</v>
      </c>
      <c r="D48" s="73">
        <v>0</v>
      </c>
      <c r="E48" s="73">
        <v>0</v>
      </c>
      <c r="F48" s="73">
        <v>0</v>
      </c>
      <c r="G48" s="665">
        <v>1720</v>
      </c>
      <c r="H48" s="73">
        <v>1720</v>
      </c>
      <c r="I48" s="73">
        <v>1720</v>
      </c>
      <c r="J48" s="73">
        <v>0</v>
      </c>
      <c r="K48" s="659">
        <f t="shared" si="2"/>
        <v>0</v>
      </c>
      <c r="L48" s="27"/>
    </row>
    <row r="49" spans="1:16" ht="15.75" thickBot="1" x14ac:dyDescent="0.3">
      <c r="A49" s="74">
        <v>312</v>
      </c>
      <c r="B49" s="81" t="s">
        <v>43</v>
      </c>
      <c r="C49" s="75">
        <v>50</v>
      </c>
      <c r="D49" s="75">
        <v>50</v>
      </c>
      <c r="E49" s="75">
        <v>50</v>
      </c>
      <c r="F49" s="75">
        <v>50</v>
      </c>
      <c r="G49" s="75">
        <v>50</v>
      </c>
      <c r="H49" s="75">
        <v>50</v>
      </c>
      <c r="I49" s="75">
        <v>50</v>
      </c>
      <c r="J49" s="75">
        <v>43</v>
      </c>
      <c r="K49" s="659">
        <f t="shared" si="2"/>
        <v>0.86</v>
      </c>
      <c r="L49" s="1"/>
    </row>
    <row r="50" spans="1:16" ht="15.75" thickBot="1" x14ac:dyDescent="0.3">
      <c r="A50" s="242">
        <v>312</v>
      </c>
      <c r="B50" s="254" t="s">
        <v>318</v>
      </c>
      <c r="C50" s="243">
        <v>5000</v>
      </c>
      <c r="D50" s="243">
        <v>5000</v>
      </c>
      <c r="E50" s="243">
        <v>5000</v>
      </c>
      <c r="F50" s="243">
        <v>5000</v>
      </c>
      <c r="G50" s="243">
        <v>5000</v>
      </c>
      <c r="H50" s="243">
        <v>5000</v>
      </c>
      <c r="I50" s="243">
        <v>5000</v>
      </c>
      <c r="J50" s="243">
        <v>0</v>
      </c>
      <c r="K50" s="659">
        <f t="shared" si="2"/>
        <v>0</v>
      </c>
      <c r="L50" s="27"/>
    </row>
    <row r="51" spans="1:16" x14ac:dyDescent="0.25">
      <c r="A51" s="71">
        <v>312</v>
      </c>
      <c r="B51" s="84" t="s">
        <v>44</v>
      </c>
      <c r="C51" s="16">
        <v>21500</v>
      </c>
      <c r="D51" s="16">
        <v>21500</v>
      </c>
      <c r="E51" s="16">
        <v>21500</v>
      </c>
      <c r="F51" s="16">
        <v>21500</v>
      </c>
      <c r="G51" s="16">
        <v>21500</v>
      </c>
      <c r="H51" s="16">
        <v>21500</v>
      </c>
      <c r="I51" s="16">
        <v>21500</v>
      </c>
      <c r="J51" s="16">
        <v>2421</v>
      </c>
      <c r="K51" s="659">
        <f t="shared" si="2"/>
        <v>0.1126046511627907</v>
      </c>
      <c r="L51" s="1"/>
    </row>
    <row r="52" spans="1:16" ht="15.75" thickBot="1" x14ac:dyDescent="0.3">
      <c r="A52" s="77">
        <v>312</v>
      </c>
      <c r="B52" s="135" t="s">
        <v>46</v>
      </c>
      <c r="C52" s="79">
        <f>3350+5600</f>
        <v>8950</v>
      </c>
      <c r="D52" s="607">
        <f>3350+5600+90</f>
        <v>9040</v>
      </c>
      <c r="E52" s="79">
        <f>3350+5600+90</f>
        <v>9040</v>
      </c>
      <c r="F52" s="79">
        <f t="shared" ref="F52:I52" si="14">3350+5600+90</f>
        <v>9040</v>
      </c>
      <c r="G52" s="79">
        <f t="shared" si="14"/>
        <v>9040</v>
      </c>
      <c r="H52" s="79">
        <f t="shared" si="14"/>
        <v>9040</v>
      </c>
      <c r="I52" s="79">
        <f t="shared" si="14"/>
        <v>9040</v>
      </c>
      <c r="J52" s="79">
        <v>1400</v>
      </c>
      <c r="K52" s="659">
        <f t="shared" si="2"/>
        <v>0.15486725663716813</v>
      </c>
      <c r="L52" s="1"/>
    </row>
    <row r="53" spans="1:16" x14ac:dyDescent="0.25">
      <c r="A53" s="71">
        <v>312</v>
      </c>
      <c r="B53" s="84" t="s">
        <v>190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659">
        <v>0</v>
      </c>
      <c r="L53" s="1"/>
    </row>
    <row r="54" spans="1:16" ht="15.75" thickBot="1" x14ac:dyDescent="0.3">
      <c r="A54" s="74">
        <v>312</v>
      </c>
      <c r="B54" s="81" t="s">
        <v>48</v>
      </c>
      <c r="C54" s="75">
        <v>0</v>
      </c>
      <c r="D54" s="75">
        <v>0</v>
      </c>
      <c r="E54" s="75">
        <v>0</v>
      </c>
      <c r="F54" s="75">
        <v>4000</v>
      </c>
      <c r="G54" s="75">
        <v>4000</v>
      </c>
      <c r="H54" s="75">
        <v>4000</v>
      </c>
      <c r="I54" s="75">
        <v>4000</v>
      </c>
      <c r="J54" s="75">
        <v>3000</v>
      </c>
      <c r="K54" s="659">
        <f t="shared" si="2"/>
        <v>0.75</v>
      </c>
      <c r="L54" s="1"/>
    </row>
    <row r="55" spans="1:16" x14ac:dyDescent="0.25">
      <c r="A55" s="71">
        <v>312</v>
      </c>
      <c r="B55" s="245" t="s">
        <v>49</v>
      </c>
      <c r="C55" s="82">
        <v>5310</v>
      </c>
      <c r="D55" s="608">
        <f>5310+400</f>
        <v>5710</v>
      </c>
      <c r="E55" s="82">
        <f>5310+400</f>
        <v>5710</v>
      </c>
      <c r="F55" s="82">
        <f t="shared" ref="F55:I55" si="15">5310+400</f>
        <v>5710</v>
      </c>
      <c r="G55" s="82">
        <f t="shared" si="15"/>
        <v>5710</v>
      </c>
      <c r="H55" s="82">
        <f t="shared" si="15"/>
        <v>5710</v>
      </c>
      <c r="I55" s="82">
        <f t="shared" si="15"/>
        <v>5710</v>
      </c>
      <c r="J55" s="82">
        <v>5569</v>
      </c>
      <c r="K55" s="659">
        <f t="shared" si="2"/>
        <v>0.97530647985989494</v>
      </c>
      <c r="L55" s="27"/>
      <c r="M55" s="27"/>
      <c r="N55" s="27"/>
    </row>
    <row r="56" spans="1:16" x14ac:dyDescent="0.25">
      <c r="A56" s="83">
        <v>312</v>
      </c>
      <c r="B56" s="255" t="s">
        <v>50</v>
      </c>
      <c r="C56" s="21">
        <v>4250</v>
      </c>
      <c r="D56" s="602">
        <f>4250+210</f>
        <v>4460</v>
      </c>
      <c r="E56" s="21">
        <f>4250+210</f>
        <v>4460</v>
      </c>
      <c r="F56" s="21">
        <f t="shared" ref="F56:I56" si="16">4250+210</f>
        <v>4460</v>
      </c>
      <c r="G56" s="21">
        <f t="shared" si="16"/>
        <v>4460</v>
      </c>
      <c r="H56" s="21">
        <f t="shared" si="16"/>
        <v>4460</v>
      </c>
      <c r="I56" s="21">
        <f t="shared" si="16"/>
        <v>4460</v>
      </c>
      <c r="J56" s="21">
        <v>0</v>
      </c>
      <c r="K56" s="659">
        <f t="shared" si="2"/>
        <v>0</v>
      </c>
      <c r="L56" s="27"/>
      <c r="M56" s="27"/>
      <c r="N56" s="27"/>
    </row>
    <row r="57" spans="1:16" x14ac:dyDescent="0.25">
      <c r="A57" s="83">
        <v>312</v>
      </c>
      <c r="B57" s="256" t="s">
        <v>457</v>
      </c>
      <c r="C57" s="33">
        <v>13200</v>
      </c>
      <c r="D57" s="609">
        <f>13200+7573</f>
        <v>20773</v>
      </c>
      <c r="E57" s="33">
        <f>13200+7573</f>
        <v>20773</v>
      </c>
      <c r="F57" s="33">
        <f t="shared" ref="F57:I57" si="17">13200+7573</f>
        <v>20773</v>
      </c>
      <c r="G57" s="33">
        <f t="shared" si="17"/>
        <v>20773</v>
      </c>
      <c r="H57" s="33">
        <f t="shared" si="17"/>
        <v>20773</v>
      </c>
      <c r="I57" s="33">
        <f t="shared" si="17"/>
        <v>20773</v>
      </c>
      <c r="J57" s="33">
        <v>13849</v>
      </c>
      <c r="K57" s="659">
        <f t="shared" si="2"/>
        <v>0.66668271313724548</v>
      </c>
      <c r="L57" s="27"/>
      <c r="M57" s="27"/>
      <c r="N57" s="27"/>
    </row>
    <row r="58" spans="1:16" x14ac:dyDescent="0.25">
      <c r="A58" s="71">
        <v>312</v>
      </c>
      <c r="B58" s="111" t="s">
        <v>459</v>
      </c>
      <c r="C58" s="16">
        <v>90000</v>
      </c>
      <c r="D58" s="16">
        <v>90000</v>
      </c>
      <c r="E58" s="16">
        <v>90000</v>
      </c>
      <c r="F58" s="16">
        <v>90000</v>
      </c>
      <c r="G58" s="16">
        <v>90000</v>
      </c>
      <c r="H58" s="16">
        <v>90000</v>
      </c>
      <c r="I58" s="16">
        <v>90000</v>
      </c>
      <c r="J58" s="16">
        <v>0</v>
      </c>
      <c r="K58" s="659">
        <f t="shared" si="2"/>
        <v>0</v>
      </c>
      <c r="L58" s="27"/>
    </row>
    <row r="59" spans="1:16" x14ac:dyDescent="0.25">
      <c r="A59" s="83">
        <v>312</v>
      </c>
      <c r="B59" s="111" t="s">
        <v>51</v>
      </c>
      <c r="C59" s="21">
        <v>55400</v>
      </c>
      <c r="D59" s="21">
        <v>55400</v>
      </c>
      <c r="E59" s="21">
        <v>55400</v>
      </c>
      <c r="F59" s="21">
        <v>55400</v>
      </c>
      <c r="G59" s="21">
        <v>55400</v>
      </c>
      <c r="H59" s="21">
        <v>55400</v>
      </c>
      <c r="I59" s="21">
        <v>55400</v>
      </c>
      <c r="J59" s="21">
        <v>13897</v>
      </c>
      <c r="K59" s="659">
        <f t="shared" si="2"/>
        <v>0.25084837545126354</v>
      </c>
      <c r="L59" s="27"/>
    </row>
    <row r="60" spans="1:16" ht="15.75" thickBot="1" x14ac:dyDescent="0.3">
      <c r="A60" s="74">
        <v>312</v>
      </c>
      <c r="B60" s="81" t="s">
        <v>308</v>
      </c>
      <c r="C60" s="79">
        <v>10600</v>
      </c>
      <c r="D60" s="79">
        <v>10600</v>
      </c>
      <c r="E60" s="79">
        <v>10600</v>
      </c>
      <c r="F60" s="79">
        <v>10600</v>
      </c>
      <c r="G60" s="79">
        <v>10600</v>
      </c>
      <c r="H60" s="79">
        <v>10600</v>
      </c>
      <c r="I60" s="79">
        <v>10600</v>
      </c>
      <c r="J60" s="79">
        <v>4116</v>
      </c>
      <c r="K60" s="659">
        <f t="shared" si="2"/>
        <v>0.38830188679245281</v>
      </c>
      <c r="L60" s="27"/>
      <c r="M60" s="27"/>
      <c r="N60" s="27"/>
    </row>
    <row r="61" spans="1:16" x14ac:dyDescent="0.25">
      <c r="A61" s="71">
        <v>315</v>
      </c>
      <c r="B61" s="76" t="s">
        <v>47</v>
      </c>
      <c r="C61" s="16">
        <v>3000</v>
      </c>
      <c r="D61" s="16">
        <v>3000</v>
      </c>
      <c r="E61" s="16">
        <v>3000</v>
      </c>
      <c r="F61" s="16">
        <v>3000</v>
      </c>
      <c r="G61" s="16">
        <v>3000</v>
      </c>
      <c r="H61" s="16">
        <v>3000</v>
      </c>
      <c r="I61" s="16">
        <v>3000</v>
      </c>
      <c r="J61" s="16">
        <v>0</v>
      </c>
      <c r="K61" s="659">
        <f t="shared" si="2"/>
        <v>0</v>
      </c>
      <c r="L61" s="1"/>
    </row>
    <row r="62" spans="1:16" ht="15.75" thickBot="1" x14ac:dyDescent="0.3">
      <c r="A62" s="77">
        <v>315</v>
      </c>
      <c r="B62" s="78" t="s">
        <v>227</v>
      </c>
      <c r="C62" s="79">
        <v>300</v>
      </c>
      <c r="D62" s="79">
        <v>300</v>
      </c>
      <c r="E62" s="79">
        <v>300</v>
      </c>
      <c r="F62" s="79">
        <v>300</v>
      </c>
      <c r="G62" s="79">
        <v>300</v>
      </c>
      <c r="H62" s="79">
        <v>300</v>
      </c>
      <c r="I62" s="79">
        <v>300</v>
      </c>
      <c r="J62" s="79">
        <v>100</v>
      </c>
      <c r="K62" s="659">
        <f t="shared" si="2"/>
        <v>0.33333333333333331</v>
      </c>
      <c r="L62" s="1"/>
    </row>
    <row r="63" spans="1:16" x14ac:dyDescent="0.25">
      <c r="A63" s="451">
        <v>312</v>
      </c>
      <c r="B63" s="452" t="s">
        <v>327</v>
      </c>
      <c r="C63" s="457">
        <f>16381+2891</f>
        <v>19272</v>
      </c>
      <c r="D63" s="457">
        <f t="shared" ref="D63:I63" si="18">16381+2891</f>
        <v>19272</v>
      </c>
      <c r="E63" s="457">
        <f t="shared" si="18"/>
        <v>19272</v>
      </c>
      <c r="F63" s="457">
        <f t="shared" si="18"/>
        <v>19272</v>
      </c>
      <c r="G63" s="457">
        <f t="shared" si="18"/>
        <v>19272</v>
      </c>
      <c r="H63" s="457">
        <f t="shared" si="18"/>
        <v>19272</v>
      </c>
      <c r="I63" s="457">
        <f t="shared" si="18"/>
        <v>19272</v>
      </c>
      <c r="J63" s="457">
        <v>3224</v>
      </c>
      <c r="K63" s="659">
        <f t="shared" si="2"/>
        <v>0.16728933167289331</v>
      </c>
      <c r="L63" s="1"/>
    </row>
    <row r="64" spans="1:16" ht="15.75" thickBot="1" x14ac:dyDescent="0.3">
      <c r="A64" s="458">
        <v>312</v>
      </c>
      <c r="B64" s="459" t="s">
        <v>460</v>
      </c>
      <c r="C64" s="463">
        <v>634810</v>
      </c>
      <c r="D64" s="610">
        <f>634810+46733</f>
        <v>681543</v>
      </c>
      <c r="E64" s="463">
        <f>634810+46733</f>
        <v>681543</v>
      </c>
      <c r="F64" s="463">
        <f>634810+46733</f>
        <v>681543</v>
      </c>
      <c r="G64" s="463">
        <f>634810+46733</f>
        <v>681543</v>
      </c>
      <c r="H64" s="610">
        <f>634810+46733-346+2778</f>
        <v>683975</v>
      </c>
      <c r="I64" s="757">
        <f>634810+46733-346+2778</f>
        <v>683975</v>
      </c>
      <c r="J64" s="463">
        <v>190875</v>
      </c>
      <c r="K64" s="659">
        <f t="shared" si="2"/>
        <v>0.27906721736905588</v>
      </c>
      <c r="L64" s="27">
        <f>SUM(H42:H60)+H63+H64</f>
        <v>1076560</v>
      </c>
      <c r="M64" s="27">
        <f>SUM(J42:J60)+J63+J64</f>
        <v>304451</v>
      </c>
      <c r="N64" s="27"/>
      <c r="O64" s="27"/>
      <c r="P64" s="27"/>
    </row>
    <row r="65" spans="1:18" ht="21" customHeight="1" thickBot="1" x14ac:dyDescent="0.3">
      <c r="A65" s="85" t="s">
        <v>53</v>
      </c>
      <c r="B65" s="257"/>
      <c r="C65" s="270">
        <f>SUM(C3+C11+C32+C34+C40)</f>
        <v>2758503</v>
      </c>
      <c r="D65" s="270">
        <f>SUM(D3+D11+D32+D34+D40)</f>
        <v>2816304</v>
      </c>
      <c r="E65" s="270">
        <f>SUM(E3+E11+E32+E34+E40)</f>
        <v>2824004</v>
      </c>
      <c r="F65" s="270">
        <f t="shared" ref="F65:J65" si="19">SUM(F3+F11+F32+F34+F40)</f>
        <v>2876104</v>
      </c>
      <c r="G65" s="270">
        <f t="shared" si="19"/>
        <v>2887524</v>
      </c>
      <c r="H65" s="270">
        <f t="shared" si="19"/>
        <v>2890656</v>
      </c>
      <c r="I65" s="270">
        <f t="shared" ref="I65" si="20">SUM(I3+I11+I32+I34+I40)</f>
        <v>2890656</v>
      </c>
      <c r="J65" s="270">
        <f t="shared" si="19"/>
        <v>809910</v>
      </c>
      <c r="K65" s="659">
        <f t="shared" si="2"/>
        <v>0.28018207631762476</v>
      </c>
      <c r="L65" s="1"/>
      <c r="M65" s="310">
        <f>D65-C65</f>
        <v>57801</v>
      </c>
      <c r="N65" s="310">
        <f>E65-D65</f>
        <v>7700</v>
      </c>
      <c r="O65" s="310">
        <f>F65-E65</f>
        <v>52100</v>
      </c>
      <c r="P65" s="310">
        <f>G65-F65</f>
        <v>11420</v>
      </c>
      <c r="Q65" s="310">
        <f>H65-G65</f>
        <v>3132</v>
      </c>
    </row>
    <row r="66" spans="1:18" x14ac:dyDescent="0.25">
      <c r="A66" s="87" t="s">
        <v>54</v>
      </c>
      <c r="B66" s="88" t="s">
        <v>55</v>
      </c>
      <c r="C66" s="89">
        <v>1550</v>
      </c>
      <c r="D66" s="89">
        <v>1550</v>
      </c>
      <c r="E66" s="89">
        <v>1550</v>
      </c>
      <c r="F66" s="89">
        <v>1550</v>
      </c>
      <c r="G66" s="89">
        <v>1550</v>
      </c>
      <c r="H66" s="89">
        <v>1550</v>
      </c>
      <c r="I66" s="89">
        <v>1550</v>
      </c>
      <c r="J66" s="89">
        <v>0</v>
      </c>
      <c r="K66" s="659">
        <f t="shared" si="2"/>
        <v>0</v>
      </c>
      <c r="L66" s="1"/>
      <c r="M66" s="310"/>
      <c r="N66" s="310"/>
      <c r="O66" s="310"/>
      <c r="P66" s="310"/>
      <c r="Q66" s="310"/>
    </row>
    <row r="67" spans="1:18" ht="15.75" thickBot="1" x14ac:dyDescent="0.3">
      <c r="A67" s="90" t="s">
        <v>54</v>
      </c>
      <c r="B67" s="88" t="s">
        <v>56</v>
      </c>
      <c r="C67" s="91">
        <v>3600</v>
      </c>
      <c r="D67" s="91">
        <v>3600</v>
      </c>
      <c r="E67" s="91">
        <v>3600</v>
      </c>
      <c r="F67" s="91">
        <v>3600</v>
      </c>
      <c r="G67" s="91">
        <v>3600</v>
      </c>
      <c r="H67" s="91">
        <v>3600</v>
      </c>
      <c r="I67" s="91">
        <v>3600</v>
      </c>
      <c r="J67" s="91">
        <v>707</v>
      </c>
      <c r="K67" s="659">
        <f t="shared" si="2"/>
        <v>0.19638888888888889</v>
      </c>
      <c r="L67" s="1"/>
      <c r="M67" s="310"/>
      <c r="N67" s="310"/>
      <c r="O67" s="310"/>
      <c r="P67" s="310"/>
      <c r="Q67" s="310"/>
    </row>
    <row r="68" spans="1:18" ht="15.75" thickBot="1" x14ac:dyDescent="0.3">
      <c r="A68" s="673" t="s">
        <v>58</v>
      </c>
      <c r="B68" s="674"/>
      <c r="C68" s="95">
        <f>SUM(C66:C67)</f>
        <v>5150</v>
      </c>
      <c r="D68" s="95">
        <f>SUM(D66:D67)</f>
        <v>5150</v>
      </c>
      <c r="E68" s="95">
        <f>SUM(E66:E67)</f>
        <v>5150</v>
      </c>
      <c r="F68" s="95">
        <f t="shared" ref="F68:J68" si="21">SUM(F66:F67)</f>
        <v>5150</v>
      </c>
      <c r="G68" s="95">
        <f t="shared" si="21"/>
        <v>5150</v>
      </c>
      <c r="H68" s="95">
        <f t="shared" si="21"/>
        <v>5150</v>
      </c>
      <c r="I68" s="95">
        <f t="shared" ref="I68" si="22">SUM(I66:I67)</f>
        <v>5150</v>
      </c>
      <c r="J68" s="95">
        <f t="shared" si="21"/>
        <v>707</v>
      </c>
      <c r="K68" s="659">
        <f t="shared" si="2"/>
        <v>0.13728155339805825</v>
      </c>
      <c r="L68" s="1"/>
      <c r="M68" s="310">
        <f>D68-C68</f>
        <v>0</v>
      </c>
      <c r="N68" s="310">
        <f>E68-D68</f>
        <v>0</v>
      </c>
      <c r="O68" s="310">
        <f>F68-E68</f>
        <v>0</v>
      </c>
      <c r="P68" s="310">
        <f>G68-F68</f>
        <v>0</v>
      </c>
      <c r="Q68" s="310">
        <f>H68-G68</f>
        <v>0</v>
      </c>
    </row>
    <row r="69" spans="1:18" ht="16.5" thickBot="1" x14ac:dyDescent="0.3">
      <c r="A69" s="96" t="s">
        <v>54</v>
      </c>
      <c r="B69" s="97" t="s">
        <v>59</v>
      </c>
      <c r="C69" s="309">
        <v>12350</v>
      </c>
      <c r="D69" s="309">
        <v>12350</v>
      </c>
      <c r="E69" s="309">
        <v>12350</v>
      </c>
      <c r="F69" s="309">
        <v>12350</v>
      </c>
      <c r="G69" s="309">
        <v>12350</v>
      </c>
      <c r="H69" s="309">
        <v>12350</v>
      </c>
      <c r="I69" s="309">
        <v>12350</v>
      </c>
      <c r="J69" s="309">
        <v>5585</v>
      </c>
      <c r="K69" s="659">
        <f t="shared" ref="K69:K132" si="23">J69/H69</f>
        <v>0.45222672064777331</v>
      </c>
      <c r="L69" s="103"/>
      <c r="M69" s="310"/>
      <c r="N69" s="310"/>
      <c r="O69" s="310"/>
      <c r="P69" s="310"/>
      <c r="Q69" s="310"/>
    </row>
    <row r="70" spans="1:18" ht="15.75" thickBot="1" x14ac:dyDescent="0.3">
      <c r="A70" s="673" t="s">
        <v>204</v>
      </c>
      <c r="B70" s="674"/>
      <c r="C70" s="305">
        <f>SUM(C69:C69)</f>
        <v>12350</v>
      </c>
      <c r="D70" s="305">
        <f>SUM(D69:D69)</f>
        <v>12350</v>
      </c>
      <c r="E70" s="305">
        <f>SUM(E69:E69)</f>
        <v>12350</v>
      </c>
      <c r="F70" s="305">
        <f t="shared" ref="F70:J70" si="24">SUM(F69:F69)</f>
        <v>12350</v>
      </c>
      <c r="G70" s="305">
        <f t="shared" si="24"/>
        <v>12350</v>
      </c>
      <c r="H70" s="305">
        <f t="shared" si="24"/>
        <v>12350</v>
      </c>
      <c r="I70" s="305">
        <f t="shared" ref="I70" si="25">SUM(I69:I69)</f>
        <v>12350</v>
      </c>
      <c r="J70" s="305">
        <f t="shared" si="24"/>
        <v>5585</v>
      </c>
      <c r="K70" s="659">
        <f t="shared" si="23"/>
        <v>0.45222672064777331</v>
      </c>
      <c r="L70" s="1"/>
      <c r="M70" s="310">
        <f>D70-C70</f>
        <v>0</v>
      </c>
      <c r="N70" s="310">
        <f>E70-D70</f>
        <v>0</v>
      </c>
      <c r="O70" s="310">
        <f>F70-E70</f>
        <v>0</v>
      </c>
      <c r="P70" s="310">
        <f>G70-F70</f>
        <v>0</v>
      </c>
      <c r="Q70" s="310">
        <f>H70-G70</f>
        <v>0</v>
      </c>
    </row>
    <row r="71" spans="1:18" ht="19.5" customHeight="1" thickBot="1" x14ac:dyDescent="0.3">
      <c r="A71" s="683" t="s">
        <v>60</v>
      </c>
      <c r="B71" s="684"/>
      <c r="C71" s="99">
        <f>C68+C70</f>
        <v>17500</v>
      </c>
      <c r="D71" s="99">
        <f>D68+D70</f>
        <v>17500</v>
      </c>
      <c r="E71" s="99">
        <f>E68+E70</f>
        <v>17500</v>
      </c>
      <c r="F71" s="99">
        <f t="shared" ref="F71:J71" si="26">F68+F70</f>
        <v>17500</v>
      </c>
      <c r="G71" s="99">
        <f t="shared" si="26"/>
        <v>17500</v>
      </c>
      <c r="H71" s="99">
        <f t="shared" si="26"/>
        <v>17500</v>
      </c>
      <c r="I71" s="99">
        <f t="shared" ref="I71" si="27">I68+I70</f>
        <v>17500</v>
      </c>
      <c r="J71" s="99">
        <f t="shared" si="26"/>
        <v>6292</v>
      </c>
      <c r="K71" s="659">
        <f t="shared" si="23"/>
        <v>0.35954285714285716</v>
      </c>
      <c r="L71" s="1"/>
      <c r="M71" s="310">
        <f>D71-C71</f>
        <v>0</v>
      </c>
      <c r="N71" s="310">
        <f>E71-D71</f>
        <v>0</v>
      </c>
      <c r="O71" s="310">
        <f>F71-E71</f>
        <v>0</v>
      </c>
      <c r="P71" s="310">
        <f>G71-F71</f>
        <v>0</v>
      </c>
      <c r="Q71" s="310">
        <f>H71-G71</f>
        <v>0</v>
      </c>
    </row>
    <row r="72" spans="1:18" ht="30.75" customHeight="1" thickBot="1" x14ac:dyDescent="0.3">
      <c r="A72" s="85" t="s">
        <v>61</v>
      </c>
      <c r="B72" s="66"/>
      <c r="C72" s="86">
        <f>C65+C71</f>
        <v>2776003</v>
      </c>
      <c r="D72" s="86">
        <f>D65+D71</f>
        <v>2833804</v>
      </c>
      <c r="E72" s="86">
        <f>E65+E71</f>
        <v>2841504</v>
      </c>
      <c r="F72" s="86">
        <f t="shared" ref="F72:J72" si="28">F65+F71</f>
        <v>2893604</v>
      </c>
      <c r="G72" s="86">
        <f t="shared" si="28"/>
        <v>2905024</v>
      </c>
      <c r="H72" s="86">
        <f t="shared" si="28"/>
        <v>2908156</v>
      </c>
      <c r="I72" s="86">
        <f t="shared" ref="I72" si="29">I65+I71</f>
        <v>2908156</v>
      </c>
      <c r="J72" s="86">
        <f t="shared" si="28"/>
        <v>816202</v>
      </c>
      <c r="K72" s="659">
        <f t="shared" si="23"/>
        <v>0.28065963449003423</v>
      </c>
      <c r="L72" s="1"/>
      <c r="M72" s="310">
        <f>D72-C72</f>
        <v>57801</v>
      </c>
      <c r="N72" s="310">
        <f>E72-D72</f>
        <v>7700</v>
      </c>
      <c r="O72" s="310">
        <f>F72-E72</f>
        <v>52100</v>
      </c>
      <c r="P72" s="310">
        <f>G72-F72</f>
        <v>11420</v>
      </c>
      <c r="Q72" s="310">
        <f>H72-G72</f>
        <v>3132</v>
      </c>
      <c r="R72" s="310">
        <f>SUM(P72:Q72)</f>
        <v>14552</v>
      </c>
    </row>
    <row r="73" spans="1:18" x14ac:dyDescent="0.25">
      <c r="A73" s="1"/>
      <c r="B73" s="1"/>
      <c r="C73" s="100"/>
      <c r="D73" s="100"/>
      <c r="E73" s="100"/>
      <c r="F73" s="100"/>
      <c r="G73" s="100"/>
      <c r="H73" s="100"/>
      <c r="I73" s="100"/>
      <c r="J73" s="100"/>
      <c r="K73" s="659"/>
      <c r="L73" s="1"/>
    </row>
    <row r="74" spans="1:18" ht="15.75" x14ac:dyDescent="0.25">
      <c r="A74" s="101"/>
      <c r="B74" s="102"/>
      <c r="C74" s="103"/>
      <c r="D74" s="103"/>
      <c r="E74" s="103"/>
      <c r="F74" s="103"/>
      <c r="G74" s="103"/>
      <c r="H74" s="103"/>
      <c r="I74" s="103"/>
      <c r="J74" s="103"/>
      <c r="K74" s="659"/>
      <c r="L74" s="1"/>
    </row>
    <row r="75" spans="1:18" ht="18.75" thickBot="1" x14ac:dyDescent="0.3">
      <c r="A75" s="685" t="s">
        <v>62</v>
      </c>
      <c r="B75" s="686"/>
      <c r="C75" s="686"/>
      <c r="D75" s="686"/>
      <c r="E75" s="686"/>
      <c r="F75" s="652"/>
      <c r="G75" s="652"/>
      <c r="H75" s="652"/>
      <c r="I75" s="652"/>
      <c r="J75" s="652"/>
      <c r="K75" s="659"/>
      <c r="L75" s="1"/>
    </row>
    <row r="76" spans="1:18" ht="36" customHeight="1" thickBot="1" x14ac:dyDescent="0.3">
      <c r="A76" s="687" t="s">
        <v>1</v>
      </c>
      <c r="B76" s="688"/>
      <c r="C76" s="289" t="s">
        <v>455</v>
      </c>
      <c r="D76" s="289" t="s">
        <v>454</v>
      </c>
      <c r="E76" s="289" t="s">
        <v>372</v>
      </c>
      <c r="F76" s="289" t="s">
        <v>516</v>
      </c>
      <c r="G76" s="289" t="s">
        <v>532</v>
      </c>
      <c r="H76" s="289" t="s">
        <v>517</v>
      </c>
      <c r="I76" s="289" t="s">
        <v>578</v>
      </c>
      <c r="J76" s="289" t="s">
        <v>569</v>
      </c>
      <c r="K76" s="659"/>
      <c r="L76" s="1"/>
    </row>
    <row r="77" spans="1:18" ht="15.75" thickBot="1" x14ac:dyDescent="0.3">
      <c r="A77" s="104" t="s">
        <v>63</v>
      </c>
      <c r="B77" s="105"/>
      <c r="C77" s="107">
        <f t="shared" ref="C77:J77" si="30">SUM(C78:C82)</f>
        <v>331300</v>
      </c>
      <c r="D77" s="107">
        <f t="shared" si="30"/>
        <v>331700</v>
      </c>
      <c r="E77" s="107">
        <f t="shared" si="30"/>
        <v>332700</v>
      </c>
      <c r="F77" s="107">
        <f t="shared" si="30"/>
        <v>332700</v>
      </c>
      <c r="G77" s="107">
        <f t="shared" si="30"/>
        <v>332700</v>
      </c>
      <c r="H77" s="107">
        <f t="shared" si="30"/>
        <v>332700</v>
      </c>
      <c r="I77" s="107">
        <f t="shared" ref="I77" si="31">SUM(I78:I82)</f>
        <v>332700</v>
      </c>
      <c r="J77" s="107">
        <f t="shared" si="30"/>
        <v>63073</v>
      </c>
      <c r="K77" s="659">
        <f t="shared" si="23"/>
        <v>0.18957920048091373</v>
      </c>
      <c r="L77" s="1"/>
    </row>
    <row r="78" spans="1:18" x14ac:dyDescent="0.25">
      <c r="A78" s="108" t="s">
        <v>64</v>
      </c>
      <c r="B78" s="84" t="s">
        <v>65</v>
      </c>
      <c r="C78" s="56">
        <v>171530</v>
      </c>
      <c r="D78" s="56">
        <v>171530</v>
      </c>
      <c r="E78" s="56">
        <v>171530</v>
      </c>
      <c r="F78" s="56">
        <v>171530</v>
      </c>
      <c r="G78" s="56">
        <v>171530</v>
      </c>
      <c r="H78" s="56">
        <v>171530</v>
      </c>
      <c r="I78" s="56">
        <v>171530</v>
      </c>
      <c r="J78" s="56">
        <v>19787</v>
      </c>
      <c r="K78" s="659">
        <f t="shared" si="23"/>
        <v>0.1153559144173031</v>
      </c>
      <c r="L78" s="1"/>
    </row>
    <row r="79" spans="1:18" x14ac:dyDescent="0.25">
      <c r="A79" s="110" t="s">
        <v>66</v>
      </c>
      <c r="B79" s="111" t="s">
        <v>67</v>
      </c>
      <c r="C79" s="61">
        <v>89970</v>
      </c>
      <c r="D79" s="61">
        <v>89970</v>
      </c>
      <c r="E79" s="603">
        <f>89970+1000</f>
        <v>90970</v>
      </c>
      <c r="F79" s="61">
        <f t="shared" ref="F79:I79" si="32">89970+1000</f>
        <v>90970</v>
      </c>
      <c r="G79" s="61">
        <f t="shared" si="32"/>
        <v>90970</v>
      </c>
      <c r="H79" s="61">
        <f t="shared" si="32"/>
        <v>90970</v>
      </c>
      <c r="I79" s="61">
        <f t="shared" si="32"/>
        <v>90970</v>
      </c>
      <c r="J79" s="61">
        <v>27617</v>
      </c>
      <c r="K79" s="659">
        <f t="shared" si="23"/>
        <v>0.30358359898867759</v>
      </c>
      <c r="L79" s="1"/>
    </row>
    <row r="80" spans="1:18" x14ac:dyDescent="0.25">
      <c r="A80" s="110" t="s">
        <v>68</v>
      </c>
      <c r="B80" s="111" t="s">
        <v>69</v>
      </c>
      <c r="C80" s="61">
        <v>4200</v>
      </c>
      <c r="D80" s="61">
        <v>4200</v>
      </c>
      <c r="E80" s="61">
        <v>4200</v>
      </c>
      <c r="F80" s="61">
        <v>4200</v>
      </c>
      <c r="G80" s="61">
        <v>4200</v>
      </c>
      <c r="H80" s="61">
        <v>4200</v>
      </c>
      <c r="I80" s="61">
        <v>4200</v>
      </c>
      <c r="J80" s="61">
        <v>1864</v>
      </c>
      <c r="K80" s="659">
        <f t="shared" si="23"/>
        <v>0.44380952380952382</v>
      </c>
      <c r="L80" s="1"/>
    </row>
    <row r="81" spans="1:12" x14ac:dyDescent="0.25">
      <c r="A81" s="112" t="s">
        <v>70</v>
      </c>
      <c r="B81" s="111" t="s">
        <v>71</v>
      </c>
      <c r="C81" s="61">
        <v>55000</v>
      </c>
      <c r="D81" s="603">
        <f>55000+400</f>
        <v>55400</v>
      </c>
      <c r="E81" s="61">
        <f>55000+400</f>
        <v>55400</v>
      </c>
      <c r="F81" s="61">
        <f t="shared" ref="F81:I81" si="33">55000+400</f>
        <v>55400</v>
      </c>
      <c r="G81" s="61">
        <f t="shared" si="33"/>
        <v>55400</v>
      </c>
      <c r="H81" s="61">
        <f t="shared" si="33"/>
        <v>55400</v>
      </c>
      <c r="I81" s="61">
        <f t="shared" si="33"/>
        <v>55400</v>
      </c>
      <c r="J81" s="61">
        <v>12078</v>
      </c>
      <c r="K81" s="659">
        <f t="shared" si="23"/>
        <v>0.218014440433213</v>
      </c>
      <c r="L81" s="1"/>
    </row>
    <row r="82" spans="1:12" ht="15.75" thickBot="1" x14ac:dyDescent="0.3">
      <c r="A82" s="113" t="s">
        <v>72</v>
      </c>
      <c r="B82" s="114" t="s">
        <v>189</v>
      </c>
      <c r="C82" s="115">
        <v>10600</v>
      </c>
      <c r="D82" s="115">
        <v>10600</v>
      </c>
      <c r="E82" s="115">
        <v>10600</v>
      </c>
      <c r="F82" s="115">
        <v>10600</v>
      </c>
      <c r="G82" s="115">
        <v>10600</v>
      </c>
      <c r="H82" s="115">
        <v>10600</v>
      </c>
      <c r="I82" s="115">
        <v>10600</v>
      </c>
      <c r="J82" s="115">
        <v>1727</v>
      </c>
      <c r="K82" s="659">
        <f t="shared" si="23"/>
        <v>0.16292452830188681</v>
      </c>
      <c r="L82" s="1"/>
    </row>
    <row r="83" spans="1:12" ht="15.75" thickBot="1" x14ac:dyDescent="0.3">
      <c r="A83" s="116" t="s">
        <v>73</v>
      </c>
      <c r="B83" s="117"/>
      <c r="C83" s="107">
        <f t="shared" ref="C83:J83" si="34">SUM(C84)</f>
        <v>5000</v>
      </c>
      <c r="D83" s="107">
        <f t="shared" si="34"/>
        <v>5015</v>
      </c>
      <c r="E83" s="107">
        <f t="shared" si="34"/>
        <v>5015</v>
      </c>
      <c r="F83" s="107">
        <f t="shared" si="34"/>
        <v>5015</v>
      </c>
      <c r="G83" s="107">
        <f t="shared" si="34"/>
        <v>5015</v>
      </c>
      <c r="H83" s="107">
        <f t="shared" si="34"/>
        <v>5015</v>
      </c>
      <c r="I83" s="107">
        <f t="shared" si="34"/>
        <v>5015</v>
      </c>
      <c r="J83" s="107">
        <f t="shared" si="34"/>
        <v>236</v>
      </c>
      <c r="K83" s="659">
        <f t="shared" si="23"/>
        <v>4.7058823529411764E-2</v>
      </c>
      <c r="L83" s="1"/>
    </row>
    <row r="84" spans="1:12" ht="15.75" thickBot="1" x14ac:dyDescent="0.3">
      <c r="A84" s="118" t="s">
        <v>74</v>
      </c>
      <c r="B84" s="102" t="s">
        <v>205</v>
      </c>
      <c r="C84" s="119">
        <v>5000</v>
      </c>
      <c r="D84" s="611">
        <f>5000+15</f>
        <v>5015</v>
      </c>
      <c r="E84" s="119">
        <f>5000+15</f>
        <v>5015</v>
      </c>
      <c r="F84" s="119">
        <f t="shared" ref="F84:I84" si="35">5000+15</f>
        <v>5015</v>
      </c>
      <c r="G84" s="119">
        <f t="shared" si="35"/>
        <v>5015</v>
      </c>
      <c r="H84" s="119">
        <f t="shared" si="35"/>
        <v>5015</v>
      </c>
      <c r="I84" s="119">
        <f t="shared" si="35"/>
        <v>5015</v>
      </c>
      <c r="J84" s="119">
        <v>236</v>
      </c>
      <c r="K84" s="659">
        <f t="shared" si="23"/>
        <v>4.7058823529411764E-2</v>
      </c>
      <c r="L84" s="1"/>
    </row>
    <row r="85" spans="1:12" ht="15.75" thickBot="1" x14ac:dyDescent="0.3">
      <c r="A85" s="116" t="s">
        <v>75</v>
      </c>
      <c r="B85" s="117"/>
      <c r="C85" s="107">
        <f t="shared" ref="C85:J85" si="36">SUM(C86:C87)</f>
        <v>24600</v>
      </c>
      <c r="D85" s="107">
        <f t="shared" si="36"/>
        <v>24600</v>
      </c>
      <c r="E85" s="107">
        <f t="shared" si="36"/>
        <v>30500</v>
      </c>
      <c r="F85" s="107">
        <f t="shared" si="36"/>
        <v>78200</v>
      </c>
      <c r="G85" s="107">
        <f t="shared" si="36"/>
        <v>78200</v>
      </c>
      <c r="H85" s="107">
        <f t="shared" si="36"/>
        <v>78200</v>
      </c>
      <c r="I85" s="107">
        <f t="shared" ref="I85" si="37">SUM(I86:I87)</f>
        <v>78200</v>
      </c>
      <c r="J85" s="107">
        <f t="shared" si="36"/>
        <v>1773</v>
      </c>
      <c r="K85" s="659">
        <f t="shared" si="23"/>
        <v>2.2672634271099744E-2</v>
      </c>
      <c r="L85" s="1"/>
    </row>
    <row r="86" spans="1:12" x14ac:dyDescent="0.25">
      <c r="A86" s="120" t="s">
        <v>76</v>
      </c>
      <c r="B86" s="121" t="s">
        <v>77</v>
      </c>
      <c r="C86" s="122">
        <v>21300</v>
      </c>
      <c r="D86" s="122">
        <v>21300</v>
      </c>
      <c r="E86" s="122">
        <v>21300</v>
      </c>
      <c r="F86" s="122">
        <v>21300</v>
      </c>
      <c r="G86" s="122">
        <v>21300</v>
      </c>
      <c r="H86" s="122">
        <v>21300</v>
      </c>
      <c r="I86" s="122">
        <v>21300</v>
      </c>
      <c r="J86" s="122">
        <v>1489</v>
      </c>
      <c r="K86" s="659">
        <f t="shared" si="23"/>
        <v>6.9906103286384982E-2</v>
      </c>
      <c r="L86" s="1"/>
    </row>
    <row r="87" spans="1:12" ht="15.75" thickBot="1" x14ac:dyDescent="0.3">
      <c r="A87" s="123" t="s">
        <v>78</v>
      </c>
      <c r="B87" s="124" t="s">
        <v>482</v>
      </c>
      <c r="C87" s="115">
        <v>3300</v>
      </c>
      <c r="D87" s="115">
        <f>3300</f>
        <v>3300</v>
      </c>
      <c r="E87" s="612">
        <f>3300+5900</f>
        <v>9200</v>
      </c>
      <c r="F87" s="612">
        <f>3300+5900+47700</f>
        <v>56900</v>
      </c>
      <c r="G87" s="115">
        <f t="shared" ref="G87:I87" si="38">3300+5900+47700</f>
        <v>56900</v>
      </c>
      <c r="H87" s="115">
        <f t="shared" si="38"/>
        <v>56900</v>
      </c>
      <c r="I87" s="115">
        <f t="shared" si="38"/>
        <v>56900</v>
      </c>
      <c r="J87" s="115">
        <v>284</v>
      </c>
      <c r="K87" s="659">
        <f t="shared" si="23"/>
        <v>4.9912126537785591E-3</v>
      </c>
      <c r="L87" s="1"/>
    </row>
    <row r="88" spans="1:12" ht="15.75" thickBot="1" x14ac:dyDescent="0.3">
      <c r="A88" s="104" t="s">
        <v>79</v>
      </c>
      <c r="B88" s="125"/>
      <c r="C88" s="107">
        <f t="shared" ref="C88:J88" si="39">SUM(C89:C91)</f>
        <v>106840</v>
      </c>
      <c r="D88" s="107">
        <f t="shared" si="39"/>
        <v>107140</v>
      </c>
      <c r="E88" s="107">
        <f t="shared" si="39"/>
        <v>107140</v>
      </c>
      <c r="F88" s="107">
        <f t="shared" si="39"/>
        <v>107140</v>
      </c>
      <c r="G88" s="107">
        <f t="shared" si="39"/>
        <v>107300</v>
      </c>
      <c r="H88" s="107">
        <f t="shared" si="39"/>
        <v>107300</v>
      </c>
      <c r="I88" s="107">
        <f t="shared" ref="I88" si="40">SUM(I89:I91)</f>
        <v>107300</v>
      </c>
      <c r="J88" s="107">
        <f t="shared" si="39"/>
        <v>33464</v>
      </c>
      <c r="K88" s="659">
        <f t="shared" si="23"/>
        <v>0.31187325256290771</v>
      </c>
      <c r="L88" s="1"/>
    </row>
    <row r="89" spans="1:12" x14ac:dyDescent="0.25">
      <c r="A89" s="126" t="s">
        <v>80</v>
      </c>
      <c r="B89" s="127" t="s">
        <v>81</v>
      </c>
      <c r="C89" s="55">
        <v>45900</v>
      </c>
      <c r="D89" s="55">
        <v>45900</v>
      </c>
      <c r="E89" s="55">
        <v>45900</v>
      </c>
      <c r="F89" s="55">
        <v>45900</v>
      </c>
      <c r="G89" s="55">
        <v>45900</v>
      </c>
      <c r="H89" s="55">
        <v>45900</v>
      </c>
      <c r="I89" s="55">
        <v>45900</v>
      </c>
      <c r="J89" s="55">
        <v>7126</v>
      </c>
      <c r="K89" s="659">
        <f t="shared" si="23"/>
        <v>0.15525054466230936</v>
      </c>
      <c r="L89" s="1"/>
    </row>
    <row r="90" spans="1:12" x14ac:dyDescent="0.25">
      <c r="A90" s="112" t="s">
        <v>82</v>
      </c>
      <c r="B90" s="111" t="s">
        <v>83</v>
      </c>
      <c r="C90" s="60">
        <v>37440</v>
      </c>
      <c r="D90" s="604">
        <f>37440+300</f>
        <v>37740</v>
      </c>
      <c r="E90" s="60">
        <f>37440+300</f>
        <v>37740</v>
      </c>
      <c r="F90" s="60">
        <f t="shared" ref="F90" si="41">37440+300</f>
        <v>37740</v>
      </c>
      <c r="G90" s="604">
        <f>37440+300+160</f>
        <v>37900</v>
      </c>
      <c r="H90" s="60">
        <f>37440+300+160</f>
        <v>37900</v>
      </c>
      <c r="I90" s="60">
        <f>37440+300+160</f>
        <v>37900</v>
      </c>
      <c r="J90" s="60">
        <v>9879</v>
      </c>
      <c r="K90" s="659">
        <f t="shared" si="23"/>
        <v>0.26065963060686015</v>
      </c>
      <c r="L90" s="1"/>
    </row>
    <row r="91" spans="1:12" ht="15.75" thickBot="1" x14ac:dyDescent="0.3">
      <c r="A91" s="112" t="s">
        <v>84</v>
      </c>
      <c r="B91" s="111" t="s">
        <v>85</v>
      </c>
      <c r="C91" s="60">
        <v>23500</v>
      </c>
      <c r="D91" s="60">
        <v>23500</v>
      </c>
      <c r="E91" s="60">
        <v>23500</v>
      </c>
      <c r="F91" s="60">
        <v>23500</v>
      </c>
      <c r="G91" s="60">
        <v>23500</v>
      </c>
      <c r="H91" s="60">
        <v>23500</v>
      </c>
      <c r="I91" s="60">
        <v>23500</v>
      </c>
      <c r="J91" s="60">
        <v>16459</v>
      </c>
      <c r="K91" s="659">
        <f t="shared" si="23"/>
        <v>0.70038297872340427</v>
      </c>
      <c r="L91" s="1"/>
    </row>
    <row r="92" spans="1:12" ht="15.75" thickBot="1" x14ac:dyDescent="0.3">
      <c r="A92" s="689" t="s">
        <v>86</v>
      </c>
      <c r="B92" s="690"/>
      <c r="C92" s="107">
        <f t="shared" ref="C92:J92" si="42">SUM(C93:C96)</f>
        <v>148890</v>
      </c>
      <c r="D92" s="107">
        <f t="shared" si="42"/>
        <v>148890</v>
      </c>
      <c r="E92" s="107">
        <f t="shared" si="42"/>
        <v>143890</v>
      </c>
      <c r="F92" s="107">
        <f t="shared" si="42"/>
        <v>143890</v>
      </c>
      <c r="G92" s="107">
        <f t="shared" si="42"/>
        <v>154430</v>
      </c>
      <c r="H92" s="107">
        <f t="shared" si="42"/>
        <v>153530</v>
      </c>
      <c r="I92" s="107">
        <f t="shared" ref="I92" si="43">SUM(I93:I96)</f>
        <v>153530</v>
      </c>
      <c r="J92" s="107">
        <f t="shared" si="42"/>
        <v>21788</v>
      </c>
      <c r="K92" s="659">
        <f t="shared" si="23"/>
        <v>0.14191363251481795</v>
      </c>
      <c r="L92" s="1"/>
    </row>
    <row r="93" spans="1:12" x14ac:dyDescent="0.25">
      <c r="A93" s="129" t="s">
        <v>87</v>
      </c>
      <c r="B93" s="130" t="s">
        <v>88</v>
      </c>
      <c r="C93" s="122">
        <v>84600</v>
      </c>
      <c r="D93" s="122">
        <v>84600</v>
      </c>
      <c r="E93" s="122">
        <v>84600</v>
      </c>
      <c r="F93" s="122">
        <v>84600</v>
      </c>
      <c r="G93" s="666">
        <f>84600+10540</f>
        <v>95140</v>
      </c>
      <c r="H93" s="666">
        <f>84600+10540-900</f>
        <v>94240</v>
      </c>
      <c r="I93" s="122">
        <f>84600+10540-900</f>
        <v>94240</v>
      </c>
      <c r="J93" s="122">
        <v>14862</v>
      </c>
      <c r="K93" s="659">
        <f t="shared" si="23"/>
        <v>0.15770373514431241</v>
      </c>
      <c r="L93" s="1"/>
    </row>
    <row r="94" spans="1:12" x14ac:dyDescent="0.25">
      <c r="A94" s="112" t="s">
        <v>89</v>
      </c>
      <c r="B94" s="111" t="s">
        <v>90</v>
      </c>
      <c r="C94" s="128">
        <v>50000</v>
      </c>
      <c r="D94" s="128">
        <v>50000</v>
      </c>
      <c r="E94" s="617">
        <f>50000-5000</f>
        <v>45000</v>
      </c>
      <c r="F94" s="128">
        <f t="shared" ref="F94:I94" si="44">50000-5000</f>
        <v>45000</v>
      </c>
      <c r="G94" s="128">
        <f t="shared" si="44"/>
        <v>45000</v>
      </c>
      <c r="H94" s="128">
        <f t="shared" si="44"/>
        <v>45000</v>
      </c>
      <c r="I94" s="128">
        <f t="shared" si="44"/>
        <v>45000</v>
      </c>
      <c r="J94" s="128">
        <v>6478</v>
      </c>
      <c r="K94" s="659">
        <f t="shared" si="23"/>
        <v>0.14395555555555556</v>
      </c>
      <c r="L94" s="1"/>
    </row>
    <row r="95" spans="1:12" x14ac:dyDescent="0.25">
      <c r="A95" s="118" t="s">
        <v>91</v>
      </c>
      <c r="B95" s="131" t="s">
        <v>92</v>
      </c>
      <c r="C95" s="133">
        <v>1800</v>
      </c>
      <c r="D95" s="133">
        <v>1800</v>
      </c>
      <c r="E95" s="133">
        <v>1800</v>
      </c>
      <c r="F95" s="133">
        <v>1800</v>
      </c>
      <c r="G95" s="133">
        <v>1800</v>
      </c>
      <c r="H95" s="133">
        <v>1800</v>
      </c>
      <c r="I95" s="133">
        <v>1800</v>
      </c>
      <c r="J95" s="133">
        <v>0</v>
      </c>
      <c r="K95" s="659">
        <f t="shared" si="23"/>
        <v>0</v>
      </c>
      <c r="L95" s="1"/>
    </row>
    <row r="96" spans="1:12" ht="15.75" thickBot="1" x14ac:dyDescent="0.3">
      <c r="A96" s="134" t="s">
        <v>93</v>
      </c>
      <c r="B96" s="135" t="s">
        <v>94</v>
      </c>
      <c r="C96" s="138">
        <v>12490</v>
      </c>
      <c r="D96" s="138">
        <v>12490</v>
      </c>
      <c r="E96" s="138">
        <v>12490</v>
      </c>
      <c r="F96" s="138">
        <v>12490</v>
      </c>
      <c r="G96" s="138">
        <v>12490</v>
      </c>
      <c r="H96" s="138">
        <v>12490</v>
      </c>
      <c r="I96" s="138">
        <v>12490</v>
      </c>
      <c r="J96" s="138">
        <v>448</v>
      </c>
      <c r="K96" s="659">
        <f t="shared" si="23"/>
        <v>3.5868694955964772E-2</v>
      </c>
      <c r="L96" s="1"/>
    </row>
    <row r="97" spans="1:14" ht="15.75" thickBot="1" x14ac:dyDescent="0.3">
      <c r="A97" s="104" t="s">
        <v>95</v>
      </c>
      <c r="B97" s="125"/>
      <c r="C97" s="106">
        <f t="shared" ref="C97:J97" si="45">SUM(C98:C100)</f>
        <v>222291</v>
      </c>
      <c r="D97" s="106">
        <f t="shared" si="45"/>
        <v>222291</v>
      </c>
      <c r="E97" s="106">
        <f t="shared" si="45"/>
        <v>223851</v>
      </c>
      <c r="F97" s="106">
        <f t="shared" si="45"/>
        <v>223851</v>
      </c>
      <c r="G97" s="106">
        <f t="shared" si="45"/>
        <v>223851</v>
      </c>
      <c r="H97" s="106">
        <f t="shared" si="45"/>
        <v>223851</v>
      </c>
      <c r="I97" s="106">
        <f t="shared" ref="I97" si="46">SUM(I98:I100)</f>
        <v>223851</v>
      </c>
      <c r="J97" s="106">
        <f t="shared" si="45"/>
        <v>41416</v>
      </c>
      <c r="K97" s="659">
        <f t="shared" si="23"/>
        <v>0.18501592577205372</v>
      </c>
      <c r="L97" s="1"/>
    </row>
    <row r="98" spans="1:14" x14ac:dyDescent="0.25">
      <c r="A98" s="126" t="s">
        <v>96</v>
      </c>
      <c r="B98" s="84" t="s">
        <v>97</v>
      </c>
      <c r="C98" s="109">
        <v>155451</v>
      </c>
      <c r="D98" s="109">
        <v>155451</v>
      </c>
      <c r="E98" s="618">
        <f>155451+360</f>
        <v>155811</v>
      </c>
      <c r="F98" s="109">
        <f>155451+360</f>
        <v>155811</v>
      </c>
      <c r="G98" s="109">
        <f t="shared" ref="G98:I98" si="47">155451+360</f>
        <v>155811</v>
      </c>
      <c r="H98" s="109">
        <f t="shared" si="47"/>
        <v>155811</v>
      </c>
      <c r="I98" s="109">
        <f t="shared" si="47"/>
        <v>155811</v>
      </c>
      <c r="J98" s="109">
        <v>29927</v>
      </c>
      <c r="K98" s="659">
        <f t="shared" si="23"/>
        <v>0.19207244674637863</v>
      </c>
      <c r="L98" s="1"/>
    </row>
    <row r="99" spans="1:14" x14ac:dyDescent="0.25">
      <c r="A99" s="136" t="s">
        <v>98</v>
      </c>
      <c r="B99" s="111" t="s">
        <v>99</v>
      </c>
      <c r="C99" s="128">
        <v>49600</v>
      </c>
      <c r="D99" s="128">
        <v>49600</v>
      </c>
      <c r="E99" s="128">
        <v>49600</v>
      </c>
      <c r="F99" s="128">
        <v>49600</v>
      </c>
      <c r="G99" s="128">
        <v>49600</v>
      </c>
      <c r="H99" s="128">
        <v>49600</v>
      </c>
      <c r="I99" s="128">
        <v>49600</v>
      </c>
      <c r="J99" s="128">
        <v>6874</v>
      </c>
      <c r="K99" s="659">
        <f t="shared" si="23"/>
        <v>0.13858870967741935</v>
      </c>
      <c r="L99" s="1"/>
    </row>
    <row r="100" spans="1:14" ht="15.75" thickBot="1" x14ac:dyDescent="0.3">
      <c r="A100" s="137" t="s">
        <v>100</v>
      </c>
      <c r="B100" s="135" t="s">
        <v>101</v>
      </c>
      <c r="C100" s="138">
        <v>17240</v>
      </c>
      <c r="D100" s="138">
        <v>17240</v>
      </c>
      <c r="E100" s="619">
        <f>17240+1200</f>
        <v>18440</v>
      </c>
      <c r="F100" s="138">
        <f t="shared" ref="F100:I100" si="48">17240+1200</f>
        <v>18440</v>
      </c>
      <c r="G100" s="138">
        <f t="shared" si="48"/>
        <v>18440</v>
      </c>
      <c r="H100" s="138">
        <f t="shared" si="48"/>
        <v>18440</v>
      </c>
      <c r="I100" s="138">
        <f t="shared" si="48"/>
        <v>18440</v>
      </c>
      <c r="J100" s="138">
        <v>4615</v>
      </c>
      <c r="K100" s="659">
        <f t="shared" si="23"/>
        <v>0.25027114967462039</v>
      </c>
      <c r="L100" s="1"/>
    </row>
    <row r="101" spans="1:14" ht="15.75" thickBot="1" x14ac:dyDescent="0.3">
      <c r="A101" s="139" t="s">
        <v>102</v>
      </c>
      <c r="B101" s="140"/>
      <c r="C101" s="141">
        <f>SUM(C102:C104)</f>
        <v>830</v>
      </c>
      <c r="D101" s="141">
        <f>SUM(D102:D104)</f>
        <v>830</v>
      </c>
      <c r="E101" s="141">
        <f>SUM(E102:E104)</f>
        <v>830</v>
      </c>
      <c r="F101" s="141">
        <f t="shared" ref="F101:J101" si="49">SUM(F102:F104)</f>
        <v>830</v>
      </c>
      <c r="G101" s="141">
        <f t="shared" si="49"/>
        <v>830</v>
      </c>
      <c r="H101" s="141">
        <f t="shared" si="49"/>
        <v>830</v>
      </c>
      <c r="I101" s="141">
        <f t="shared" ref="I101" si="50">SUM(I102:I104)</f>
        <v>830</v>
      </c>
      <c r="J101" s="141">
        <f t="shared" si="49"/>
        <v>80</v>
      </c>
      <c r="K101" s="659">
        <f t="shared" si="23"/>
        <v>9.6385542168674704E-2</v>
      </c>
      <c r="L101" s="1"/>
    </row>
    <row r="102" spans="1:14" x14ac:dyDescent="0.25">
      <c r="A102" s="120" t="s">
        <v>103</v>
      </c>
      <c r="B102" s="130" t="s">
        <v>104</v>
      </c>
      <c r="C102" s="142">
        <v>100</v>
      </c>
      <c r="D102" s="142">
        <v>100</v>
      </c>
      <c r="E102" s="142">
        <v>100</v>
      </c>
      <c r="F102" s="142">
        <v>100</v>
      </c>
      <c r="G102" s="142">
        <v>100</v>
      </c>
      <c r="H102" s="142">
        <v>100</v>
      </c>
      <c r="I102" s="142">
        <v>100</v>
      </c>
      <c r="J102" s="142">
        <v>0</v>
      </c>
      <c r="K102" s="659">
        <f t="shared" si="23"/>
        <v>0</v>
      </c>
      <c r="L102" s="1"/>
    </row>
    <row r="103" spans="1:14" x14ac:dyDescent="0.25">
      <c r="A103" s="136" t="s">
        <v>105</v>
      </c>
      <c r="B103" s="111" t="s">
        <v>106</v>
      </c>
      <c r="C103" s="144">
        <v>100</v>
      </c>
      <c r="D103" s="144">
        <v>100</v>
      </c>
      <c r="E103" s="144">
        <v>100</v>
      </c>
      <c r="F103" s="144">
        <v>100</v>
      </c>
      <c r="G103" s="144">
        <v>100</v>
      </c>
      <c r="H103" s="144">
        <v>100</v>
      </c>
      <c r="I103" s="144">
        <v>100</v>
      </c>
      <c r="J103" s="144">
        <v>0</v>
      </c>
      <c r="K103" s="659">
        <f t="shared" si="23"/>
        <v>0</v>
      </c>
      <c r="L103" s="1"/>
    </row>
    <row r="104" spans="1:14" x14ac:dyDescent="0.25">
      <c r="A104" s="136" t="s">
        <v>107</v>
      </c>
      <c r="B104" s="111" t="s">
        <v>108</v>
      </c>
      <c r="C104" s="60">
        <v>630</v>
      </c>
      <c r="D104" s="60">
        <v>630</v>
      </c>
      <c r="E104" s="60">
        <v>630</v>
      </c>
      <c r="F104" s="60">
        <v>630</v>
      </c>
      <c r="G104" s="60">
        <v>630</v>
      </c>
      <c r="H104" s="60">
        <v>630</v>
      </c>
      <c r="I104" s="60">
        <v>630</v>
      </c>
      <c r="J104" s="60">
        <v>80</v>
      </c>
      <c r="K104" s="659">
        <f t="shared" si="23"/>
        <v>0.12698412698412698</v>
      </c>
      <c r="L104" s="1"/>
    </row>
    <row r="105" spans="1:14" ht="15.75" thickBot="1" x14ac:dyDescent="0.3">
      <c r="A105" s="146" t="s">
        <v>109</v>
      </c>
      <c r="B105" s="147"/>
      <c r="C105" s="148">
        <f t="shared" ref="C105:J105" si="51">SUM(C106:C110)</f>
        <v>131400</v>
      </c>
      <c r="D105" s="148">
        <f t="shared" si="51"/>
        <v>131400</v>
      </c>
      <c r="E105" s="148">
        <f t="shared" si="51"/>
        <v>131600</v>
      </c>
      <c r="F105" s="148">
        <f t="shared" si="51"/>
        <v>135600</v>
      </c>
      <c r="G105" s="148">
        <f t="shared" si="51"/>
        <v>134600</v>
      </c>
      <c r="H105" s="148">
        <f t="shared" si="51"/>
        <v>134600</v>
      </c>
      <c r="I105" s="148">
        <f t="shared" ref="I105" si="52">SUM(I106:I110)</f>
        <v>134600</v>
      </c>
      <c r="J105" s="148">
        <f t="shared" si="51"/>
        <v>17475</v>
      </c>
      <c r="K105" s="659">
        <f t="shared" si="23"/>
        <v>0.1298291233283804</v>
      </c>
      <c r="L105" s="1"/>
    </row>
    <row r="106" spans="1:14" x14ac:dyDescent="0.25">
      <c r="A106" s="129" t="s">
        <v>110</v>
      </c>
      <c r="B106" s="130" t="s">
        <v>111</v>
      </c>
      <c r="C106" s="122">
        <v>46000</v>
      </c>
      <c r="D106" s="122">
        <v>46000</v>
      </c>
      <c r="E106" s="122">
        <v>46000</v>
      </c>
      <c r="F106" s="122">
        <v>46000</v>
      </c>
      <c r="G106" s="666">
        <f>46000-1000</f>
        <v>45000</v>
      </c>
      <c r="H106" s="122">
        <f>46000-1000</f>
        <v>45000</v>
      </c>
      <c r="I106" s="122">
        <f>46000-1000</f>
        <v>45000</v>
      </c>
      <c r="J106" s="122">
        <v>7564</v>
      </c>
      <c r="K106" s="659">
        <f t="shared" si="23"/>
        <v>0.1680888888888889</v>
      </c>
      <c r="L106" s="1"/>
    </row>
    <row r="107" spans="1:14" x14ac:dyDescent="0.25">
      <c r="A107" s="149" t="s">
        <v>112</v>
      </c>
      <c r="B107" s="150" t="s">
        <v>113</v>
      </c>
      <c r="C107" s="55">
        <v>55500</v>
      </c>
      <c r="D107" s="55">
        <v>55500</v>
      </c>
      <c r="E107" s="614">
        <f>55500+200</f>
        <v>55700</v>
      </c>
      <c r="F107" s="614">
        <f>55500+200+4000</f>
        <v>59700</v>
      </c>
      <c r="G107" s="55">
        <f t="shared" ref="G107:I107" si="53">55500+200+4000</f>
        <v>59700</v>
      </c>
      <c r="H107" s="55">
        <f t="shared" si="53"/>
        <v>59700</v>
      </c>
      <c r="I107" s="55">
        <f t="shared" si="53"/>
        <v>59700</v>
      </c>
      <c r="J107" s="55">
        <v>8990</v>
      </c>
      <c r="K107" s="659">
        <f t="shared" si="23"/>
        <v>0.15058626465661643</v>
      </c>
      <c r="L107" s="1"/>
    </row>
    <row r="108" spans="1:14" x14ac:dyDescent="0.25">
      <c r="A108" s="149" t="s">
        <v>114</v>
      </c>
      <c r="B108" s="84" t="s">
        <v>115</v>
      </c>
      <c r="C108" s="55">
        <v>5800</v>
      </c>
      <c r="D108" s="55">
        <v>5800</v>
      </c>
      <c r="E108" s="55">
        <v>5800</v>
      </c>
      <c r="F108" s="55">
        <f>5800</f>
        <v>5800</v>
      </c>
      <c r="G108" s="55">
        <f>5800</f>
        <v>5800</v>
      </c>
      <c r="H108" s="55">
        <f>5800</f>
        <v>5800</v>
      </c>
      <c r="I108" s="55">
        <f>5800</f>
        <v>5800</v>
      </c>
      <c r="J108" s="55">
        <v>247</v>
      </c>
      <c r="K108" s="659">
        <f t="shared" si="23"/>
        <v>4.2586206896551723E-2</v>
      </c>
      <c r="L108" s="1"/>
    </row>
    <row r="109" spans="1:14" x14ac:dyDescent="0.25">
      <c r="A109" s="149" t="s">
        <v>116</v>
      </c>
      <c r="B109" s="84" t="s">
        <v>117</v>
      </c>
      <c r="C109" s="55">
        <v>19000</v>
      </c>
      <c r="D109" s="55">
        <v>19000</v>
      </c>
      <c r="E109" s="55">
        <v>19000</v>
      </c>
      <c r="F109" s="55">
        <v>19000</v>
      </c>
      <c r="G109" s="55">
        <v>19000</v>
      </c>
      <c r="H109" s="55">
        <v>19000</v>
      </c>
      <c r="I109" s="55">
        <v>19000</v>
      </c>
      <c r="J109" s="55">
        <v>674</v>
      </c>
      <c r="K109" s="659">
        <f t="shared" si="23"/>
        <v>3.5473684210526317E-2</v>
      </c>
      <c r="L109" s="1"/>
    </row>
    <row r="110" spans="1:14" ht="15.75" thickBot="1" x14ac:dyDescent="0.3">
      <c r="A110" s="134" t="s">
        <v>118</v>
      </c>
      <c r="B110" s="135" t="s">
        <v>119</v>
      </c>
      <c r="C110" s="145">
        <v>5100</v>
      </c>
      <c r="D110" s="145">
        <v>5100</v>
      </c>
      <c r="E110" s="145">
        <v>5100</v>
      </c>
      <c r="F110" s="145">
        <v>5100</v>
      </c>
      <c r="G110" s="145">
        <v>5100</v>
      </c>
      <c r="H110" s="145">
        <v>5100</v>
      </c>
      <c r="I110" s="145">
        <v>5100</v>
      </c>
      <c r="J110" s="145">
        <v>0</v>
      </c>
      <c r="K110" s="659">
        <f t="shared" si="23"/>
        <v>0</v>
      </c>
      <c r="L110" s="1"/>
    </row>
    <row r="111" spans="1:14" ht="15.75" thickBot="1" x14ac:dyDescent="0.3">
      <c r="A111" s="116" t="s">
        <v>120</v>
      </c>
      <c r="B111" s="117"/>
      <c r="C111" s="106">
        <f t="shared" ref="C111:J111" si="54">SUM(C112:C119)</f>
        <v>485000</v>
      </c>
      <c r="D111" s="106">
        <f t="shared" si="54"/>
        <v>495173</v>
      </c>
      <c r="E111" s="106">
        <f t="shared" si="54"/>
        <v>499013</v>
      </c>
      <c r="F111" s="106">
        <f t="shared" si="54"/>
        <v>499413</v>
      </c>
      <c r="G111" s="106">
        <f t="shared" si="54"/>
        <v>501133</v>
      </c>
      <c r="H111" s="106">
        <f t="shared" si="54"/>
        <v>501133</v>
      </c>
      <c r="I111" s="106">
        <f t="shared" ref="I111" si="55">SUM(I112:I119)</f>
        <v>501133</v>
      </c>
      <c r="J111" s="106">
        <f t="shared" si="54"/>
        <v>122387</v>
      </c>
      <c r="K111" s="659">
        <f t="shared" si="23"/>
        <v>0.2442205961291713</v>
      </c>
      <c r="L111" s="1"/>
      <c r="M111" s="27"/>
      <c r="N111" s="27"/>
    </row>
    <row r="112" spans="1:14" x14ac:dyDescent="0.25">
      <c r="A112" s="151" t="s">
        <v>121</v>
      </c>
      <c r="B112" s="152" t="s">
        <v>122</v>
      </c>
      <c r="C112" s="153">
        <v>203000</v>
      </c>
      <c r="D112" s="613">
        <f>203000+7573</f>
        <v>210573</v>
      </c>
      <c r="E112" s="153">
        <f>203000+7573</f>
        <v>210573</v>
      </c>
      <c r="F112" s="153">
        <f>203000+7573</f>
        <v>210573</v>
      </c>
      <c r="G112" s="153">
        <f t="shared" ref="G112:I112" si="56">203000+7573</f>
        <v>210573</v>
      </c>
      <c r="H112" s="153">
        <f t="shared" si="56"/>
        <v>210573</v>
      </c>
      <c r="I112" s="153">
        <f t="shared" si="56"/>
        <v>210573</v>
      </c>
      <c r="J112" s="153">
        <v>50307</v>
      </c>
      <c r="K112" s="659">
        <f t="shared" si="23"/>
        <v>0.2389052727557664</v>
      </c>
      <c r="L112" s="1"/>
    </row>
    <row r="113" spans="1:17" x14ac:dyDescent="0.25">
      <c r="A113" s="656" t="s">
        <v>123</v>
      </c>
      <c r="B113" s="127" t="s">
        <v>508</v>
      </c>
      <c r="C113" s="56">
        <v>0</v>
      </c>
      <c r="D113" s="56">
        <v>0</v>
      </c>
      <c r="E113" s="657">
        <v>1720</v>
      </c>
      <c r="F113" s="56">
        <v>1720</v>
      </c>
      <c r="G113" s="657">
        <f>1720+1720</f>
        <v>3440</v>
      </c>
      <c r="H113" s="56">
        <f>1720+1720</f>
        <v>3440</v>
      </c>
      <c r="I113" s="56">
        <f>1720+1720</f>
        <v>3440</v>
      </c>
      <c r="J113" s="56">
        <v>1720</v>
      </c>
      <c r="K113" s="659">
        <f t="shared" si="23"/>
        <v>0.5</v>
      </c>
      <c r="L113" s="1"/>
    </row>
    <row r="114" spans="1:17" x14ac:dyDescent="0.25">
      <c r="A114" s="154" t="s">
        <v>124</v>
      </c>
      <c r="B114" s="155" t="s">
        <v>509</v>
      </c>
      <c r="C114" s="61">
        <v>3700</v>
      </c>
      <c r="D114" s="61">
        <v>3700</v>
      </c>
      <c r="E114" s="603">
        <f>3700+100+1720</f>
        <v>5520</v>
      </c>
      <c r="F114" s="603">
        <f>3700+100+1720+400</f>
        <v>5920</v>
      </c>
      <c r="G114" s="61">
        <f t="shared" ref="G114:I114" si="57">3700+100+1720+400</f>
        <v>5920</v>
      </c>
      <c r="H114" s="61">
        <f t="shared" si="57"/>
        <v>5920</v>
      </c>
      <c r="I114" s="61">
        <f t="shared" si="57"/>
        <v>5920</v>
      </c>
      <c r="J114" s="61">
        <v>1383</v>
      </c>
      <c r="K114" s="659">
        <f t="shared" si="23"/>
        <v>0.23361486486486485</v>
      </c>
      <c r="L114" s="1"/>
    </row>
    <row r="115" spans="1:17" x14ac:dyDescent="0.25">
      <c r="A115" s="154" t="s">
        <v>125</v>
      </c>
      <c r="B115" s="155" t="s">
        <v>126</v>
      </c>
      <c r="C115" s="61">
        <v>44380</v>
      </c>
      <c r="D115" s="61">
        <v>44380</v>
      </c>
      <c r="E115" s="61">
        <v>44380</v>
      </c>
      <c r="F115" s="61">
        <v>44380</v>
      </c>
      <c r="G115" s="61">
        <v>44380</v>
      </c>
      <c r="H115" s="61">
        <v>44380</v>
      </c>
      <c r="I115" s="61">
        <v>44380</v>
      </c>
      <c r="J115" s="61">
        <v>8251</v>
      </c>
      <c r="K115" s="659">
        <f t="shared" si="23"/>
        <v>0.18591707976566021</v>
      </c>
      <c r="L115" s="1"/>
    </row>
    <row r="116" spans="1:17" x14ac:dyDescent="0.25">
      <c r="A116" s="154" t="s">
        <v>127</v>
      </c>
      <c r="B116" s="155" t="s">
        <v>128</v>
      </c>
      <c r="C116" s="60">
        <v>87002</v>
      </c>
      <c r="D116" s="60">
        <f>87002</f>
        <v>87002</v>
      </c>
      <c r="E116" s="60">
        <f>87002</f>
        <v>87002</v>
      </c>
      <c r="F116" s="60">
        <f t="shared" ref="F116:I116" si="58">87002</f>
        <v>87002</v>
      </c>
      <c r="G116" s="60">
        <f t="shared" si="58"/>
        <v>87002</v>
      </c>
      <c r="H116" s="60">
        <f t="shared" si="58"/>
        <v>87002</v>
      </c>
      <c r="I116" s="60">
        <f t="shared" si="58"/>
        <v>87002</v>
      </c>
      <c r="J116" s="60">
        <v>13116</v>
      </c>
      <c r="K116" s="659">
        <f t="shared" si="23"/>
        <v>0.1507551550539068</v>
      </c>
      <c r="L116" s="1"/>
      <c r="M116" s="288"/>
      <c r="N116" s="288"/>
      <c r="Q116" s="406"/>
    </row>
    <row r="117" spans="1:17" x14ac:dyDescent="0.25">
      <c r="A117" s="154" t="s">
        <v>129</v>
      </c>
      <c r="B117" s="155" t="s">
        <v>187</v>
      </c>
      <c r="C117" s="60">
        <v>145118</v>
      </c>
      <c r="D117" s="604">
        <f>145118+2600</f>
        <v>147718</v>
      </c>
      <c r="E117" s="60">
        <f>145118+2600</f>
        <v>147718</v>
      </c>
      <c r="F117" s="60">
        <f t="shared" ref="F117:I117" si="59">145118+2600</f>
        <v>147718</v>
      </c>
      <c r="G117" s="60">
        <f t="shared" si="59"/>
        <v>147718</v>
      </c>
      <c r="H117" s="60">
        <f t="shared" si="59"/>
        <v>147718</v>
      </c>
      <c r="I117" s="60">
        <f t="shared" si="59"/>
        <v>147718</v>
      </c>
      <c r="J117" s="60">
        <v>46821</v>
      </c>
      <c r="K117" s="659">
        <f t="shared" si="23"/>
        <v>0.31696204931017208</v>
      </c>
      <c r="L117" s="27">
        <f>SUM(C115:C117)</f>
        <v>276500</v>
      </c>
      <c r="M117" s="27">
        <f>SUM(D115:D117)</f>
        <v>279100</v>
      </c>
      <c r="N117" s="27">
        <f t="shared" ref="N117" si="60">SUM(E115:E117)</f>
        <v>279100</v>
      </c>
    </row>
    <row r="118" spans="1:17" x14ac:dyDescent="0.25">
      <c r="A118" s="156" t="s">
        <v>130</v>
      </c>
      <c r="B118" s="155" t="s">
        <v>188</v>
      </c>
      <c r="C118" s="157">
        <v>500</v>
      </c>
      <c r="D118" s="157">
        <v>500</v>
      </c>
      <c r="E118" s="620">
        <f>500+300</f>
        <v>800</v>
      </c>
      <c r="F118" s="157">
        <f t="shared" ref="F118:I118" si="61">500+300</f>
        <v>800</v>
      </c>
      <c r="G118" s="157">
        <f t="shared" si="61"/>
        <v>800</v>
      </c>
      <c r="H118" s="157">
        <f t="shared" si="61"/>
        <v>800</v>
      </c>
      <c r="I118" s="157">
        <f t="shared" si="61"/>
        <v>800</v>
      </c>
      <c r="J118" s="157">
        <v>789</v>
      </c>
      <c r="K118" s="659">
        <f t="shared" si="23"/>
        <v>0.98624999999999996</v>
      </c>
      <c r="L118" s="1"/>
    </row>
    <row r="119" spans="1:17" ht="15.75" thickBot="1" x14ac:dyDescent="0.3">
      <c r="A119" s="154" t="s">
        <v>131</v>
      </c>
      <c r="B119" s="155" t="s">
        <v>199</v>
      </c>
      <c r="C119" s="157">
        <v>1300</v>
      </c>
      <c r="D119" s="157">
        <v>1300</v>
      </c>
      <c r="E119" s="157">
        <v>1300</v>
      </c>
      <c r="F119" s="157">
        <v>1300</v>
      </c>
      <c r="G119" s="157">
        <v>1300</v>
      </c>
      <c r="H119" s="157">
        <v>1300</v>
      </c>
      <c r="I119" s="157">
        <v>1300</v>
      </c>
      <c r="J119" s="157">
        <v>0</v>
      </c>
      <c r="K119" s="659">
        <f t="shared" si="23"/>
        <v>0</v>
      </c>
      <c r="L119" s="1"/>
    </row>
    <row r="120" spans="1:17" ht="15.75" thickBot="1" x14ac:dyDescent="0.3">
      <c r="A120" s="104" t="s">
        <v>132</v>
      </c>
      <c r="B120" s="105"/>
      <c r="C120" s="107">
        <f t="shared" ref="C120:J120" si="62">SUM(C121:C125)</f>
        <v>345080</v>
      </c>
      <c r="D120" s="107">
        <f t="shared" si="62"/>
        <v>345260</v>
      </c>
      <c r="E120" s="107">
        <f t="shared" si="62"/>
        <v>345460</v>
      </c>
      <c r="F120" s="107">
        <f t="shared" si="62"/>
        <v>345460</v>
      </c>
      <c r="G120" s="107">
        <f t="shared" si="62"/>
        <v>345460</v>
      </c>
      <c r="H120" s="107">
        <f t="shared" si="62"/>
        <v>347060</v>
      </c>
      <c r="I120" s="107">
        <f t="shared" ref="I120" si="63">SUM(I121:I125)</f>
        <v>347060</v>
      </c>
      <c r="J120" s="107">
        <f t="shared" si="62"/>
        <v>53225</v>
      </c>
      <c r="K120" s="659">
        <f t="shared" si="23"/>
        <v>0.15335964962830634</v>
      </c>
      <c r="L120" s="1"/>
    </row>
    <row r="121" spans="1:17" x14ac:dyDescent="0.25">
      <c r="A121" s="149" t="s">
        <v>133</v>
      </c>
      <c r="B121" s="84" t="s">
        <v>206</v>
      </c>
      <c r="C121" s="55">
        <v>329300</v>
      </c>
      <c r="D121" s="55">
        <f>329300+400-400</f>
        <v>329300</v>
      </c>
      <c r="E121" s="614">
        <f>329300+200</f>
        <v>329500</v>
      </c>
      <c r="F121" s="55">
        <f t="shared" ref="F121:I121" si="64">329300+200</f>
        <v>329500</v>
      </c>
      <c r="G121" s="55">
        <f t="shared" si="64"/>
        <v>329500</v>
      </c>
      <c r="H121" s="55">
        <f t="shared" si="64"/>
        <v>329500</v>
      </c>
      <c r="I121" s="55">
        <f t="shared" si="64"/>
        <v>329500</v>
      </c>
      <c r="J121" s="55">
        <v>49737</v>
      </c>
      <c r="K121" s="659">
        <f t="shared" si="23"/>
        <v>0.15094688922610014</v>
      </c>
      <c r="L121" s="1"/>
    </row>
    <row r="122" spans="1:17" x14ac:dyDescent="0.25">
      <c r="A122" s="149" t="s">
        <v>134</v>
      </c>
      <c r="B122" s="84" t="s">
        <v>135</v>
      </c>
      <c r="C122" s="55">
        <v>680</v>
      </c>
      <c r="D122" s="614">
        <f>680+180</f>
        <v>860</v>
      </c>
      <c r="E122" s="55">
        <f>680+180</f>
        <v>860</v>
      </c>
      <c r="F122" s="55">
        <f t="shared" ref="F122:I122" si="65">680+180</f>
        <v>860</v>
      </c>
      <c r="G122" s="55">
        <f t="shared" si="65"/>
        <v>860</v>
      </c>
      <c r="H122" s="55">
        <f t="shared" si="65"/>
        <v>860</v>
      </c>
      <c r="I122" s="55">
        <f t="shared" si="65"/>
        <v>860</v>
      </c>
      <c r="J122" s="55">
        <v>313</v>
      </c>
      <c r="K122" s="659">
        <f t="shared" si="23"/>
        <v>0.36395348837209301</v>
      </c>
      <c r="L122" s="1"/>
    </row>
    <row r="123" spans="1:17" x14ac:dyDescent="0.25">
      <c r="A123" s="112" t="s">
        <v>136</v>
      </c>
      <c r="B123" s="111" t="s">
        <v>137</v>
      </c>
      <c r="C123" s="60">
        <v>14100</v>
      </c>
      <c r="D123" s="60">
        <v>14100</v>
      </c>
      <c r="E123" s="60">
        <v>14100</v>
      </c>
      <c r="F123" s="60">
        <v>14100</v>
      </c>
      <c r="G123" s="60">
        <v>14100</v>
      </c>
      <c r="H123" s="604">
        <f>14100+1600</f>
        <v>15700</v>
      </c>
      <c r="I123" s="60">
        <f>14100+1600</f>
        <v>15700</v>
      </c>
      <c r="J123" s="60">
        <v>3175</v>
      </c>
      <c r="K123" s="659">
        <f t="shared" si="23"/>
        <v>0.20222929936305734</v>
      </c>
      <c r="L123" s="1"/>
    </row>
    <row r="124" spans="1:17" x14ac:dyDescent="0.25">
      <c r="A124" s="112" t="s">
        <v>138</v>
      </c>
      <c r="B124" s="111" t="s">
        <v>139</v>
      </c>
      <c r="C124" s="60">
        <v>500</v>
      </c>
      <c r="D124" s="60">
        <v>500</v>
      </c>
      <c r="E124" s="60">
        <v>500</v>
      </c>
      <c r="F124" s="60">
        <v>500</v>
      </c>
      <c r="G124" s="60">
        <v>500</v>
      </c>
      <c r="H124" s="60">
        <v>500</v>
      </c>
      <c r="I124" s="60">
        <v>500</v>
      </c>
      <c r="J124" s="60">
        <v>0</v>
      </c>
      <c r="K124" s="659">
        <f t="shared" si="23"/>
        <v>0</v>
      </c>
      <c r="L124" s="1"/>
    </row>
    <row r="125" spans="1:17" ht="15.75" thickBot="1" x14ac:dyDescent="0.3">
      <c r="A125" s="134" t="s">
        <v>140</v>
      </c>
      <c r="B125" s="135" t="s">
        <v>141</v>
      </c>
      <c r="C125" s="145">
        <v>500</v>
      </c>
      <c r="D125" s="145">
        <v>500</v>
      </c>
      <c r="E125" s="145">
        <v>500</v>
      </c>
      <c r="F125" s="145">
        <v>500</v>
      </c>
      <c r="G125" s="145">
        <v>500</v>
      </c>
      <c r="H125" s="145">
        <v>500</v>
      </c>
      <c r="I125" s="145">
        <v>500</v>
      </c>
      <c r="J125" s="145">
        <v>0</v>
      </c>
      <c r="K125" s="659">
        <f t="shared" si="23"/>
        <v>0</v>
      </c>
      <c r="L125" s="1"/>
      <c r="M125" s="27"/>
      <c r="N125" s="27"/>
    </row>
    <row r="126" spans="1:17" ht="24.75" customHeight="1" thickBot="1" x14ac:dyDescent="0.3">
      <c r="A126" s="158" t="s">
        <v>142</v>
      </c>
      <c r="B126" s="140"/>
      <c r="C126" s="159">
        <f>SUM(C77+C83+C85+C88+C92+C97+C101+C105+C111+C120)</f>
        <v>1801231</v>
      </c>
      <c r="D126" s="159">
        <f>SUM(D77+D83+D85+D88+D92+D97+D101+D105+D111+D120)</f>
        <v>1812299</v>
      </c>
      <c r="E126" s="159">
        <f>SUM(E77+E83+E85+E88+E92+E97+E101+E105+E111+E120)</f>
        <v>1819999</v>
      </c>
      <c r="F126" s="159">
        <f t="shared" ref="F126:J126" si="66">SUM(F77+F83+F85+F88+F92+F97+F101+F105+F111+F120)</f>
        <v>1872099</v>
      </c>
      <c r="G126" s="159">
        <f t="shared" si="66"/>
        <v>1883519</v>
      </c>
      <c r="H126" s="159">
        <f t="shared" si="66"/>
        <v>1884219</v>
      </c>
      <c r="I126" s="159">
        <f t="shared" ref="I126" si="67">SUM(I77+I83+I85+I88+I92+I97+I101+I105+I111+I120)</f>
        <v>1884219</v>
      </c>
      <c r="J126" s="159">
        <f t="shared" si="66"/>
        <v>354917</v>
      </c>
      <c r="K126" s="659">
        <f t="shared" si="23"/>
        <v>0.1883629238427168</v>
      </c>
      <c r="L126" s="1"/>
      <c r="M126" s="27">
        <f>D126-C126</f>
        <v>11068</v>
      </c>
      <c r="N126" s="27">
        <f>E126-D126</f>
        <v>7700</v>
      </c>
      <c r="O126" s="27">
        <f>F126-E126</f>
        <v>52100</v>
      </c>
      <c r="P126" s="27">
        <f>G126-F126</f>
        <v>11420</v>
      </c>
      <c r="Q126" s="27">
        <f>H126-G126</f>
        <v>700</v>
      </c>
    </row>
    <row r="127" spans="1:17" x14ac:dyDescent="0.25">
      <c r="A127" s="446" t="s">
        <v>123</v>
      </c>
      <c r="B127" s="160" t="s">
        <v>143</v>
      </c>
      <c r="C127" s="161">
        <f>C64+C176</f>
        <v>643550</v>
      </c>
      <c r="D127" s="613">
        <f>D64+D176</f>
        <v>690283</v>
      </c>
      <c r="E127" s="161">
        <f>E64+E176</f>
        <v>690283</v>
      </c>
      <c r="F127" s="161">
        <f>F64+F176</f>
        <v>690283</v>
      </c>
      <c r="G127" s="161">
        <f>G64+G176</f>
        <v>690283</v>
      </c>
      <c r="H127" s="613">
        <f>H64+H176</f>
        <v>692715</v>
      </c>
      <c r="I127" s="758">
        <f>I64+I176</f>
        <v>692715</v>
      </c>
      <c r="J127" s="161">
        <f>J64+J176</f>
        <v>199615</v>
      </c>
      <c r="K127" s="659">
        <f t="shared" si="23"/>
        <v>0.28816324173722235</v>
      </c>
      <c r="L127" s="1"/>
      <c r="M127" s="27">
        <f>D127-C127</f>
        <v>46733</v>
      </c>
      <c r="N127" s="27">
        <f>E127-D127</f>
        <v>0</v>
      </c>
      <c r="O127" s="27">
        <f>F127-E127</f>
        <v>0</v>
      </c>
      <c r="P127" s="27">
        <f>G127-F127</f>
        <v>0</v>
      </c>
      <c r="Q127" s="27">
        <f>H127-G127</f>
        <v>2432</v>
      </c>
    </row>
    <row r="128" spans="1:17" x14ac:dyDescent="0.25">
      <c r="A128" s="447" t="s">
        <v>123</v>
      </c>
      <c r="B128" s="168" t="s">
        <v>328</v>
      </c>
      <c r="C128" s="169">
        <f>C63</f>
        <v>19272</v>
      </c>
      <c r="D128" s="169">
        <f>D63</f>
        <v>19272</v>
      </c>
      <c r="E128" s="169">
        <f>E63</f>
        <v>19272</v>
      </c>
      <c r="F128" s="169">
        <f>F63</f>
        <v>19272</v>
      </c>
      <c r="G128" s="169">
        <f t="shared" ref="G128:H128" si="68">G63</f>
        <v>19272</v>
      </c>
      <c r="H128" s="169">
        <f t="shared" si="68"/>
        <v>19272</v>
      </c>
      <c r="I128" s="169">
        <f t="shared" ref="I128" si="69">I63</f>
        <v>19272</v>
      </c>
      <c r="J128" s="169">
        <f>J63</f>
        <v>3224</v>
      </c>
      <c r="K128" s="659">
        <f t="shared" si="23"/>
        <v>0.16728933167289331</v>
      </c>
      <c r="L128" s="27">
        <f>SUM(J127:J128)</f>
        <v>202839</v>
      </c>
      <c r="M128" s="27"/>
      <c r="N128" s="27"/>
      <c r="O128" s="27"/>
      <c r="P128" s="27"/>
      <c r="Q128" s="27"/>
    </row>
    <row r="129" spans="1:18" x14ac:dyDescent="0.25">
      <c r="A129" s="448" t="s">
        <v>123</v>
      </c>
      <c r="B129" s="163" t="s">
        <v>144</v>
      </c>
      <c r="C129" s="164">
        <f>C66</f>
        <v>1550</v>
      </c>
      <c r="D129" s="164">
        <f>D66</f>
        <v>1550</v>
      </c>
      <c r="E129" s="164">
        <f>E66</f>
        <v>1550</v>
      </c>
      <c r="F129" s="164">
        <f>F66</f>
        <v>1550</v>
      </c>
      <c r="G129" s="164">
        <f t="shared" ref="G129:H129" si="70">G66</f>
        <v>1550</v>
      </c>
      <c r="H129" s="164">
        <f t="shared" si="70"/>
        <v>1550</v>
      </c>
      <c r="I129" s="164">
        <f t="shared" ref="I129" si="71">I66</f>
        <v>1550</v>
      </c>
      <c r="J129" s="164">
        <f>J66</f>
        <v>0</v>
      </c>
      <c r="K129" s="659">
        <f t="shared" si="23"/>
        <v>0</v>
      </c>
      <c r="L129" s="1"/>
      <c r="M129" s="27"/>
      <c r="N129" s="27"/>
      <c r="O129" s="27"/>
      <c r="P129" s="27"/>
      <c r="Q129" s="27"/>
    </row>
    <row r="130" spans="1:18" ht="15.75" thickBot="1" x14ac:dyDescent="0.3">
      <c r="A130" s="449" t="s">
        <v>123</v>
      </c>
      <c r="B130" s="165" t="s">
        <v>145</v>
      </c>
      <c r="C130" s="166">
        <v>1700</v>
      </c>
      <c r="D130" s="166">
        <v>1700</v>
      </c>
      <c r="E130" s="166">
        <v>1700</v>
      </c>
      <c r="F130" s="166">
        <v>1700</v>
      </c>
      <c r="G130" s="166">
        <v>1700</v>
      </c>
      <c r="H130" s="166">
        <v>1700</v>
      </c>
      <c r="I130" s="166">
        <v>1700</v>
      </c>
      <c r="J130" s="166">
        <v>0</v>
      </c>
      <c r="K130" s="659">
        <f t="shared" si="23"/>
        <v>0</v>
      </c>
      <c r="L130" s="27">
        <f>SUM(J129:J130)</f>
        <v>0</v>
      </c>
      <c r="M130" s="27"/>
      <c r="N130" s="27"/>
      <c r="O130" s="27"/>
      <c r="P130" s="27"/>
      <c r="Q130" s="27"/>
    </row>
    <row r="131" spans="1:18" x14ac:dyDescent="0.25">
      <c r="A131" s="167" t="s">
        <v>124</v>
      </c>
      <c r="B131" s="168" t="s">
        <v>146</v>
      </c>
      <c r="C131" s="169">
        <v>34400</v>
      </c>
      <c r="D131" s="169">
        <v>34400</v>
      </c>
      <c r="E131" s="169">
        <v>34400</v>
      </c>
      <c r="F131" s="169">
        <v>34400</v>
      </c>
      <c r="G131" s="169">
        <v>34400</v>
      </c>
      <c r="H131" s="169">
        <v>34400</v>
      </c>
      <c r="I131" s="169">
        <v>34400</v>
      </c>
      <c r="J131" s="169">
        <v>8601</v>
      </c>
      <c r="K131" s="659">
        <f t="shared" si="23"/>
        <v>0.25002906976744188</v>
      </c>
      <c r="L131" s="27"/>
      <c r="M131" s="27"/>
      <c r="N131" s="27"/>
      <c r="O131" s="27"/>
      <c r="P131" s="27"/>
      <c r="Q131" s="27"/>
    </row>
    <row r="132" spans="1:18" ht="15.75" thickBot="1" x14ac:dyDescent="0.3">
      <c r="A132" s="162" t="s">
        <v>124</v>
      </c>
      <c r="B132" s="163" t="s">
        <v>147</v>
      </c>
      <c r="C132" s="164">
        <f>C67</f>
        <v>3600</v>
      </c>
      <c r="D132" s="164">
        <f>D67</f>
        <v>3600</v>
      </c>
      <c r="E132" s="164">
        <f>E67</f>
        <v>3600</v>
      </c>
      <c r="F132" s="164">
        <f>F67</f>
        <v>3600</v>
      </c>
      <c r="G132" s="164">
        <f t="shared" ref="G132:J132" si="72">G67</f>
        <v>3600</v>
      </c>
      <c r="H132" s="164">
        <f t="shared" si="72"/>
        <v>3600</v>
      </c>
      <c r="I132" s="164">
        <f t="shared" ref="I132" si="73">I67</f>
        <v>3600</v>
      </c>
      <c r="J132" s="164">
        <f t="shared" si="72"/>
        <v>707</v>
      </c>
      <c r="K132" s="659">
        <f t="shared" si="23"/>
        <v>0.19638888888888889</v>
      </c>
      <c r="L132" s="27">
        <f>SUM(H131:H132)</f>
        <v>38000</v>
      </c>
      <c r="M132" s="27">
        <f>SUM(J131:J132)</f>
        <v>9308</v>
      </c>
      <c r="N132" s="27"/>
      <c r="O132" s="27"/>
      <c r="P132" s="27"/>
      <c r="Q132" s="27"/>
    </row>
    <row r="133" spans="1:18" ht="15.75" thickBot="1" x14ac:dyDescent="0.3">
      <c r="A133" s="691" t="s">
        <v>148</v>
      </c>
      <c r="B133" s="692"/>
      <c r="C133" s="170">
        <f>SUM(C127:C132)</f>
        <v>704072</v>
      </c>
      <c r="D133" s="170">
        <f>SUM(D127:D132)</f>
        <v>750805</v>
      </c>
      <c r="E133" s="170">
        <f>SUM(E127:E132)</f>
        <v>750805</v>
      </c>
      <c r="F133" s="170">
        <f t="shared" ref="F133:J133" si="74">SUM(F127:F132)</f>
        <v>750805</v>
      </c>
      <c r="G133" s="170">
        <f t="shared" si="74"/>
        <v>750805</v>
      </c>
      <c r="H133" s="170">
        <f t="shared" si="74"/>
        <v>753237</v>
      </c>
      <c r="I133" s="170">
        <f t="shared" ref="I133" si="75">SUM(I127:I132)</f>
        <v>753237</v>
      </c>
      <c r="J133" s="170">
        <f t="shared" si="74"/>
        <v>212147</v>
      </c>
      <c r="K133" s="659">
        <f t="shared" ref="K133:K196" si="76">J133/H133</f>
        <v>0.28164707787854287</v>
      </c>
      <c r="L133" s="27"/>
      <c r="M133" s="27">
        <f>D133-C133</f>
        <v>46733</v>
      </c>
      <c r="N133" s="27">
        <f>E133-D133</f>
        <v>0</v>
      </c>
      <c r="O133" s="27">
        <f>F133-E133</f>
        <v>0</v>
      </c>
      <c r="P133" s="27">
        <f>G133-F133</f>
        <v>0</v>
      </c>
      <c r="Q133" s="27">
        <f>H133-G133</f>
        <v>2432</v>
      </c>
    </row>
    <row r="134" spans="1:18" x14ac:dyDescent="0.25">
      <c r="A134" s="171" t="s">
        <v>124</v>
      </c>
      <c r="B134" s="172" t="s">
        <v>149</v>
      </c>
      <c r="C134" s="173">
        <v>294050</v>
      </c>
      <c r="D134" s="173">
        <v>294050</v>
      </c>
      <c r="E134" s="173">
        <v>294050</v>
      </c>
      <c r="F134" s="173">
        <v>294050</v>
      </c>
      <c r="G134" s="173">
        <v>294050</v>
      </c>
      <c r="H134" s="173">
        <v>294050</v>
      </c>
      <c r="I134" s="173">
        <v>294050</v>
      </c>
      <c r="J134" s="173">
        <v>73512</v>
      </c>
      <c r="K134" s="659">
        <f t="shared" si="76"/>
        <v>0.24999829960891004</v>
      </c>
      <c r="L134" s="1"/>
      <c r="M134" s="27"/>
      <c r="N134" s="27"/>
      <c r="O134" s="27"/>
      <c r="P134" s="27"/>
      <c r="Q134" s="27"/>
    </row>
    <row r="135" spans="1:18" ht="15.75" thickBot="1" x14ac:dyDescent="0.3">
      <c r="A135" s="174" t="s">
        <v>124</v>
      </c>
      <c r="B135" s="175" t="s">
        <v>150</v>
      </c>
      <c r="C135" s="89">
        <f>C69</f>
        <v>12350</v>
      </c>
      <c r="D135" s="89">
        <f>D69</f>
        <v>12350</v>
      </c>
      <c r="E135" s="89">
        <f>E69</f>
        <v>12350</v>
      </c>
      <c r="F135" s="89">
        <f>F69</f>
        <v>12350</v>
      </c>
      <c r="G135" s="89">
        <f t="shared" ref="G135:H135" si="77">G69</f>
        <v>12350</v>
      </c>
      <c r="H135" s="89">
        <f t="shared" si="77"/>
        <v>12350</v>
      </c>
      <c r="I135" s="89">
        <f t="shared" ref="I135" si="78">I69</f>
        <v>12350</v>
      </c>
      <c r="J135" s="89">
        <f>J69</f>
        <v>5585</v>
      </c>
      <c r="K135" s="659">
        <f t="shared" si="76"/>
        <v>0.45222672064777331</v>
      </c>
      <c r="L135" s="1"/>
      <c r="M135" s="27"/>
      <c r="N135" s="27"/>
      <c r="O135" s="27"/>
      <c r="P135" s="27"/>
      <c r="Q135" s="27"/>
    </row>
    <row r="136" spans="1:18" ht="15.75" thickBot="1" x14ac:dyDescent="0.3">
      <c r="A136" s="693" t="s">
        <v>151</v>
      </c>
      <c r="B136" s="694"/>
      <c r="C136" s="176">
        <f>SUM(C134:C135)</f>
        <v>306400</v>
      </c>
      <c r="D136" s="176">
        <f>SUM(D134:D135)</f>
        <v>306400</v>
      </c>
      <c r="E136" s="176">
        <f>SUM(E134:E135)</f>
        <v>306400</v>
      </c>
      <c r="F136" s="176">
        <f t="shared" ref="F136:J136" si="79">SUM(F134:F135)</f>
        <v>306400</v>
      </c>
      <c r="G136" s="176">
        <f t="shared" si="79"/>
        <v>306400</v>
      </c>
      <c r="H136" s="176">
        <f t="shared" si="79"/>
        <v>306400</v>
      </c>
      <c r="I136" s="176">
        <f t="shared" ref="I136" si="80">SUM(I134:I135)</f>
        <v>306400</v>
      </c>
      <c r="J136" s="176">
        <f t="shared" si="79"/>
        <v>79097</v>
      </c>
      <c r="K136" s="659">
        <f t="shared" si="76"/>
        <v>0.25814947780678849</v>
      </c>
      <c r="L136" s="1"/>
      <c r="M136" s="27">
        <f>D136-C136</f>
        <v>0</v>
      </c>
      <c r="N136" s="27">
        <f>E136-D136</f>
        <v>0</v>
      </c>
      <c r="O136" s="27">
        <f>F136-E136</f>
        <v>0</v>
      </c>
      <c r="P136" s="27">
        <f>G136-F136</f>
        <v>0</v>
      </c>
      <c r="Q136" s="27">
        <f>H136-G136</f>
        <v>0</v>
      </c>
    </row>
    <row r="137" spans="1:18" ht="22.5" customHeight="1" thickBot="1" x14ac:dyDescent="0.3">
      <c r="A137" s="695" t="s">
        <v>152</v>
      </c>
      <c r="B137" s="696"/>
      <c r="C137" s="177">
        <f>C133+C136</f>
        <v>1010472</v>
      </c>
      <c r="D137" s="177">
        <f>D133+D136</f>
        <v>1057205</v>
      </c>
      <c r="E137" s="177">
        <f>E133+E136</f>
        <v>1057205</v>
      </c>
      <c r="F137" s="177">
        <f t="shared" ref="F137:J137" si="81">F133+F136</f>
        <v>1057205</v>
      </c>
      <c r="G137" s="177">
        <f t="shared" si="81"/>
        <v>1057205</v>
      </c>
      <c r="H137" s="177">
        <f t="shared" si="81"/>
        <v>1059637</v>
      </c>
      <c r="I137" s="177">
        <f t="shared" ref="I137" si="82">I133+I136</f>
        <v>1059637</v>
      </c>
      <c r="J137" s="177">
        <f t="shared" si="81"/>
        <v>291244</v>
      </c>
      <c r="K137" s="659">
        <f t="shared" si="76"/>
        <v>0.27485261462179972</v>
      </c>
      <c r="L137" s="1"/>
      <c r="M137" s="27">
        <f>D137-C137</f>
        <v>46733</v>
      </c>
      <c r="N137" s="27">
        <f>E137-D137</f>
        <v>0</v>
      </c>
      <c r="O137" s="27">
        <f>F137-E137</f>
        <v>0</v>
      </c>
      <c r="P137" s="27">
        <f>G137-F137</f>
        <v>0</v>
      </c>
      <c r="Q137" s="27">
        <f>H137-G137</f>
        <v>2432</v>
      </c>
    </row>
    <row r="138" spans="1:18" ht="27.75" customHeight="1" thickBot="1" x14ac:dyDescent="0.3">
      <c r="A138" s="178" t="s">
        <v>153</v>
      </c>
      <c r="B138" s="125"/>
      <c r="C138" s="179">
        <f>C126+C137</f>
        <v>2811703</v>
      </c>
      <c r="D138" s="179">
        <f>D126+D137</f>
        <v>2869504</v>
      </c>
      <c r="E138" s="179">
        <f>E126+E137</f>
        <v>2877204</v>
      </c>
      <c r="F138" s="179">
        <f t="shared" ref="F138:J138" si="83">F126+F137</f>
        <v>2929304</v>
      </c>
      <c r="G138" s="179">
        <f t="shared" si="83"/>
        <v>2940724</v>
      </c>
      <c r="H138" s="179">
        <f t="shared" si="83"/>
        <v>2943856</v>
      </c>
      <c r="I138" s="179">
        <f t="shared" ref="I138" si="84">I126+I137</f>
        <v>2943856</v>
      </c>
      <c r="J138" s="179">
        <f t="shared" si="83"/>
        <v>646161</v>
      </c>
      <c r="K138" s="659">
        <f t="shared" si="76"/>
        <v>0.21949477148338778</v>
      </c>
      <c r="L138" s="1"/>
      <c r="M138" s="27">
        <f>D138-C138</f>
        <v>57801</v>
      </c>
      <c r="N138" s="27">
        <f>E138-D138</f>
        <v>7700</v>
      </c>
      <c r="O138" s="27">
        <f>F138-E138</f>
        <v>52100</v>
      </c>
      <c r="P138" s="27">
        <f>G138-F138</f>
        <v>11420</v>
      </c>
      <c r="Q138" s="27">
        <f>H138-G138</f>
        <v>3132</v>
      </c>
      <c r="R138" s="310">
        <f>SUM(P138:Q138)</f>
        <v>14552</v>
      </c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659"/>
      <c r="L139" s="1"/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59"/>
      <c r="L140" s="1"/>
    </row>
    <row r="141" spans="1:18" ht="18.75" thickBot="1" x14ac:dyDescent="0.3">
      <c r="A141" s="697" t="s">
        <v>154</v>
      </c>
      <c r="B141" s="698"/>
      <c r="C141" s="698"/>
      <c r="D141" s="698"/>
      <c r="E141" s="698"/>
      <c r="F141" s="653"/>
      <c r="G141" s="653"/>
      <c r="H141" s="653"/>
      <c r="I141" s="653"/>
      <c r="J141" s="653"/>
      <c r="K141" s="659"/>
      <c r="L141" s="1"/>
    </row>
    <row r="142" spans="1:18" ht="38.25" customHeight="1" thickBot="1" x14ac:dyDescent="0.3">
      <c r="A142" s="687" t="s">
        <v>1</v>
      </c>
      <c r="B142" s="699"/>
      <c r="C142" s="289" t="s">
        <v>455</v>
      </c>
      <c r="D142" s="289" t="s">
        <v>454</v>
      </c>
      <c r="E142" s="289" t="s">
        <v>372</v>
      </c>
      <c r="F142" s="289" t="s">
        <v>516</v>
      </c>
      <c r="G142" s="289" t="s">
        <v>532</v>
      </c>
      <c r="H142" s="289" t="s">
        <v>517</v>
      </c>
      <c r="I142" s="289" t="s">
        <v>578</v>
      </c>
      <c r="J142" s="289" t="s">
        <v>569</v>
      </c>
      <c r="K142" s="659"/>
      <c r="L142" s="1"/>
    </row>
    <row r="143" spans="1:18" ht="16.5" thickBot="1" x14ac:dyDescent="0.3">
      <c r="A143" s="700" t="s">
        <v>155</v>
      </c>
      <c r="B143" s="701"/>
      <c r="C143" s="180">
        <f>SUM(C144:C152)</f>
        <v>1143050</v>
      </c>
      <c r="D143" s="180">
        <f>SUM(D144:D152)</f>
        <v>1143050</v>
      </c>
      <c r="E143" s="180">
        <f>SUM(E144:E152)</f>
        <v>1334050</v>
      </c>
      <c r="F143" s="180">
        <f>SUM(F144:F152)</f>
        <v>1334050</v>
      </c>
      <c r="G143" s="180">
        <f>SUM(G144:G152)</f>
        <v>2501730</v>
      </c>
      <c r="H143" s="180">
        <f>SUM(H144:H152)</f>
        <v>2501730</v>
      </c>
      <c r="I143" s="180">
        <f>SUM(I144:I152)</f>
        <v>2793370</v>
      </c>
      <c r="J143" s="180">
        <f>SUM(J144:J152)</f>
        <v>0</v>
      </c>
      <c r="K143" s="659">
        <f t="shared" si="76"/>
        <v>0</v>
      </c>
      <c r="L143" s="27">
        <f>E143-D143</f>
        <v>191000</v>
      </c>
      <c r="M143" s="27">
        <f>F143-E143</f>
        <v>0</v>
      </c>
      <c r="N143" s="27">
        <f>G143-F143</f>
        <v>1167680</v>
      </c>
      <c r="O143" s="27">
        <f>H143-G143</f>
        <v>0</v>
      </c>
      <c r="P143" s="27"/>
    </row>
    <row r="144" spans="1:18" ht="15.75" thickBot="1" x14ac:dyDescent="0.3">
      <c r="A144" s="750">
        <v>233</v>
      </c>
      <c r="B144" s="751" t="s">
        <v>156</v>
      </c>
      <c r="C144" s="752">
        <v>5000</v>
      </c>
      <c r="D144" s="752">
        <v>5000</v>
      </c>
      <c r="E144" s="752">
        <v>5000</v>
      </c>
      <c r="F144" s="752">
        <v>5000</v>
      </c>
      <c r="G144" s="752">
        <v>5000</v>
      </c>
      <c r="H144" s="752">
        <v>5000</v>
      </c>
      <c r="I144" s="752">
        <v>5000</v>
      </c>
      <c r="J144" s="752">
        <v>0</v>
      </c>
      <c r="K144" s="659">
        <f t="shared" si="76"/>
        <v>0</v>
      </c>
      <c r="L144" s="1"/>
    </row>
    <row r="145" spans="1:23" x14ac:dyDescent="0.25">
      <c r="A145" s="185">
        <v>322</v>
      </c>
      <c r="B145" s="76" t="s">
        <v>310</v>
      </c>
      <c r="C145" s="186">
        <v>434700</v>
      </c>
      <c r="D145" s="186">
        <v>434700</v>
      </c>
      <c r="E145" s="186">
        <v>434700</v>
      </c>
      <c r="F145" s="186">
        <v>434700</v>
      </c>
      <c r="G145" s="186">
        <v>434700</v>
      </c>
      <c r="H145" s="186">
        <v>434700</v>
      </c>
      <c r="I145" s="186">
        <v>434700</v>
      </c>
      <c r="J145" s="186">
        <v>0</v>
      </c>
      <c r="K145" s="659">
        <f t="shared" si="76"/>
        <v>0</v>
      </c>
      <c r="L145" s="27"/>
    </row>
    <row r="146" spans="1:23" x14ac:dyDescent="0.25">
      <c r="A146" s="185">
        <v>322</v>
      </c>
      <c r="B146" s="84" t="s">
        <v>530</v>
      </c>
      <c r="C146" s="186">
        <v>0</v>
      </c>
      <c r="D146" s="186">
        <v>0</v>
      </c>
      <c r="E146" s="638">
        <v>191000</v>
      </c>
      <c r="F146" s="186">
        <v>191000</v>
      </c>
      <c r="G146" s="638">
        <f>191000-52700</f>
        <v>138300</v>
      </c>
      <c r="H146" s="186">
        <f>191000-52700</f>
        <v>138300</v>
      </c>
      <c r="I146" s="186">
        <f>191000-52700</f>
        <v>138300</v>
      </c>
      <c r="J146" s="186">
        <v>0</v>
      </c>
      <c r="K146" s="659">
        <f t="shared" si="76"/>
        <v>0</v>
      </c>
      <c r="L146" s="27"/>
    </row>
    <row r="147" spans="1:23" x14ac:dyDescent="0.25">
      <c r="A147" s="185">
        <v>322</v>
      </c>
      <c r="B147" s="84" t="s">
        <v>531</v>
      </c>
      <c r="C147" s="186">
        <v>0</v>
      </c>
      <c r="D147" s="186">
        <v>0</v>
      </c>
      <c r="E147" s="186">
        <v>0</v>
      </c>
      <c r="F147" s="186">
        <v>0</v>
      </c>
      <c r="G147" s="638">
        <v>1220380</v>
      </c>
      <c r="H147" s="186">
        <v>1220380</v>
      </c>
      <c r="I147" s="186">
        <v>1220380</v>
      </c>
      <c r="J147" s="186">
        <v>0</v>
      </c>
      <c r="K147" s="659">
        <f>J147/H147</f>
        <v>0</v>
      </c>
      <c r="L147" s="27"/>
    </row>
    <row r="148" spans="1:23" x14ac:dyDescent="0.25">
      <c r="A148" s="183">
        <v>322</v>
      </c>
      <c r="B148" s="72" t="s">
        <v>157</v>
      </c>
      <c r="C148" s="184">
        <v>300000</v>
      </c>
      <c r="D148" s="184">
        <v>300000</v>
      </c>
      <c r="E148" s="184">
        <v>300000</v>
      </c>
      <c r="F148" s="184">
        <v>300000</v>
      </c>
      <c r="G148" s="184">
        <v>300000</v>
      </c>
      <c r="H148" s="184">
        <v>300000</v>
      </c>
      <c r="I148" s="184">
        <v>300000</v>
      </c>
      <c r="J148" s="184">
        <v>0</v>
      </c>
      <c r="K148" s="659">
        <f>J148/H148</f>
        <v>0</v>
      </c>
      <c r="L148" s="27"/>
    </row>
    <row r="149" spans="1:23" x14ac:dyDescent="0.25">
      <c r="A149" s="185">
        <v>322</v>
      </c>
      <c r="B149" s="187" t="s">
        <v>355</v>
      </c>
      <c r="C149" s="184">
        <v>178000</v>
      </c>
      <c r="D149" s="184">
        <v>178000</v>
      </c>
      <c r="E149" s="184">
        <v>178000</v>
      </c>
      <c r="F149" s="184">
        <v>178000</v>
      </c>
      <c r="G149" s="184">
        <v>178000</v>
      </c>
      <c r="H149" s="184">
        <v>178000</v>
      </c>
      <c r="I149" s="759">
        <f>178000-32000</f>
        <v>146000</v>
      </c>
      <c r="J149" s="184">
        <v>0</v>
      </c>
      <c r="K149" s="659">
        <f t="shared" si="76"/>
        <v>0</v>
      </c>
      <c r="L149" s="1"/>
    </row>
    <row r="150" spans="1:23" x14ac:dyDescent="0.25">
      <c r="A150" s="83">
        <v>322</v>
      </c>
      <c r="B150" s="187" t="s">
        <v>330</v>
      </c>
      <c r="C150" s="184">
        <v>35350</v>
      </c>
      <c r="D150" s="184">
        <v>35350</v>
      </c>
      <c r="E150" s="184">
        <v>35350</v>
      </c>
      <c r="F150" s="184">
        <v>35350</v>
      </c>
      <c r="G150" s="184">
        <v>35350</v>
      </c>
      <c r="H150" s="184">
        <v>35350</v>
      </c>
      <c r="I150" s="184">
        <v>35350</v>
      </c>
      <c r="J150" s="184">
        <v>0</v>
      </c>
      <c r="K150" s="659">
        <f>J150/H150</f>
        <v>0</v>
      </c>
      <c r="L150" s="1"/>
    </row>
    <row r="151" spans="1:23" x14ac:dyDescent="0.25">
      <c r="A151" s="185">
        <v>322</v>
      </c>
      <c r="B151" s="84" t="s">
        <v>579</v>
      </c>
      <c r="C151" s="186">
        <v>0</v>
      </c>
      <c r="D151" s="186">
        <v>0</v>
      </c>
      <c r="E151" s="186">
        <v>0</v>
      </c>
      <c r="F151" s="186">
        <v>0</v>
      </c>
      <c r="G151" s="186">
        <v>0</v>
      </c>
      <c r="H151" s="186">
        <v>0</v>
      </c>
      <c r="I151" s="638">
        <v>323640</v>
      </c>
      <c r="J151" s="186">
        <v>0</v>
      </c>
      <c r="K151" s="659">
        <v>0</v>
      </c>
      <c r="L151" s="1"/>
    </row>
    <row r="152" spans="1:23" x14ac:dyDescent="0.25">
      <c r="A152" s="185">
        <v>322</v>
      </c>
      <c r="B152" s="84" t="s">
        <v>340</v>
      </c>
      <c r="C152" s="186">
        <v>190000</v>
      </c>
      <c r="D152" s="186">
        <v>190000</v>
      </c>
      <c r="E152" s="186">
        <v>190000</v>
      </c>
      <c r="F152" s="186">
        <v>190000</v>
      </c>
      <c r="G152" s="186">
        <v>190000</v>
      </c>
      <c r="H152" s="186">
        <v>190000</v>
      </c>
      <c r="I152" s="186">
        <v>190000</v>
      </c>
      <c r="J152" s="186">
        <v>0</v>
      </c>
      <c r="K152" s="659">
        <f t="shared" si="76"/>
        <v>0</v>
      </c>
      <c r="L152" s="27">
        <f>SUM(H145:H152)</f>
        <v>2496730</v>
      </c>
      <c r="M152" s="27">
        <f>SUM(J145:J152)</f>
        <v>0</v>
      </c>
      <c r="N152" s="27"/>
      <c r="O152" s="27"/>
      <c r="V152" s="310"/>
      <c r="W152" s="310"/>
    </row>
    <row r="153" spans="1:23" ht="15.75" thickBot="1" x14ac:dyDescent="0.3">
      <c r="L153" s="27">
        <f>C154-C143</f>
        <v>890996</v>
      </c>
      <c r="M153" s="27">
        <f>D154-D143</f>
        <v>890996</v>
      </c>
      <c r="N153" s="27">
        <f>E154-E143</f>
        <v>771296</v>
      </c>
      <c r="O153" s="27">
        <f>F154-F143</f>
        <v>771296</v>
      </c>
      <c r="P153" s="27">
        <f>G154-G143</f>
        <v>771296</v>
      </c>
      <c r="Q153" s="27">
        <f>H154-H143</f>
        <v>771296</v>
      </c>
      <c r="R153" s="27">
        <f t="shared" ref="R153" si="85">J154-J143</f>
        <v>169547</v>
      </c>
    </row>
    <row r="154" spans="1:23" ht="16.5" thickBot="1" x14ac:dyDescent="0.3">
      <c r="A154" s="700" t="s">
        <v>158</v>
      </c>
      <c r="B154" s="701"/>
      <c r="C154" s="180">
        <f>SUM(C155:C169)</f>
        <v>2034046</v>
      </c>
      <c r="D154" s="180">
        <f>SUM(D155:D169)</f>
        <v>2034046</v>
      </c>
      <c r="E154" s="180">
        <f>SUM(E155:E169)</f>
        <v>2105346</v>
      </c>
      <c r="F154" s="180">
        <f t="shared" ref="F154:J154" si="86">SUM(F155:F169)</f>
        <v>2105346</v>
      </c>
      <c r="G154" s="180">
        <f t="shared" si="86"/>
        <v>3273026</v>
      </c>
      <c r="H154" s="180">
        <f t="shared" si="86"/>
        <v>3273026</v>
      </c>
      <c r="I154" s="180">
        <f t="shared" ref="I154" si="87">SUM(I155:I169)</f>
        <v>3564666</v>
      </c>
      <c r="J154" s="180">
        <f t="shared" si="86"/>
        <v>169547</v>
      </c>
      <c r="K154" s="659">
        <f t="shared" si="76"/>
        <v>5.1801299470276133E-2</v>
      </c>
      <c r="L154" s="646">
        <f>E154-D154</f>
        <v>71300</v>
      </c>
      <c r="M154" s="646">
        <f>F154-E154</f>
        <v>0</v>
      </c>
      <c r="N154" s="646">
        <f>G154-F154</f>
        <v>1167680</v>
      </c>
      <c r="O154" s="646">
        <f>H154-G154</f>
        <v>0</v>
      </c>
      <c r="P154" s="646"/>
    </row>
    <row r="155" spans="1:23" x14ac:dyDescent="0.25">
      <c r="A155" s="194" t="s">
        <v>82</v>
      </c>
      <c r="B155" s="188" t="s">
        <v>159</v>
      </c>
      <c r="C155" s="195">
        <v>1500</v>
      </c>
      <c r="D155" s="195">
        <v>1500</v>
      </c>
      <c r="E155" s="195">
        <v>1500</v>
      </c>
      <c r="F155" s="195">
        <v>1500</v>
      </c>
      <c r="G155" s="195">
        <v>1500</v>
      </c>
      <c r="H155" s="195">
        <v>1500</v>
      </c>
      <c r="I155" s="195">
        <v>1500</v>
      </c>
      <c r="J155" s="195">
        <v>0</v>
      </c>
      <c r="K155" s="659">
        <f t="shared" si="76"/>
        <v>0</v>
      </c>
      <c r="L155" s="1"/>
    </row>
    <row r="156" spans="1:23" x14ac:dyDescent="0.25">
      <c r="A156" s="194" t="s">
        <v>87</v>
      </c>
      <c r="B156" s="188" t="s">
        <v>533</v>
      </c>
      <c r="C156" s="195">
        <v>0</v>
      </c>
      <c r="D156" s="195">
        <v>0</v>
      </c>
      <c r="E156" s="639">
        <v>206300</v>
      </c>
      <c r="F156" s="195">
        <v>206300</v>
      </c>
      <c r="G156" s="639">
        <f>206300-52700</f>
        <v>153600</v>
      </c>
      <c r="H156" s="195">
        <f>206300-52700</f>
        <v>153600</v>
      </c>
      <c r="I156" s="195">
        <f>206300-52700</f>
        <v>153600</v>
      </c>
      <c r="J156" s="195">
        <v>0</v>
      </c>
      <c r="K156" s="659">
        <f t="shared" si="76"/>
        <v>0</v>
      </c>
      <c r="L156" s="27"/>
    </row>
    <row r="157" spans="1:23" x14ac:dyDescent="0.25">
      <c r="A157" s="190" t="s">
        <v>89</v>
      </c>
      <c r="B157" s="200" t="s">
        <v>193</v>
      </c>
      <c r="C157" s="191">
        <v>390000</v>
      </c>
      <c r="D157" s="191">
        <v>390000</v>
      </c>
      <c r="E157" s="627">
        <f>390000-20000</f>
        <v>370000</v>
      </c>
      <c r="F157" s="191">
        <f t="shared" ref="F157:I157" si="88">390000-20000</f>
        <v>370000</v>
      </c>
      <c r="G157" s="191">
        <f t="shared" si="88"/>
        <v>370000</v>
      </c>
      <c r="H157" s="191">
        <f t="shared" si="88"/>
        <v>370000</v>
      </c>
      <c r="I157" s="191">
        <f t="shared" si="88"/>
        <v>370000</v>
      </c>
      <c r="J157" s="191">
        <v>0</v>
      </c>
      <c r="K157" s="659">
        <f t="shared" si="76"/>
        <v>0</v>
      </c>
      <c r="L157" s="1"/>
    </row>
    <row r="158" spans="1:23" x14ac:dyDescent="0.25">
      <c r="A158" s="196" t="s">
        <v>160</v>
      </c>
      <c r="B158" s="197" t="s">
        <v>161</v>
      </c>
      <c r="C158" s="198">
        <v>25000</v>
      </c>
      <c r="D158" s="198">
        <v>25000</v>
      </c>
      <c r="E158" s="198">
        <v>25000</v>
      </c>
      <c r="F158" s="198">
        <v>25000</v>
      </c>
      <c r="G158" s="198">
        <v>25000</v>
      </c>
      <c r="H158" s="198">
        <v>25000</v>
      </c>
      <c r="I158" s="622">
        <f>25000-8000</f>
        <v>17000</v>
      </c>
      <c r="J158" s="198">
        <v>0</v>
      </c>
      <c r="K158" s="659">
        <f t="shared" si="76"/>
        <v>0</v>
      </c>
      <c r="L158" s="1"/>
    </row>
    <row r="159" spans="1:23" x14ac:dyDescent="0.25">
      <c r="A159" s="201" t="s">
        <v>160</v>
      </c>
      <c r="B159" s="200" t="s">
        <v>194</v>
      </c>
      <c r="C159" s="191">
        <v>30000</v>
      </c>
      <c r="D159" s="191">
        <v>30000</v>
      </c>
      <c r="E159" s="191">
        <v>30000</v>
      </c>
      <c r="F159" s="191">
        <v>30000</v>
      </c>
      <c r="G159" s="191">
        <v>30000</v>
      </c>
      <c r="H159" s="191">
        <v>30000</v>
      </c>
      <c r="I159" s="191">
        <v>30000</v>
      </c>
      <c r="J159" s="191">
        <v>370</v>
      </c>
      <c r="K159" s="659">
        <f t="shared" si="76"/>
        <v>1.2333333333333333E-2</v>
      </c>
      <c r="L159" s="27"/>
    </row>
    <row r="160" spans="1:23" x14ac:dyDescent="0.25">
      <c r="A160" s="203" t="s">
        <v>96</v>
      </c>
      <c r="B160" s="202" t="s">
        <v>198</v>
      </c>
      <c r="C160" s="191">
        <v>10000</v>
      </c>
      <c r="D160" s="191">
        <v>10000</v>
      </c>
      <c r="E160" s="191">
        <v>10000</v>
      </c>
      <c r="F160" s="191">
        <v>10000</v>
      </c>
      <c r="G160" s="191">
        <v>10000</v>
      </c>
      <c r="H160" s="191">
        <v>10000</v>
      </c>
      <c r="I160" s="191">
        <v>10000</v>
      </c>
      <c r="J160" s="191">
        <v>0</v>
      </c>
      <c r="K160" s="659">
        <f t="shared" si="76"/>
        <v>0</v>
      </c>
      <c r="L160" s="1"/>
    </row>
    <row r="161" spans="1:16" x14ac:dyDescent="0.25">
      <c r="A161" s="201" t="s">
        <v>96</v>
      </c>
      <c r="B161" s="441" t="s">
        <v>570</v>
      </c>
      <c r="C161" s="191">
        <v>100000</v>
      </c>
      <c r="D161" s="191">
        <v>100000</v>
      </c>
      <c r="E161" s="627">
        <f>100000-50000</f>
        <v>50000</v>
      </c>
      <c r="F161" s="191">
        <f t="shared" ref="F161:I161" si="89">100000-50000</f>
        <v>50000</v>
      </c>
      <c r="G161" s="191">
        <f t="shared" si="89"/>
        <v>50000</v>
      </c>
      <c r="H161" s="191">
        <f t="shared" si="89"/>
        <v>50000</v>
      </c>
      <c r="I161" s="191">
        <f t="shared" si="89"/>
        <v>50000</v>
      </c>
      <c r="J161" s="191">
        <v>0</v>
      </c>
      <c r="K161" s="659">
        <f t="shared" si="76"/>
        <v>0</v>
      </c>
      <c r="L161" s="1"/>
    </row>
    <row r="162" spans="1:16" x14ac:dyDescent="0.25">
      <c r="A162" s="203" t="s">
        <v>356</v>
      </c>
      <c r="B162" s="479" t="s">
        <v>342</v>
      </c>
      <c r="C162" s="195">
        <v>218000</v>
      </c>
      <c r="D162" s="195">
        <v>218000</v>
      </c>
      <c r="E162" s="639">
        <f>218000-15000</f>
        <v>203000</v>
      </c>
      <c r="F162" s="195">
        <f t="shared" ref="F162:I162" si="90">218000-15000</f>
        <v>203000</v>
      </c>
      <c r="G162" s="195">
        <f t="shared" si="90"/>
        <v>203000</v>
      </c>
      <c r="H162" s="195">
        <f t="shared" si="90"/>
        <v>203000</v>
      </c>
      <c r="I162" s="639">
        <f>218000-15000-32000</f>
        <v>171000</v>
      </c>
      <c r="J162" s="195">
        <v>0</v>
      </c>
      <c r="K162" s="659">
        <f t="shared" si="76"/>
        <v>0</v>
      </c>
      <c r="L162" s="1"/>
    </row>
    <row r="163" spans="1:16" x14ac:dyDescent="0.25">
      <c r="A163" s="203" t="s">
        <v>98</v>
      </c>
      <c r="B163" s="440" t="s">
        <v>319</v>
      </c>
      <c r="C163" s="195">
        <v>85000</v>
      </c>
      <c r="D163" s="195">
        <v>85000</v>
      </c>
      <c r="E163" s="195">
        <v>85000</v>
      </c>
      <c r="F163" s="195">
        <v>85000</v>
      </c>
      <c r="G163" s="195">
        <v>85000</v>
      </c>
      <c r="H163" s="195">
        <v>85000</v>
      </c>
      <c r="I163" s="195">
        <v>85000</v>
      </c>
      <c r="J163" s="195">
        <v>4196</v>
      </c>
      <c r="K163" s="659">
        <f t="shared" si="76"/>
        <v>4.9364705882352942E-2</v>
      </c>
      <c r="L163" s="1"/>
    </row>
    <row r="164" spans="1:16" x14ac:dyDescent="0.25">
      <c r="A164" s="204" t="s">
        <v>110</v>
      </c>
      <c r="B164" s="205" t="s">
        <v>320</v>
      </c>
      <c r="C164" s="199">
        <v>202000</v>
      </c>
      <c r="D164" s="199">
        <v>202000</v>
      </c>
      <c r="E164" s="199">
        <v>202000</v>
      </c>
      <c r="F164" s="199">
        <v>202000</v>
      </c>
      <c r="G164" s="199">
        <v>202000</v>
      </c>
      <c r="H164" s="199">
        <v>202000</v>
      </c>
      <c r="I164" s="199">
        <v>202000</v>
      </c>
      <c r="J164" s="199">
        <v>0</v>
      </c>
      <c r="K164" s="659">
        <f t="shared" si="76"/>
        <v>0</v>
      </c>
      <c r="L164" s="1"/>
    </row>
    <row r="165" spans="1:16" x14ac:dyDescent="0.25">
      <c r="A165" s="204" t="s">
        <v>112</v>
      </c>
      <c r="B165" s="200" t="s">
        <v>357</v>
      </c>
      <c r="C165" s="199">
        <v>200000</v>
      </c>
      <c r="D165" s="199">
        <v>200000</v>
      </c>
      <c r="E165" s="199">
        <v>200000</v>
      </c>
      <c r="F165" s="199">
        <v>200000</v>
      </c>
      <c r="G165" s="199">
        <v>200000</v>
      </c>
      <c r="H165" s="199">
        <v>200000</v>
      </c>
      <c r="I165" s="199">
        <v>200000</v>
      </c>
      <c r="J165" s="199">
        <v>0</v>
      </c>
      <c r="K165" s="659">
        <f t="shared" si="76"/>
        <v>0</v>
      </c>
      <c r="L165" s="27"/>
    </row>
    <row r="166" spans="1:16" ht="15.75" customHeight="1" x14ac:dyDescent="0.25">
      <c r="A166" s="201" t="s">
        <v>112</v>
      </c>
      <c r="B166" s="200" t="s">
        <v>191</v>
      </c>
      <c r="C166" s="191">
        <v>100886</v>
      </c>
      <c r="D166" s="191">
        <v>100886</v>
      </c>
      <c r="E166" s="627">
        <f>100886-50000</f>
        <v>50886</v>
      </c>
      <c r="F166" s="191">
        <f t="shared" ref="F166:I166" si="91">100886-50000</f>
        <v>50886</v>
      </c>
      <c r="G166" s="191">
        <f t="shared" si="91"/>
        <v>50886</v>
      </c>
      <c r="H166" s="191">
        <f t="shared" si="91"/>
        <v>50886</v>
      </c>
      <c r="I166" s="627">
        <f>100886-50000+331640</f>
        <v>382526</v>
      </c>
      <c r="J166" s="191">
        <v>0</v>
      </c>
      <c r="K166" s="659">
        <f t="shared" si="76"/>
        <v>0</v>
      </c>
      <c r="L166" s="1"/>
    </row>
    <row r="167" spans="1:16" x14ac:dyDescent="0.25">
      <c r="A167" s="207" t="s">
        <v>121</v>
      </c>
      <c r="B167" s="188" t="s">
        <v>200</v>
      </c>
      <c r="C167" s="195">
        <v>656010</v>
      </c>
      <c r="D167" s="195">
        <v>656010</v>
      </c>
      <c r="E167" s="195">
        <v>656010</v>
      </c>
      <c r="F167" s="195">
        <v>656010</v>
      </c>
      <c r="G167" s="195">
        <v>656010</v>
      </c>
      <c r="H167" s="195">
        <v>656010</v>
      </c>
      <c r="I167" s="195">
        <v>656010</v>
      </c>
      <c r="J167" s="195">
        <v>164981</v>
      </c>
      <c r="K167" s="659">
        <f t="shared" si="76"/>
        <v>0.25149159311595859</v>
      </c>
      <c r="L167" s="1"/>
    </row>
    <row r="168" spans="1:16" x14ac:dyDescent="0.25">
      <c r="A168" s="201" t="s">
        <v>123</v>
      </c>
      <c r="B168" s="300" t="s">
        <v>338</v>
      </c>
      <c r="C168" s="191">
        <v>8200</v>
      </c>
      <c r="D168" s="191">
        <v>8200</v>
      </c>
      <c r="E168" s="191">
        <v>8200</v>
      </c>
      <c r="F168" s="191">
        <v>8200</v>
      </c>
      <c r="G168" s="627">
        <f>8200+1220380</f>
        <v>1228580</v>
      </c>
      <c r="H168" s="191">
        <f>8200+1220380</f>
        <v>1228580</v>
      </c>
      <c r="I168" s="191">
        <f>8200+1220380</f>
        <v>1228580</v>
      </c>
      <c r="J168" s="191">
        <v>0</v>
      </c>
      <c r="K168" s="659">
        <f t="shared" si="76"/>
        <v>0</v>
      </c>
      <c r="L168" s="27"/>
    </row>
    <row r="169" spans="1:16" ht="15" customHeight="1" thickBot="1" x14ac:dyDescent="0.3">
      <c r="A169" s="206" t="s">
        <v>124</v>
      </c>
      <c r="B169" s="480" t="s">
        <v>470</v>
      </c>
      <c r="C169" s="193">
        <v>7450</v>
      </c>
      <c r="D169" s="193">
        <v>7450</v>
      </c>
      <c r="E169" s="193">
        <v>7450</v>
      </c>
      <c r="F169" s="193">
        <v>7450</v>
      </c>
      <c r="G169" s="193">
        <v>7450</v>
      </c>
      <c r="H169" s="193">
        <v>7450</v>
      </c>
      <c r="I169" s="193">
        <v>7450</v>
      </c>
      <c r="J169" s="193">
        <v>0</v>
      </c>
      <c r="K169" s="659">
        <f t="shared" si="76"/>
        <v>0</v>
      </c>
      <c r="L169" s="210"/>
    </row>
    <row r="170" spans="1:16" x14ac:dyDescent="0.25">
      <c r="A170" s="208"/>
      <c r="B170" s="209"/>
      <c r="C170" s="210"/>
      <c r="D170" s="210"/>
      <c r="E170" s="210"/>
      <c r="F170" s="210"/>
      <c r="G170" s="210"/>
      <c r="H170" s="210"/>
      <c r="I170" s="210"/>
      <c r="J170" s="210"/>
      <c r="K170" s="659"/>
      <c r="L170" s="1"/>
    </row>
    <row r="171" spans="1:16" x14ac:dyDescent="0.25">
      <c r="A171" s="211"/>
      <c r="B171" s="212"/>
      <c r="C171" s="213"/>
      <c r="D171" s="213"/>
      <c r="E171" s="213"/>
      <c r="F171" s="213"/>
      <c r="G171" s="213"/>
      <c r="H171" s="213"/>
      <c r="I171" s="213"/>
      <c r="J171" s="213"/>
      <c r="K171" s="659"/>
      <c r="L171" s="1"/>
    </row>
    <row r="172" spans="1:16" ht="18.75" thickBot="1" x14ac:dyDescent="0.3">
      <c r="A172" s="681" t="s">
        <v>162</v>
      </c>
      <c r="B172" s="682"/>
      <c r="C172" s="682"/>
      <c r="D172" s="682"/>
      <c r="E172" s="682"/>
      <c r="F172" s="654"/>
      <c r="G172" s="654"/>
      <c r="H172" s="654"/>
      <c r="I172" s="654"/>
      <c r="J172" s="654"/>
      <c r="K172" s="659"/>
      <c r="L172" s="27"/>
    </row>
    <row r="173" spans="1:16" ht="38.25" customHeight="1" thickBot="1" x14ac:dyDescent="0.3">
      <c r="A173" s="687" t="s">
        <v>1</v>
      </c>
      <c r="B173" s="699"/>
      <c r="C173" s="289" t="s">
        <v>455</v>
      </c>
      <c r="D173" s="289" t="s">
        <v>454</v>
      </c>
      <c r="E173" s="289" t="s">
        <v>372</v>
      </c>
      <c r="F173" s="289" t="s">
        <v>516</v>
      </c>
      <c r="G173" s="289" t="s">
        <v>532</v>
      </c>
      <c r="H173" s="289" t="s">
        <v>517</v>
      </c>
      <c r="I173" s="289" t="s">
        <v>578</v>
      </c>
      <c r="J173" s="289" t="s">
        <v>569</v>
      </c>
      <c r="K173" s="659"/>
      <c r="L173" s="27">
        <f>E174-D174</f>
        <v>-119700</v>
      </c>
      <c r="M173" s="27">
        <f>F174-E174</f>
        <v>0</v>
      </c>
      <c r="N173" s="27">
        <f>G174-F174</f>
        <v>0</v>
      </c>
      <c r="O173" s="27">
        <f>H174-G174</f>
        <v>0</v>
      </c>
      <c r="P173" s="27"/>
    </row>
    <row r="174" spans="1:16" ht="19.5" customHeight="1" thickBot="1" x14ac:dyDescent="0.3">
      <c r="A174" s="706" t="s">
        <v>163</v>
      </c>
      <c r="B174" s="707"/>
      <c r="C174" s="303">
        <f>SUM(C175:C191)</f>
        <v>931297</v>
      </c>
      <c r="D174" s="303">
        <f>SUM(D175:D191)</f>
        <v>931297</v>
      </c>
      <c r="E174" s="303">
        <f>SUM(E175:E191)</f>
        <v>811597</v>
      </c>
      <c r="F174" s="303">
        <f t="shared" ref="F174:J174" si="92">SUM(F175:F191)</f>
        <v>811597</v>
      </c>
      <c r="G174" s="303">
        <f t="shared" si="92"/>
        <v>811597</v>
      </c>
      <c r="H174" s="303">
        <f t="shared" si="92"/>
        <v>811597</v>
      </c>
      <c r="I174" s="303">
        <f t="shared" ref="I174" si="93">SUM(I175:I191)</f>
        <v>811597</v>
      </c>
      <c r="J174" s="303">
        <f t="shared" si="92"/>
        <v>200409</v>
      </c>
      <c r="K174" s="659">
        <f t="shared" si="76"/>
        <v>0.24693166682479112</v>
      </c>
      <c r="L174" s="27"/>
    </row>
    <row r="175" spans="1:16" x14ac:dyDescent="0.25">
      <c r="A175" s="301">
        <v>453</v>
      </c>
      <c r="B175" s="302" t="s">
        <v>251</v>
      </c>
      <c r="C175" s="64">
        <f>20000+4000</f>
        <v>24000</v>
      </c>
      <c r="D175" s="64">
        <f t="shared" ref="D175:I175" si="94">20000+4000</f>
        <v>24000</v>
      </c>
      <c r="E175" s="64">
        <f t="shared" si="94"/>
        <v>24000</v>
      </c>
      <c r="F175" s="64">
        <f t="shared" si="94"/>
        <v>24000</v>
      </c>
      <c r="G175" s="64">
        <f t="shared" si="94"/>
        <v>24000</v>
      </c>
      <c r="H175" s="64">
        <f t="shared" si="94"/>
        <v>24000</v>
      </c>
      <c r="I175" s="64">
        <f t="shared" si="94"/>
        <v>24000</v>
      </c>
      <c r="J175" s="64">
        <v>20460</v>
      </c>
      <c r="K175" s="659">
        <f t="shared" si="76"/>
        <v>0.85250000000000004</v>
      </c>
      <c r="L175" s="27"/>
    </row>
    <row r="176" spans="1:16" x14ac:dyDescent="0.25">
      <c r="A176" s="301">
        <v>453</v>
      </c>
      <c r="B176" s="302" t="s">
        <v>349</v>
      </c>
      <c r="C176" s="64">
        <v>8740</v>
      </c>
      <c r="D176" s="64">
        <v>8740</v>
      </c>
      <c r="E176" s="64">
        <v>8740</v>
      </c>
      <c r="F176" s="64">
        <v>8740</v>
      </c>
      <c r="G176" s="64">
        <v>8740</v>
      </c>
      <c r="H176" s="64">
        <v>8740</v>
      </c>
      <c r="I176" s="64">
        <v>8740</v>
      </c>
      <c r="J176" s="64">
        <v>8740</v>
      </c>
      <c r="K176" s="659">
        <f t="shared" si="76"/>
        <v>1</v>
      </c>
      <c r="L176" s="27"/>
    </row>
    <row r="177" spans="1:16" x14ac:dyDescent="0.25">
      <c r="A177" s="301">
        <v>453</v>
      </c>
      <c r="B177" s="302" t="s">
        <v>332</v>
      </c>
      <c r="C177" s="64">
        <v>1000</v>
      </c>
      <c r="D177" s="605">
        <f>1000-400</f>
        <v>600</v>
      </c>
      <c r="E177" s="64">
        <f>1000-400</f>
        <v>600</v>
      </c>
      <c r="F177" s="64">
        <f>1000-400</f>
        <v>600</v>
      </c>
      <c r="G177" s="64">
        <f t="shared" ref="G177:I177" si="95">1000-400</f>
        <v>600</v>
      </c>
      <c r="H177" s="64">
        <f t="shared" si="95"/>
        <v>600</v>
      </c>
      <c r="I177" s="64">
        <f t="shared" si="95"/>
        <v>600</v>
      </c>
      <c r="J177" s="64">
        <v>589</v>
      </c>
      <c r="K177" s="659">
        <f t="shared" si="76"/>
        <v>0.98166666666666669</v>
      </c>
      <c r="L177" s="27"/>
    </row>
    <row r="178" spans="1:16" x14ac:dyDescent="0.25">
      <c r="A178" s="615">
        <v>453</v>
      </c>
      <c r="B178" s="284" t="s">
        <v>252</v>
      </c>
      <c r="C178" s="64">
        <v>1000</v>
      </c>
      <c r="D178" s="64">
        <v>1000</v>
      </c>
      <c r="E178" s="64">
        <v>1000</v>
      </c>
      <c r="F178" s="64">
        <v>1000</v>
      </c>
      <c r="G178" s="64">
        <v>1000</v>
      </c>
      <c r="H178" s="64">
        <v>1000</v>
      </c>
      <c r="I178" s="64">
        <v>1000</v>
      </c>
      <c r="J178" s="64">
        <v>754</v>
      </c>
      <c r="K178" s="659">
        <f t="shared" si="76"/>
        <v>0.754</v>
      </c>
      <c r="L178" s="27"/>
    </row>
    <row r="179" spans="1:16" x14ac:dyDescent="0.25">
      <c r="A179" s="615">
        <v>453</v>
      </c>
      <c r="B179" s="284" t="s">
        <v>514</v>
      </c>
      <c r="C179" s="64">
        <v>0</v>
      </c>
      <c r="D179" s="605">
        <v>400</v>
      </c>
      <c r="E179" s="64">
        <v>400</v>
      </c>
      <c r="F179" s="64">
        <v>400</v>
      </c>
      <c r="G179" s="64">
        <v>400</v>
      </c>
      <c r="H179" s="64">
        <v>400</v>
      </c>
      <c r="I179" s="64">
        <v>400</v>
      </c>
      <c r="J179" s="64">
        <v>319</v>
      </c>
      <c r="K179" s="659">
        <f t="shared" si="76"/>
        <v>0.79749999999999999</v>
      </c>
      <c r="L179" s="27">
        <f>SUM(C175:C180)</f>
        <v>36740</v>
      </c>
      <c r="M179" s="27">
        <f>SUM(D175:D180)</f>
        <v>36740</v>
      </c>
      <c r="N179" s="27">
        <f>SUM(E175:E180)</f>
        <v>36740</v>
      </c>
    </row>
    <row r="180" spans="1:16" ht="15.75" thickBot="1" x14ac:dyDescent="0.3">
      <c r="A180" s="640">
        <v>453</v>
      </c>
      <c r="B180" s="641" t="s">
        <v>250</v>
      </c>
      <c r="C180" s="642">
        <v>2000</v>
      </c>
      <c r="D180" s="642">
        <v>2000</v>
      </c>
      <c r="E180" s="642">
        <v>2000</v>
      </c>
      <c r="F180" s="642">
        <v>2000</v>
      </c>
      <c r="G180" s="642">
        <v>2000</v>
      </c>
      <c r="H180" s="642">
        <v>2000</v>
      </c>
      <c r="I180" s="642">
        <v>2000</v>
      </c>
      <c r="J180" s="642">
        <v>0</v>
      </c>
      <c r="K180" s="659">
        <f t="shared" si="76"/>
        <v>0</v>
      </c>
    </row>
    <row r="181" spans="1:16" x14ac:dyDescent="0.25">
      <c r="A181" s="376">
        <v>453</v>
      </c>
      <c r="B181" s="432" t="s">
        <v>337</v>
      </c>
      <c r="C181" s="377">
        <v>105400</v>
      </c>
      <c r="D181" s="377">
        <v>105400</v>
      </c>
      <c r="E181" s="377">
        <v>105400</v>
      </c>
      <c r="F181" s="377">
        <v>105400</v>
      </c>
      <c r="G181" s="377">
        <v>105400</v>
      </c>
      <c r="H181" s="377">
        <v>105400</v>
      </c>
      <c r="I181" s="377">
        <v>105400</v>
      </c>
      <c r="J181" s="377">
        <v>0</v>
      </c>
      <c r="K181" s="659">
        <f t="shared" si="76"/>
        <v>0</v>
      </c>
      <c r="L181" s="27"/>
      <c r="M181" s="27"/>
      <c r="N181" s="27"/>
    </row>
    <row r="182" spans="1:16" x14ac:dyDescent="0.25">
      <c r="A182" s="214">
        <v>453</v>
      </c>
      <c r="B182" s="215" t="s">
        <v>348</v>
      </c>
      <c r="C182" s="216">
        <v>91310</v>
      </c>
      <c r="D182" s="216">
        <v>91310</v>
      </c>
      <c r="E182" s="216">
        <v>91310</v>
      </c>
      <c r="F182" s="216">
        <v>91310</v>
      </c>
      <c r="G182" s="216">
        <v>91310</v>
      </c>
      <c r="H182" s="216">
        <v>91310</v>
      </c>
      <c r="I182" s="216">
        <v>91310</v>
      </c>
      <c r="J182" s="216">
        <v>91304</v>
      </c>
      <c r="K182" s="659">
        <f t="shared" si="76"/>
        <v>0.99993428978206111</v>
      </c>
      <c r="L182" s="27"/>
      <c r="M182" s="27"/>
      <c r="N182" s="27"/>
    </row>
    <row r="183" spans="1:16" x14ac:dyDescent="0.25">
      <c r="A183" s="301">
        <v>453</v>
      </c>
      <c r="B183" s="302" t="s">
        <v>339</v>
      </c>
      <c r="C183" s="64">
        <v>79700</v>
      </c>
      <c r="D183" s="64">
        <v>79700</v>
      </c>
      <c r="E183" s="64">
        <v>79700</v>
      </c>
      <c r="F183" s="64">
        <v>79700</v>
      </c>
      <c r="G183" s="64">
        <v>79700</v>
      </c>
      <c r="H183" s="64">
        <v>79700</v>
      </c>
      <c r="I183" s="64">
        <v>79700</v>
      </c>
      <c r="J183" s="64">
        <v>0</v>
      </c>
      <c r="K183" s="659">
        <f t="shared" si="76"/>
        <v>0</v>
      </c>
      <c r="L183" s="27"/>
    </row>
    <row r="184" spans="1:16" x14ac:dyDescent="0.25">
      <c r="A184" s="433">
        <v>453</v>
      </c>
      <c r="B184" s="284" t="s">
        <v>358</v>
      </c>
      <c r="C184" s="434">
        <v>70000</v>
      </c>
      <c r="D184" s="434">
        <v>70000</v>
      </c>
      <c r="E184" s="434">
        <v>70000</v>
      </c>
      <c r="F184" s="434">
        <v>70000</v>
      </c>
      <c r="G184" s="434">
        <v>70000</v>
      </c>
      <c r="H184" s="434">
        <v>70000</v>
      </c>
      <c r="I184" s="434">
        <v>70000</v>
      </c>
      <c r="J184" s="434">
        <v>0</v>
      </c>
      <c r="K184" s="659">
        <f t="shared" si="76"/>
        <v>0</v>
      </c>
      <c r="L184" s="27">
        <f>SUM(H181:H185)</f>
        <v>347296</v>
      </c>
      <c r="M184" s="27">
        <f>SUM(J181:J185)</f>
        <v>91304</v>
      </c>
      <c r="N184" s="27"/>
      <c r="P184" s="310">
        <f>N153</f>
        <v>771296</v>
      </c>
    </row>
    <row r="185" spans="1:16" ht="15.75" thickBot="1" x14ac:dyDescent="0.3">
      <c r="A185" s="376">
        <v>453</v>
      </c>
      <c r="B185" s="432" t="s">
        <v>232</v>
      </c>
      <c r="C185" s="377">
        <v>886</v>
      </c>
      <c r="D185" s="377">
        <v>886</v>
      </c>
      <c r="E185" s="377">
        <v>886</v>
      </c>
      <c r="F185" s="377">
        <v>886</v>
      </c>
      <c r="G185" s="377">
        <v>886</v>
      </c>
      <c r="H185" s="377">
        <v>886</v>
      </c>
      <c r="I185" s="377">
        <v>886</v>
      </c>
      <c r="J185" s="377">
        <v>0</v>
      </c>
      <c r="K185" s="659">
        <f t="shared" si="76"/>
        <v>0</v>
      </c>
      <c r="L185" s="310">
        <f>SUM(H175:H185)</f>
        <v>384036</v>
      </c>
      <c r="M185" s="310">
        <f>SUM(J175:J185)</f>
        <v>122166</v>
      </c>
      <c r="P185" s="310">
        <f>P184-N184-N187</f>
        <v>771296</v>
      </c>
    </row>
    <row r="186" spans="1:16" x14ac:dyDescent="0.25">
      <c r="A186" s="285">
        <v>454</v>
      </c>
      <c r="B186" s="286" t="s">
        <v>350</v>
      </c>
      <c r="C186" s="287">
        <v>0</v>
      </c>
      <c r="D186" s="287">
        <v>0</v>
      </c>
      <c r="E186" s="287">
        <v>0</v>
      </c>
      <c r="F186" s="287">
        <v>0</v>
      </c>
      <c r="G186" s="287">
        <v>0</v>
      </c>
      <c r="H186" s="287">
        <v>0</v>
      </c>
      <c r="I186" s="287">
        <v>0</v>
      </c>
      <c r="J186" s="287">
        <v>0</v>
      </c>
      <c r="K186" s="659">
        <v>0</v>
      </c>
      <c r="L186" s="310"/>
      <c r="M186" s="310"/>
      <c r="P186" s="310"/>
    </row>
    <row r="187" spans="1:16" ht="15.75" thickBot="1" x14ac:dyDescent="0.3">
      <c r="A187" s="217">
        <v>454</v>
      </c>
      <c r="B187" s="218" t="s">
        <v>311</v>
      </c>
      <c r="C187" s="219">
        <v>543700</v>
      </c>
      <c r="D187" s="219">
        <v>543700</v>
      </c>
      <c r="E187" s="643">
        <f>543700-119700</f>
        <v>424000</v>
      </c>
      <c r="F187" s="219">
        <f t="shared" ref="F187:I187" si="96">543700-119700</f>
        <v>424000</v>
      </c>
      <c r="G187" s="219">
        <f t="shared" si="96"/>
        <v>424000</v>
      </c>
      <c r="H187" s="219">
        <f t="shared" si="96"/>
        <v>424000</v>
      </c>
      <c r="I187" s="219">
        <f t="shared" si="96"/>
        <v>424000</v>
      </c>
      <c r="J187" s="219">
        <v>78243</v>
      </c>
      <c r="K187" s="659">
        <f t="shared" si="76"/>
        <v>0.18453537735849057</v>
      </c>
      <c r="L187" s="27">
        <f>SUM(H186:H187)</f>
        <v>424000</v>
      </c>
      <c r="M187" s="27">
        <f>SUM(J186:J187)</f>
        <v>78243</v>
      </c>
      <c r="N187" s="27"/>
      <c r="P187" s="310"/>
    </row>
    <row r="188" spans="1:16" ht="15" customHeight="1" x14ac:dyDescent="0.25">
      <c r="A188" s="376">
        <v>456</v>
      </c>
      <c r="B188" s="284" t="s">
        <v>233</v>
      </c>
      <c r="C188" s="377">
        <v>3421</v>
      </c>
      <c r="D188" s="377">
        <v>3421</v>
      </c>
      <c r="E188" s="377">
        <v>3421</v>
      </c>
      <c r="F188" s="377">
        <v>3421</v>
      </c>
      <c r="G188" s="377">
        <v>3421</v>
      </c>
      <c r="H188" s="377">
        <v>3421</v>
      </c>
      <c r="I188" s="377">
        <v>3421</v>
      </c>
      <c r="J188" s="377">
        <v>0</v>
      </c>
      <c r="K188" s="659">
        <f t="shared" si="76"/>
        <v>0</v>
      </c>
      <c r="L188" s="27"/>
      <c r="M188" s="27"/>
      <c r="N188" s="27"/>
    </row>
    <row r="189" spans="1:16" ht="14.25" customHeight="1" x14ac:dyDescent="0.25">
      <c r="A189" s="301">
        <v>456</v>
      </c>
      <c r="B189" s="302" t="s">
        <v>234</v>
      </c>
      <c r="C189" s="64">
        <v>40</v>
      </c>
      <c r="D189" s="64">
        <v>40</v>
      </c>
      <c r="E189" s="64">
        <v>40</v>
      </c>
      <c r="F189" s="64">
        <v>40</v>
      </c>
      <c r="G189" s="64">
        <v>40</v>
      </c>
      <c r="H189" s="64">
        <v>40</v>
      </c>
      <c r="I189" s="64">
        <v>40</v>
      </c>
      <c r="J189" s="64">
        <v>0</v>
      </c>
      <c r="K189" s="659">
        <f t="shared" si="76"/>
        <v>0</v>
      </c>
      <c r="L189" s="1"/>
    </row>
    <row r="190" spans="1:16" ht="15.75" thickBot="1" x14ac:dyDescent="0.3">
      <c r="A190" s="433">
        <v>456</v>
      </c>
      <c r="B190" s="284" t="s">
        <v>253</v>
      </c>
      <c r="C190" s="434">
        <v>100</v>
      </c>
      <c r="D190" s="434">
        <v>100</v>
      </c>
      <c r="E190" s="434">
        <v>100</v>
      </c>
      <c r="F190" s="434">
        <v>100</v>
      </c>
      <c r="G190" s="434">
        <v>100</v>
      </c>
      <c r="H190" s="434">
        <v>100</v>
      </c>
      <c r="I190" s="434">
        <v>100</v>
      </c>
      <c r="J190" s="434">
        <v>0</v>
      </c>
      <c r="K190" s="659">
        <f t="shared" si="76"/>
        <v>0</v>
      </c>
      <c r="L190" s="27">
        <f>SUM(H188:H190)</f>
        <v>3561</v>
      </c>
      <c r="M190" s="27">
        <f>SUM(J188:J190)</f>
        <v>0</v>
      </c>
      <c r="N190" s="27"/>
    </row>
    <row r="191" spans="1:16" ht="15.75" thickBot="1" x14ac:dyDescent="0.3">
      <c r="A191" s="285">
        <v>513</v>
      </c>
      <c r="B191" s="286" t="s">
        <v>164</v>
      </c>
      <c r="C191" s="287">
        <v>0</v>
      </c>
      <c r="D191" s="287">
        <v>0</v>
      </c>
      <c r="E191" s="287">
        <v>0</v>
      </c>
      <c r="F191" s="287">
        <v>0</v>
      </c>
      <c r="G191" s="287">
        <v>0</v>
      </c>
      <c r="H191" s="287">
        <v>0</v>
      </c>
      <c r="I191" s="287">
        <v>0</v>
      </c>
      <c r="J191" s="287">
        <v>0</v>
      </c>
      <c r="K191" s="659">
        <v>0</v>
      </c>
      <c r="L191" s="27"/>
    </row>
    <row r="192" spans="1:16" ht="16.5" thickBot="1" x14ac:dyDescent="0.3">
      <c r="A192" s="706" t="s">
        <v>165</v>
      </c>
      <c r="B192" s="707"/>
      <c r="C192" s="303">
        <f>SUM(C193:C196)</f>
        <v>4601</v>
      </c>
      <c r="D192" s="303">
        <f>SUM(D193:D196)</f>
        <v>4601</v>
      </c>
      <c r="E192" s="303">
        <f>SUM(E193:E196)</f>
        <v>4601</v>
      </c>
      <c r="F192" s="303">
        <f>SUM(F193:F196)</f>
        <v>4601</v>
      </c>
      <c r="G192" s="303">
        <f>SUM(G193:G196)</f>
        <v>4601</v>
      </c>
      <c r="H192" s="303">
        <f>SUM(H193:H196)</f>
        <v>4601</v>
      </c>
      <c r="I192" s="303">
        <f>SUM(I193:I196)</f>
        <v>4601</v>
      </c>
      <c r="J192" s="303">
        <f>SUM(J193:J196)</f>
        <v>256</v>
      </c>
      <c r="K192" s="659">
        <f t="shared" si="76"/>
        <v>5.5640078243860032E-2</v>
      </c>
      <c r="L192" s="27">
        <f>E192-D192</f>
        <v>0</v>
      </c>
      <c r="M192" s="27">
        <f>F192-E192</f>
        <v>0</v>
      </c>
      <c r="N192" s="27">
        <f>G192-F192</f>
        <v>0</v>
      </c>
      <c r="O192" s="27">
        <f>H192-G192</f>
        <v>0</v>
      </c>
    </row>
    <row r="193" spans="1:14" ht="17.25" customHeight="1" x14ac:dyDescent="0.25">
      <c r="A193" s="220">
        <v>819</v>
      </c>
      <c r="B193" s="221" t="s">
        <v>166</v>
      </c>
      <c r="C193" s="153">
        <v>100</v>
      </c>
      <c r="D193" s="153">
        <v>100</v>
      </c>
      <c r="E193" s="153">
        <v>100</v>
      </c>
      <c r="F193" s="153">
        <v>100</v>
      </c>
      <c r="G193" s="153">
        <v>100</v>
      </c>
      <c r="H193" s="153">
        <v>100</v>
      </c>
      <c r="I193" s="153">
        <v>100</v>
      </c>
      <c r="J193" s="153">
        <v>0</v>
      </c>
      <c r="K193" s="659">
        <f t="shared" si="76"/>
        <v>0</v>
      </c>
      <c r="L193" s="1"/>
    </row>
    <row r="194" spans="1:14" x14ac:dyDescent="0.25">
      <c r="A194" s="222">
        <v>819</v>
      </c>
      <c r="B194" s="223" t="s">
        <v>235</v>
      </c>
      <c r="C194" s="56">
        <v>40</v>
      </c>
      <c r="D194" s="56">
        <v>40</v>
      </c>
      <c r="E194" s="56">
        <v>40</v>
      </c>
      <c r="F194" s="56">
        <v>40</v>
      </c>
      <c r="G194" s="56">
        <v>40</v>
      </c>
      <c r="H194" s="56">
        <v>40</v>
      </c>
      <c r="I194" s="56">
        <v>40</v>
      </c>
      <c r="J194" s="56">
        <v>0</v>
      </c>
      <c r="K194" s="659">
        <f t="shared" si="76"/>
        <v>0</v>
      </c>
      <c r="L194" s="1"/>
    </row>
    <row r="195" spans="1:14" x14ac:dyDescent="0.25">
      <c r="A195" s="222">
        <v>819</v>
      </c>
      <c r="B195" s="360" t="s">
        <v>236</v>
      </c>
      <c r="C195" s="56">
        <v>3421</v>
      </c>
      <c r="D195" s="56">
        <v>3421</v>
      </c>
      <c r="E195" s="56">
        <v>3421</v>
      </c>
      <c r="F195" s="56">
        <v>3421</v>
      </c>
      <c r="G195" s="56">
        <v>3421</v>
      </c>
      <c r="H195" s="56">
        <v>3421</v>
      </c>
      <c r="I195" s="56">
        <v>3421</v>
      </c>
      <c r="J195" s="56">
        <v>0</v>
      </c>
      <c r="K195" s="659">
        <f t="shared" si="76"/>
        <v>0</v>
      </c>
      <c r="L195" s="132"/>
    </row>
    <row r="196" spans="1:14" ht="15.75" thickBot="1" x14ac:dyDescent="0.3">
      <c r="A196" s="224">
        <v>821</v>
      </c>
      <c r="B196" s="225" t="s">
        <v>167</v>
      </c>
      <c r="C196" s="115">
        <v>1040</v>
      </c>
      <c r="D196" s="115">
        <v>1040</v>
      </c>
      <c r="E196" s="115">
        <v>1040</v>
      </c>
      <c r="F196" s="115">
        <v>1040</v>
      </c>
      <c r="G196" s="115">
        <v>1040</v>
      </c>
      <c r="H196" s="115">
        <v>1040</v>
      </c>
      <c r="I196" s="115">
        <v>1040</v>
      </c>
      <c r="J196" s="115">
        <v>256</v>
      </c>
      <c r="K196" s="659">
        <f t="shared" si="76"/>
        <v>0.24615384615384617</v>
      </c>
      <c r="L196" s="209"/>
    </row>
    <row r="197" spans="1:14" x14ac:dyDescent="0.25">
      <c r="A197" s="211"/>
      <c r="B197" s="226"/>
      <c r="C197" s="132"/>
      <c r="D197" s="132"/>
      <c r="E197" s="132"/>
      <c r="F197" s="132"/>
      <c r="G197" s="132"/>
      <c r="H197" s="132"/>
      <c r="I197" s="132"/>
      <c r="J197" s="132"/>
      <c r="K197" s="659"/>
      <c r="L197" s="1"/>
    </row>
    <row r="198" spans="1:14" ht="15.75" x14ac:dyDescent="0.25">
      <c r="A198" s="101"/>
      <c r="B198" s="209"/>
      <c r="C198" s="209"/>
      <c r="D198" s="209"/>
      <c r="E198" s="209"/>
      <c r="F198" s="209"/>
      <c r="G198" s="209"/>
      <c r="H198" s="209"/>
      <c r="I198" s="209"/>
      <c r="J198" s="209"/>
      <c r="K198" s="659"/>
    </row>
    <row r="199" spans="1:14" ht="25.5" customHeight="1" thickBot="1" x14ac:dyDescent="0.3">
      <c r="A199" s="708" t="s">
        <v>168</v>
      </c>
      <c r="B199" s="709"/>
      <c r="C199" s="709"/>
      <c r="D199" s="709"/>
      <c r="E199" s="709"/>
      <c r="F199" s="655"/>
      <c r="G199" s="655"/>
      <c r="H199" s="655"/>
      <c r="I199" s="655"/>
      <c r="J199" s="655"/>
      <c r="K199" s="659"/>
      <c r="L199" s="1"/>
    </row>
    <row r="200" spans="1:14" ht="59.25" customHeight="1" thickBot="1" x14ac:dyDescent="0.3">
      <c r="A200" s="687" t="s">
        <v>1</v>
      </c>
      <c r="B200" s="699"/>
      <c r="C200" s="289" t="s">
        <v>455</v>
      </c>
      <c r="D200" s="289" t="s">
        <v>454</v>
      </c>
      <c r="E200" s="289" t="s">
        <v>372</v>
      </c>
      <c r="F200" s="289" t="s">
        <v>516</v>
      </c>
      <c r="G200" s="289" t="s">
        <v>532</v>
      </c>
      <c r="H200" s="289" t="s">
        <v>517</v>
      </c>
      <c r="I200" s="289" t="s">
        <v>578</v>
      </c>
      <c r="J200" s="289" t="s">
        <v>569</v>
      </c>
      <c r="K200" s="659"/>
      <c r="L200" s="1"/>
    </row>
    <row r="201" spans="1:14" ht="15.75" x14ac:dyDescent="0.25">
      <c r="A201" s="227" t="s">
        <v>169</v>
      </c>
      <c r="B201" s="29"/>
      <c r="C201" s="228">
        <f>C72</f>
        <v>2776003</v>
      </c>
      <c r="D201" s="228">
        <f>D72</f>
        <v>2833804</v>
      </c>
      <c r="E201" s="228">
        <f>E72</f>
        <v>2841504</v>
      </c>
      <c r="F201" s="228">
        <f>F72</f>
        <v>2893604</v>
      </c>
      <c r="G201" s="228">
        <f>G72</f>
        <v>2905024</v>
      </c>
      <c r="H201" s="228">
        <f>H72</f>
        <v>2908156</v>
      </c>
      <c r="I201" s="228">
        <f>I72</f>
        <v>2908156</v>
      </c>
      <c r="J201" s="228">
        <f>J72</f>
        <v>816202</v>
      </c>
      <c r="K201" s="659"/>
      <c r="L201" s="1"/>
    </row>
    <row r="202" spans="1:14" ht="15.75" x14ac:dyDescent="0.25">
      <c r="A202" s="229" t="s">
        <v>170</v>
      </c>
      <c r="B202" s="230"/>
      <c r="C202" s="231">
        <f>C138</f>
        <v>2811703</v>
      </c>
      <c r="D202" s="231">
        <f>D138</f>
        <v>2869504</v>
      </c>
      <c r="E202" s="231">
        <f>E138</f>
        <v>2877204</v>
      </c>
      <c r="F202" s="231">
        <f>F138</f>
        <v>2929304</v>
      </c>
      <c r="G202" s="231">
        <f>G138</f>
        <v>2940724</v>
      </c>
      <c r="H202" s="231">
        <f>H138</f>
        <v>2943856</v>
      </c>
      <c r="I202" s="231">
        <f>I138</f>
        <v>2943856</v>
      </c>
      <c r="J202" s="231">
        <f>J138</f>
        <v>646161</v>
      </c>
      <c r="K202" s="659"/>
      <c r="L202" s="1"/>
    </row>
    <row r="203" spans="1:14" ht="15.75" x14ac:dyDescent="0.25">
      <c r="A203" s="702" t="s">
        <v>171</v>
      </c>
      <c r="B203" s="703"/>
      <c r="C203" s="232">
        <f t="shared" ref="C203:J203" si="97">C201-C202</f>
        <v>-35700</v>
      </c>
      <c r="D203" s="232">
        <f t="shared" si="97"/>
        <v>-35700</v>
      </c>
      <c r="E203" s="232">
        <f t="shared" si="97"/>
        <v>-35700</v>
      </c>
      <c r="F203" s="232">
        <f t="shared" si="97"/>
        <v>-35700</v>
      </c>
      <c r="G203" s="232">
        <f t="shared" si="97"/>
        <v>-35700</v>
      </c>
      <c r="H203" s="232">
        <f t="shared" si="97"/>
        <v>-35700</v>
      </c>
      <c r="I203" s="232">
        <f t="shared" ref="I203" si="98">I201-I202</f>
        <v>-35700</v>
      </c>
      <c r="J203" s="232">
        <f t="shared" si="97"/>
        <v>170041</v>
      </c>
      <c r="K203" s="659"/>
      <c r="L203" s="27">
        <f>C203-C196</f>
        <v>-36740</v>
      </c>
      <c r="M203" s="310">
        <f>D203-D196</f>
        <v>-36740</v>
      </c>
      <c r="N203" s="310">
        <f>E203-E196</f>
        <v>-36740</v>
      </c>
    </row>
    <row r="204" spans="1:14" ht="15.75" x14ac:dyDescent="0.25">
      <c r="A204" s="229" t="s">
        <v>172</v>
      </c>
      <c r="B204" s="18"/>
      <c r="C204" s="231">
        <f>C143</f>
        <v>1143050</v>
      </c>
      <c r="D204" s="231">
        <f>D143</f>
        <v>1143050</v>
      </c>
      <c r="E204" s="231">
        <f>E143</f>
        <v>1334050</v>
      </c>
      <c r="F204" s="231">
        <f>F143</f>
        <v>1334050</v>
      </c>
      <c r="G204" s="231">
        <f>G143</f>
        <v>2501730</v>
      </c>
      <c r="H204" s="231">
        <f>H143</f>
        <v>2501730</v>
      </c>
      <c r="I204" s="231">
        <f>I143</f>
        <v>2793370</v>
      </c>
      <c r="J204" s="231">
        <f>J143</f>
        <v>0</v>
      </c>
      <c r="K204" s="659"/>
      <c r="L204" s="1"/>
    </row>
    <row r="205" spans="1:14" ht="15.75" x14ac:dyDescent="0.25">
      <c r="A205" s="229" t="s">
        <v>173</v>
      </c>
      <c r="B205" s="18"/>
      <c r="C205" s="20">
        <f>C154</f>
        <v>2034046</v>
      </c>
      <c r="D205" s="20">
        <f>D154</f>
        <v>2034046</v>
      </c>
      <c r="E205" s="20">
        <f>E154</f>
        <v>2105346</v>
      </c>
      <c r="F205" s="20">
        <f>F154</f>
        <v>2105346</v>
      </c>
      <c r="G205" s="20">
        <f>G154</f>
        <v>3273026</v>
      </c>
      <c r="H205" s="20">
        <f>H154</f>
        <v>3273026</v>
      </c>
      <c r="I205" s="20">
        <f>I154</f>
        <v>3564666</v>
      </c>
      <c r="J205" s="20">
        <f>J154</f>
        <v>169547</v>
      </c>
      <c r="K205" s="659"/>
      <c r="L205" s="1"/>
    </row>
    <row r="206" spans="1:14" ht="15.75" x14ac:dyDescent="0.25">
      <c r="A206" s="702" t="s">
        <v>174</v>
      </c>
      <c r="B206" s="703"/>
      <c r="C206" s="232">
        <f t="shared" ref="C206:J206" si="99">C204-C205</f>
        <v>-890996</v>
      </c>
      <c r="D206" s="232">
        <f t="shared" si="99"/>
        <v>-890996</v>
      </c>
      <c r="E206" s="232">
        <f t="shared" si="99"/>
        <v>-771296</v>
      </c>
      <c r="F206" s="232">
        <f t="shared" si="99"/>
        <v>-771296</v>
      </c>
      <c r="G206" s="232">
        <f t="shared" si="99"/>
        <v>-771296</v>
      </c>
      <c r="H206" s="232">
        <f t="shared" si="99"/>
        <v>-771296</v>
      </c>
      <c r="I206" s="232">
        <f t="shared" ref="I206" si="100">I204-I205</f>
        <v>-771296</v>
      </c>
      <c r="J206" s="232">
        <f t="shared" si="99"/>
        <v>-169547</v>
      </c>
      <c r="K206" s="659"/>
      <c r="L206" s="1"/>
    </row>
    <row r="207" spans="1:14" ht="15.75" x14ac:dyDescent="0.25">
      <c r="A207" s="233" t="s">
        <v>175</v>
      </c>
      <c r="B207" s="234"/>
      <c r="C207" s="235">
        <f>C174</f>
        <v>931297</v>
      </c>
      <c r="D207" s="235">
        <f>D174</f>
        <v>931297</v>
      </c>
      <c r="E207" s="235">
        <f>E174</f>
        <v>811597</v>
      </c>
      <c r="F207" s="235">
        <f>F174</f>
        <v>811597</v>
      </c>
      <c r="G207" s="235">
        <f>G174</f>
        <v>811597</v>
      </c>
      <c r="H207" s="235">
        <f>H174</f>
        <v>811597</v>
      </c>
      <c r="I207" s="235">
        <f>I174</f>
        <v>811597</v>
      </c>
      <c r="J207" s="235">
        <f>J174</f>
        <v>200409</v>
      </c>
      <c r="K207" s="659"/>
      <c r="L207" s="1"/>
    </row>
    <row r="208" spans="1:14" ht="15.75" x14ac:dyDescent="0.25">
      <c r="A208" s="233" t="s">
        <v>176</v>
      </c>
      <c r="B208" s="234"/>
      <c r="C208" s="235">
        <f>C192</f>
        <v>4601</v>
      </c>
      <c r="D208" s="235">
        <f>D192</f>
        <v>4601</v>
      </c>
      <c r="E208" s="235">
        <f>E192</f>
        <v>4601</v>
      </c>
      <c r="F208" s="235">
        <f>F192</f>
        <v>4601</v>
      </c>
      <c r="G208" s="235">
        <f>G192</f>
        <v>4601</v>
      </c>
      <c r="H208" s="235">
        <f>H192</f>
        <v>4601</v>
      </c>
      <c r="I208" s="235">
        <f>I192</f>
        <v>4601</v>
      </c>
      <c r="J208" s="235">
        <f>J192</f>
        <v>256</v>
      </c>
      <c r="K208" s="659"/>
      <c r="L208" s="1"/>
    </row>
    <row r="209" spans="1:18" ht="16.5" thickBot="1" x14ac:dyDescent="0.3">
      <c r="A209" s="704" t="s">
        <v>177</v>
      </c>
      <c r="B209" s="705"/>
      <c r="C209" s="236">
        <f t="shared" ref="C209:J209" si="101">C207-C208</f>
        <v>926696</v>
      </c>
      <c r="D209" s="236">
        <f t="shared" si="101"/>
        <v>926696</v>
      </c>
      <c r="E209" s="236">
        <f t="shared" si="101"/>
        <v>806996</v>
      </c>
      <c r="F209" s="236">
        <f t="shared" si="101"/>
        <v>806996</v>
      </c>
      <c r="G209" s="236">
        <f t="shared" si="101"/>
        <v>806996</v>
      </c>
      <c r="H209" s="236">
        <f t="shared" si="101"/>
        <v>806996</v>
      </c>
      <c r="I209" s="236">
        <f t="shared" ref="I209" si="102">I207-I208</f>
        <v>806996</v>
      </c>
      <c r="J209" s="236">
        <f t="shared" si="101"/>
        <v>200153</v>
      </c>
      <c r="K209" s="659"/>
      <c r="L209" s="1"/>
    </row>
    <row r="210" spans="1:18" ht="32.25" customHeight="1" thickBot="1" x14ac:dyDescent="0.3">
      <c r="A210" s="237" t="s">
        <v>178</v>
      </c>
      <c r="B210" s="238"/>
      <c r="C210" s="239">
        <f t="shared" ref="C210:J210" si="103">C203+C206+C209</f>
        <v>0</v>
      </c>
      <c r="D210" s="239">
        <f t="shared" si="103"/>
        <v>0</v>
      </c>
      <c r="E210" s="239">
        <f t="shared" si="103"/>
        <v>0</v>
      </c>
      <c r="F210" s="239">
        <f t="shared" si="103"/>
        <v>0</v>
      </c>
      <c r="G210" s="239">
        <f t="shared" si="103"/>
        <v>0</v>
      </c>
      <c r="H210" s="239">
        <f t="shared" si="103"/>
        <v>0</v>
      </c>
      <c r="I210" s="239">
        <f t="shared" ref="I210" si="104">I203+I206+I209</f>
        <v>0</v>
      </c>
      <c r="J210" s="239">
        <f t="shared" si="103"/>
        <v>200647</v>
      </c>
      <c r="K210" s="659"/>
      <c r="L210" s="1"/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8" x14ac:dyDescent="0.25">
      <c r="A212" s="1"/>
      <c r="B212" s="437" t="s">
        <v>312</v>
      </c>
      <c r="C212" s="438">
        <f t="shared" ref="C212:J213" si="105">C201+C204+C207</f>
        <v>4850350</v>
      </c>
      <c r="D212" s="438">
        <f t="shared" si="105"/>
        <v>4908151</v>
      </c>
      <c r="E212" s="438">
        <f t="shared" si="105"/>
        <v>4987151</v>
      </c>
      <c r="F212" s="438">
        <f t="shared" si="105"/>
        <v>5039251</v>
      </c>
      <c r="G212" s="438">
        <f t="shared" si="105"/>
        <v>6218351</v>
      </c>
      <c r="H212" s="438">
        <f t="shared" si="105"/>
        <v>6221483</v>
      </c>
      <c r="I212" s="438">
        <f t="shared" ref="I212" si="106">I201+I204+I207</f>
        <v>6513123</v>
      </c>
      <c r="J212" s="438">
        <f t="shared" si="105"/>
        <v>1016611</v>
      </c>
      <c r="K212" s="438"/>
      <c r="L212" s="1"/>
      <c r="M212" s="310">
        <f>D212-C212</f>
        <v>57801</v>
      </c>
      <c r="N212" s="310">
        <f>E212-D212</f>
        <v>79000</v>
      </c>
      <c r="O212" s="310">
        <f>F212-E212</f>
        <v>52100</v>
      </c>
      <c r="P212" s="310">
        <f>G212-F212</f>
        <v>1179100</v>
      </c>
      <c r="Q212" s="310">
        <f>H212-G212</f>
        <v>3132</v>
      </c>
    </row>
    <row r="213" spans="1:18" x14ac:dyDescent="0.25">
      <c r="A213" s="1"/>
      <c r="B213" s="437" t="s">
        <v>313</v>
      </c>
      <c r="C213" s="438">
        <f t="shared" si="105"/>
        <v>4850350</v>
      </c>
      <c r="D213" s="438">
        <f t="shared" si="105"/>
        <v>4908151</v>
      </c>
      <c r="E213" s="438">
        <f t="shared" si="105"/>
        <v>4987151</v>
      </c>
      <c r="F213" s="438">
        <f t="shared" si="105"/>
        <v>5039251</v>
      </c>
      <c r="G213" s="438">
        <f t="shared" si="105"/>
        <v>6218351</v>
      </c>
      <c r="H213" s="438">
        <f t="shared" si="105"/>
        <v>6221483</v>
      </c>
      <c r="I213" s="438">
        <f t="shared" ref="I213" si="107">I202+I205+I208</f>
        <v>6513123</v>
      </c>
      <c r="J213" s="438">
        <f t="shared" si="105"/>
        <v>815964</v>
      </c>
      <c r="K213" s="438"/>
      <c r="L213" s="1"/>
      <c r="M213" s="310">
        <f>D213-C213</f>
        <v>57801</v>
      </c>
      <c r="N213" s="310">
        <f>E213-D213</f>
        <v>79000</v>
      </c>
      <c r="O213" s="310">
        <f>F213-E213</f>
        <v>52100</v>
      </c>
      <c r="P213" s="310">
        <f>G213-F213</f>
        <v>1179100</v>
      </c>
      <c r="Q213" s="310">
        <f>H213-G213</f>
        <v>3132</v>
      </c>
      <c r="R213" s="310"/>
    </row>
    <row r="214" spans="1:18" x14ac:dyDescent="0.25">
      <c r="A214" s="1"/>
      <c r="B214" s="437"/>
      <c r="C214" s="438"/>
      <c r="D214" s="438"/>
      <c r="E214" s="438"/>
      <c r="F214" s="438"/>
      <c r="G214" s="438"/>
      <c r="H214" s="438"/>
      <c r="I214" s="438"/>
      <c r="J214" s="438"/>
      <c r="K214" s="438"/>
      <c r="L214" s="1"/>
      <c r="M214" s="310"/>
      <c r="N214" s="310"/>
      <c r="O214" s="310"/>
      <c r="P214" s="310"/>
      <c r="Q214" s="310"/>
    </row>
    <row r="215" spans="1:18" x14ac:dyDescent="0.25">
      <c r="A215" s="1"/>
      <c r="B215" s="437" t="s">
        <v>314</v>
      </c>
      <c r="C215" s="438">
        <f>C212-C71</f>
        <v>4832850</v>
      </c>
      <c r="D215" s="438">
        <f>D212-D71</f>
        <v>4890651</v>
      </c>
      <c r="E215" s="438">
        <f>E212-E71</f>
        <v>4969651</v>
      </c>
      <c r="F215" s="438">
        <f>F212-F71</f>
        <v>5021751</v>
      </c>
      <c r="G215" s="438">
        <f>G212-G71</f>
        <v>6200851</v>
      </c>
      <c r="H215" s="438">
        <f>H212-H71</f>
        <v>6203983</v>
      </c>
      <c r="I215" s="438">
        <f>I212-I71</f>
        <v>6495623</v>
      </c>
      <c r="J215" s="438">
        <f>J212-J71</f>
        <v>1010319</v>
      </c>
      <c r="K215" s="438"/>
      <c r="L215" s="1"/>
      <c r="M215" s="310">
        <f>D215-C215</f>
        <v>57801</v>
      </c>
      <c r="N215" s="310">
        <f>E215-D215</f>
        <v>79000</v>
      </c>
      <c r="O215" s="310">
        <f>F215-E215</f>
        <v>52100</v>
      </c>
      <c r="P215" s="310">
        <f>G215-F215</f>
        <v>1179100</v>
      </c>
      <c r="Q215" s="310">
        <f>H215-G215</f>
        <v>3132</v>
      </c>
      <c r="R215" s="310">
        <f>SUM(P215:Q215)</f>
        <v>1182232</v>
      </c>
    </row>
    <row r="216" spans="1:18" x14ac:dyDescent="0.25">
      <c r="A216" s="1"/>
      <c r="B216" s="437" t="s">
        <v>315</v>
      </c>
      <c r="C216" s="438">
        <f>C213-C137</f>
        <v>3839878</v>
      </c>
      <c r="D216" s="438">
        <f>D213-D137</f>
        <v>3850946</v>
      </c>
      <c r="E216" s="438">
        <f>E213-E137</f>
        <v>3929946</v>
      </c>
      <c r="F216" s="438">
        <f>F213-F137</f>
        <v>3982046</v>
      </c>
      <c r="G216" s="438">
        <f>G213-G137</f>
        <v>5161146</v>
      </c>
      <c r="H216" s="438">
        <f>H213-H137</f>
        <v>5161846</v>
      </c>
      <c r="I216" s="438">
        <f>I213-I137</f>
        <v>5453486</v>
      </c>
      <c r="J216" s="438">
        <f>J213-J137</f>
        <v>524720</v>
      </c>
      <c r="K216" s="438"/>
      <c r="L216" s="1"/>
      <c r="M216" s="310">
        <f>D216-C216</f>
        <v>11068</v>
      </c>
      <c r="N216" s="310">
        <f>E216-D216</f>
        <v>79000</v>
      </c>
      <c r="O216" s="310">
        <f>F216-E216</f>
        <v>52100</v>
      </c>
      <c r="P216" s="310">
        <f>G216-F216</f>
        <v>1179100</v>
      </c>
      <c r="Q216" s="310">
        <f>H216-G216</f>
        <v>700</v>
      </c>
      <c r="R216" s="310">
        <f>SUM(P216:Q216)</f>
        <v>1179800</v>
      </c>
    </row>
    <row r="217" spans="1:18" x14ac:dyDescent="0.25">
      <c r="A217" s="1"/>
      <c r="B217" s="437"/>
      <c r="C217" s="438"/>
      <c r="D217" s="438"/>
      <c r="E217" s="438"/>
      <c r="F217" s="438"/>
      <c r="G217" s="438"/>
      <c r="H217" s="438"/>
      <c r="I217" s="438"/>
      <c r="J217" s="438"/>
      <c r="K217" s="438"/>
      <c r="L217" s="1"/>
      <c r="M217" s="310"/>
      <c r="N217" s="310"/>
      <c r="O217" s="310"/>
      <c r="P217" s="310"/>
      <c r="Q217" s="310"/>
    </row>
    <row r="218" spans="1:18" x14ac:dyDescent="0.25">
      <c r="A218" s="1"/>
      <c r="B218" s="435" t="s">
        <v>316</v>
      </c>
      <c r="C218" s="436">
        <f t="shared" ref="C218:J219" si="108">C212-C215</f>
        <v>17500</v>
      </c>
      <c r="D218" s="436">
        <f t="shared" si="108"/>
        <v>17500</v>
      </c>
      <c r="E218" s="436">
        <f t="shared" si="108"/>
        <v>17500</v>
      </c>
      <c r="F218" s="436">
        <f t="shared" si="108"/>
        <v>17500</v>
      </c>
      <c r="G218" s="436">
        <f t="shared" si="108"/>
        <v>17500</v>
      </c>
      <c r="H218" s="436">
        <f t="shared" si="108"/>
        <v>17500</v>
      </c>
      <c r="I218" s="436">
        <f t="shared" ref="I218" si="109">I212-I215</f>
        <v>17500</v>
      </c>
      <c r="J218" s="436">
        <f t="shared" si="108"/>
        <v>6292</v>
      </c>
      <c r="K218" s="436"/>
      <c r="L218" s="1"/>
      <c r="M218" s="310">
        <f>D218-C218</f>
        <v>0</v>
      </c>
      <c r="N218" s="310">
        <f>E218-D218</f>
        <v>0</v>
      </c>
      <c r="O218" s="310">
        <f>F218-E218</f>
        <v>0</v>
      </c>
      <c r="P218" s="310">
        <f>G218-F218</f>
        <v>0</v>
      </c>
      <c r="Q218" s="310">
        <f>H218-G218</f>
        <v>0</v>
      </c>
    </row>
    <row r="219" spans="1:18" x14ac:dyDescent="0.25">
      <c r="A219" s="100"/>
      <c r="B219" s="435" t="s">
        <v>317</v>
      </c>
      <c r="C219" s="436">
        <f t="shared" si="108"/>
        <v>1010472</v>
      </c>
      <c r="D219" s="436">
        <f t="shared" si="108"/>
        <v>1057205</v>
      </c>
      <c r="E219" s="436">
        <f t="shared" si="108"/>
        <v>1057205</v>
      </c>
      <c r="F219" s="436">
        <f t="shared" si="108"/>
        <v>1057205</v>
      </c>
      <c r="G219" s="436">
        <f t="shared" si="108"/>
        <v>1057205</v>
      </c>
      <c r="H219" s="436">
        <f t="shared" si="108"/>
        <v>1059637</v>
      </c>
      <c r="I219" s="436">
        <f t="shared" ref="I219" si="110">I213-I216</f>
        <v>1059637</v>
      </c>
      <c r="J219" s="436">
        <f t="shared" si="108"/>
        <v>291244</v>
      </c>
      <c r="K219" s="436"/>
      <c r="L219" s="1"/>
      <c r="M219" s="310">
        <f>D219-C219</f>
        <v>46733</v>
      </c>
      <c r="N219" s="310">
        <f>E219-D219</f>
        <v>0</v>
      </c>
      <c r="O219" s="310">
        <f>F219-E219</f>
        <v>0</v>
      </c>
      <c r="P219" s="310">
        <f>G219-F219</f>
        <v>0</v>
      </c>
      <c r="Q219" s="310">
        <f>H219-G219</f>
        <v>2432</v>
      </c>
    </row>
    <row r="220" spans="1:18" x14ac:dyDescent="0.25">
      <c r="A220" s="1"/>
      <c r="B220" s="439"/>
      <c r="C220" s="616">
        <f t="shared" ref="C220:J220" si="111">C219-C218+C210</f>
        <v>992972</v>
      </c>
      <c r="D220" s="616">
        <f t="shared" si="111"/>
        <v>1039705</v>
      </c>
      <c r="E220" s="616">
        <f t="shared" si="111"/>
        <v>1039705</v>
      </c>
      <c r="F220" s="616">
        <f t="shared" si="111"/>
        <v>1039705</v>
      </c>
      <c r="G220" s="616">
        <f t="shared" si="111"/>
        <v>1039705</v>
      </c>
      <c r="H220" s="616">
        <f t="shared" si="111"/>
        <v>1042137</v>
      </c>
      <c r="I220" s="616">
        <f t="shared" ref="I220" si="112">I219-I218+I210</f>
        <v>1042137</v>
      </c>
      <c r="J220" s="616">
        <f t="shared" si="111"/>
        <v>485599</v>
      </c>
      <c r="K220" s="616"/>
      <c r="L220" s="1"/>
      <c r="M220" s="310">
        <f>D220-C220</f>
        <v>46733</v>
      </c>
      <c r="N220" s="310">
        <f>E220-D220</f>
        <v>0</v>
      </c>
      <c r="O220" s="310">
        <f>F220-E220</f>
        <v>0</v>
      </c>
      <c r="P220" s="310">
        <f>G220-F220</f>
        <v>0</v>
      </c>
      <c r="Q220" s="310">
        <f>H220-G220</f>
        <v>2432</v>
      </c>
    </row>
    <row r="221" spans="1:18" x14ac:dyDescent="0.25">
      <c r="A221" s="1"/>
      <c r="B221" s="439"/>
      <c r="C221" s="616"/>
      <c r="D221" s="616"/>
      <c r="E221" s="616"/>
      <c r="F221" s="616"/>
      <c r="G221" s="616"/>
      <c r="H221" s="616"/>
      <c r="I221" s="616"/>
      <c r="J221" s="616"/>
      <c r="K221" s="616"/>
      <c r="L221" s="1"/>
      <c r="M221" s="310"/>
      <c r="N221" s="310"/>
    </row>
    <row r="222" spans="1:18" x14ac:dyDescent="0.25">
      <c r="A222" s="1"/>
      <c r="B222" s="241" t="s">
        <v>345</v>
      </c>
      <c r="C222" s="240"/>
      <c r="D222" s="240"/>
      <c r="E222" s="240"/>
      <c r="F222" s="240"/>
      <c r="G222" s="240"/>
      <c r="H222" s="240"/>
      <c r="I222" s="240"/>
      <c r="J222" s="240"/>
      <c r="K222" s="240"/>
      <c r="L222" s="1"/>
    </row>
    <row r="223" spans="1:18" x14ac:dyDescent="0.25">
      <c r="A223" s="1"/>
      <c r="B223" s="241" t="s">
        <v>354</v>
      </c>
      <c r="C223" s="240"/>
      <c r="D223" s="240"/>
      <c r="E223" s="240"/>
      <c r="F223" s="240"/>
      <c r="G223" s="240"/>
      <c r="H223" s="240"/>
      <c r="I223" s="240"/>
      <c r="J223" s="240"/>
      <c r="K223" s="240"/>
      <c r="L223" s="1"/>
    </row>
    <row r="224" spans="1:18" x14ac:dyDescent="0.25">
      <c r="A224" s="1"/>
      <c r="B224" s="241"/>
      <c r="C224" s="240"/>
      <c r="D224" s="240"/>
      <c r="E224" s="240"/>
      <c r="F224" s="240"/>
      <c r="G224" s="240"/>
      <c r="H224" s="240"/>
      <c r="I224" s="240"/>
      <c r="J224" s="240"/>
      <c r="K224" s="240"/>
      <c r="L224" s="1"/>
    </row>
    <row r="225" spans="1:12" x14ac:dyDescent="0.25">
      <c r="A225" s="1"/>
      <c r="B225" s="240" t="s">
        <v>535</v>
      </c>
      <c r="C225" s="240"/>
      <c r="D225" s="240"/>
      <c r="E225" s="240"/>
      <c r="F225" s="240"/>
      <c r="G225" s="240"/>
      <c r="H225" s="240"/>
      <c r="I225" s="240"/>
      <c r="J225" s="240"/>
      <c r="K225" s="240"/>
      <c r="L225" s="1"/>
    </row>
    <row r="226" spans="1:12" x14ac:dyDescent="0.25">
      <c r="A226" s="1"/>
      <c r="B226" s="240" t="s">
        <v>561</v>
      </c>
      <c r="C226" s="240"/>
      <c r="D226" s="240"/>
      <c r="E226" s="240"/>
      <c r="F226" s="240"/>
      <c r="G226" s="240"/>
      <c r="H226" s="240"/>
      <c r="I226" s="240"/>
      <c r="J226" s="240"/>
      <c r="K226" s="240"/>
      <c r="L226" s="1"/>
    </row>
    <row r="227" spans="1:12" x14ac:dyDescent="0.25">
      <c r="A227" s="1"/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1"/>
    </row>
    <row r="228" spans="1:12" x14ac:dyDescent="0.25">
      <c r="B228" s="241" t="s">
        <v>501</v>
      </c>
    </row>
    <row r="229" spans="1:12" x14ac:dyDescent="0.25">
      <c r="B229" s="241" t="s">
        <v>560</v>
      </c>
    </row>
    <row r="232" spans="1:12" x14ac:dyDescent="0.25">
      <c r="B232" s="240" t="s">
        <v>181</v>
      </c>
    </row>
    <row r="233" spans="1:12" x14ac:dyDescent="0.25">
      <c r="B233" s="240" t="s">
        <v>341</v>
      </c>
    </row>
  </sheetData>
  <mergeCells count="26">
    <mergeCell ref="A206:B206"/>
    <mergeCell ref="A209:B209"/>
    <mergeCell ref="A173:B173"/>
    <mergeCell ref="A174:B174"/>
    <mergeCell ref="A192:B192"/>
    <mergeCell ref="A199:E199"/>
    <mergeCell ref="A200:B200"/>
    <mergeCell ref="A203:B203"/>
    <mergeCell ref="A137:B137"/>
    <mergeCell ref="A141:E141"/>
    <mergeCell ref="A142:B142"/>
    <mergeCell ref="A143:B143"/>
    <mergeCell ref="A154:B154"/>
    <mergeCell ref="A172:E172"/>
    <mergeCell ref="A71:B71"/>
    <mergeCell ref="A75:E75"/>
    <mergeCell ref="A76:B76"/>
    <mergeCell ref="A92:B92"/>
    <mergeCell ref="A133:B133"/>
    <mergeCell ref="A136:B136"/>
    <mergeCell ref="A1:E1"/>
    <mergeCell ref="A2:B2"/>
    <mergeCell ref="A3:B3"/>
    <mergeCell ref="A11:B11"/>
    <mergeCell ref="A68:B68"/>
    <mergeCell ref="A70:B70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  <headerFooter>
    <oddHeader>&amp;CRozpočet na rok 2024
3.zmena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5"/>
  <sheetViews>
    <sheetView zoomScale="130" zoomScaleNormal="130" workbookViewId="0">
      <selection sqref="A1:E1"/>
    </sheetView>
  </sheetViews>
  <sheetFormatPr defaultRowHeight="15" x14ac:dyDescent="0.25"/>
  <cols>
    <col min="1" max="1" width="31.85546875" customWidth="1"/>
    <col min="2" max="2" width="13.28515625" customWidth="1"/>
    <col min="3" max="3" width="12.5703125" customWidth="1"/>
    <col min="4" max="4" width="12.140625" customWidth="1"/>
    <col min="5" max="5" width="12.42578125" bestFit="1" customWidth="1"/>
    <col min="7" max="7" width="31.140625" bestFit="1" customWidth="1"/>
    <col min="8" max="8" width="12.140625" customWidth="1"/>
    <col min="9" max="10" width="11" customWidth="1"/>
    <col min="11" max="11" width="12.42578125" bestFit="1" customWidth="1"/>
  </cols>
  <sheetData>
    <row r="1" spans="1:12" x14ac:dyDescent="0.25">
      <c r="A1" s="744" t="s">
        <v>368</v>
      </c>
      <c r="B1" s="744"/>
      <c r="C1" s="744"/>
      <c r="D1" s="744"/>
      <c r="E1" s="744"/>
    </row>
    <row r="2" spans="1:12" ht="15.75" thickBot="1" x14ac:dyDescent="0.3">
      <c r="A2" t="s">
        <v>278</v>
      </c>
      <c r="G2" t="s">
        <v>290</v>
      </c>
    </row>
    <row r="3" spans="1:12" ht="15.75" thickBot="1" x14ac:dyDescent="0.3">
      <c r="A3" s="378" t="s">
        <v>274</v>
      </c>
      <c r="B3" s="379" t="s">
        <v>256</v>
      </c>
      <c r="C3" s="379" t="s">
        <v>257</v>
      </c>
      <c r="D3" s="380" t="s">
        <v>258</v>
      </c>
      <c r="E3" s="381" t="s">
        <v>259</v>
      </c>
      <c r="G3" s="378" t="s">
        <v>274</v>
      </c>
      <c r="H3" s="379" t="s">
        <v>256</v>
      </c>
      <c r="I3" s="379" t="s">
        <v>257</v>
      </c>
      <c r="J3" s="380" t="s">
        <v>258</v>
      </c>
      <c r="K3" s="381" t="s">
        <v>259</v>
      </c>
    </row>
    <row r="4" spans="1:12" x14ac:dyDescent="0.25">
      <c r="A4" s="382" t="s">
        <v>275</v>
      </c>
      <c r="B4" s="383">
        <v>1373000</v>
      </c>
      <c r="C4" s="383"/>
      <c r="D4" s="384"/>
      <c r="E4" s="385">
        <f>SUM(B4:D4)</f>
        <v>1373000</v>
      </c>
      <c r="G4" s="382" t="s">
        <v>291</v>
      </c>
      <c r="H4" s="383">
        <v>722235</v>
      </c>
      <c r="I4" s="383">
        <v>449432</v>
      </c>
      <c r="J4" s="384">
        <v>198700</v>
      </c>
      <c r="K4" s="385">
        <f>SUM(H4:J4)</f>
        <v>1370367</v>
      </c>
    </row>
    <row r="5" spans="1:12" x14ac:dyDescent="0.25">
      <c r="A5" s="386" t="s">
        <v>276</v>
      </c>
      <c r="B5" s="383">
        <v>60400</v>
      </c>
      <c r="C5" s="383"/>
      <c r="D5" s="384"/>
      <c r="E5" s="385">
        <f t="shared" ref="E5:E21" si="0">SUM(B5:D5)</f>
        <v>60400</v>
      </c>
      <c r="G5" s="386" t="s">
        <v>292</v>
      </c>
      <c r="H5" s="383">
        <v>273262</v>
      </c>
      <c r="I5" s="383">
        <v>157502</v>
      </c>
      <c r="J5" s="384">
        <v>73640</v>
      </c>
      <c r="K5" s="385">
        <f t="shared" ref="K5:K16" si="1">SUM(H5:J5)</f>
        <v>504404</v>
      </c>
    </row>
    <row r="6" spans="1:12" ht="15.75" thickBot="1" x14ac:dyDescent="0.3">
      <c r="A6" s="407" t="s">
        <v>277</v>
      </c>
      <c r="B6" s="408">
        <v>52400</v>
      </c>
      <c r="C6" s="408"/>
      <c r="D6" s="409"/>
      <c r="E6" s="410">
        <f t="shared" si="0"/>
        <v>52400</v>
      </c>
      <c r="G6" s="386" t="s">
        <v>293</v>
      </c>
      <c r="H6" s="387">
        <v>741684</v>
      </c>
      <c r="I6" s="387">
        <v>80998</v>
      </c>
      <c r="J6" s="388">
        <v>33000</v>
      </c>
      <c r="K6" s="385">
        <f t="shared" si="1"/>
        <v>855682</v>
      </c>
    </row>
    <row r="7" spans="1:12" ht="15.75" thickBot="1" x14ac:dyDescent="0.3">
      <c r="A7" s="413" t="s">
        <v>282</v>
      </c>
      <c r="B7" s="414">
        <f>SUM(B4:B6)</f>
        <v>1485800</v>
      </c>
      <c r="C7" s="414">
        <f t="shared" ref="C7:D7" si="2">SUM(C4:C6)</f>
        <v>0</v>
      </c>
      <c r="D7" s="414">
        <f t="shared" si="2"/>
        <v>0</v>
      </c>
      <c r="E7" s="416">
        <f t="shared" si="0"/>
        <v>1485800</v>
      </c>
      <c r="G7" s="386" t="s">
        <v>294</v>
      </c>
      <c r="H7" s="387">
        <v>63580</v>
      </c>
      <c r="I7" s="387">
        <v>16140</v>
      </c>
      <c r="J7" s="388">
        <v>1060</v>
      </c>
      <c r="K7" s="385">
        <f t="shared" si="1"/>
        <v>80780</v>
      </c>
    </row>
    <row r="8" spans="1:12" ht="15.75" thickBot="1" x14ac:dyDescent="0.3">
      <c r="A8" s="382" t="s">
        <v>279</v>
      </c>
      <c r="B8" s="383">
        <v>27151</v>
      </c>
      <c r="C8" s="383">
        <v>100</v>
      </c>
      <c r="D8" s="384"/>
      <c r="E8" s="385">
        <f t="shared" si="0"/>
        <v>27251</v>
      </c>
      <c r="G8" s="407" t="s">
        <v>300</v>
      </c>
      <c r="H8" s="408">
        <v>470</v>
      </c>
      <c r="I8" s="408"/>
      <c r="J8" s="409"/>
      <c r="K8" s="385">
        <f t="shared" si="1"/>
        <v>470</v>
      </c>
    </row>
    <row r="9" spans="1:12" ht="15.75" thickBot="1" x14ac:dyDescent="0.3">
      <c r="A9" s="386" t="s">
        <v>280</v>
      </c>
      <c r="B9" s="387">
        <v>219010</v>
      </c>
      <c r="C9" s="387">
        <v>4050</v>
      </c>
      <c r="D9" s="388">
        <v>12350</v>
      </c>
      <c r="E9" s="385">
        <f t="shared" si="0"/>
        <v>235410</v>
      </c>
      <c r="G9" s="413" t="s">
        <v>295</v>
      </c>
      <c r="H9" s="414">
        <f>SUM(H4:H8)</f>
        <v>1801231</v>
      </c>
      <c r="I9" s="414">
        <f>SUM(I4:I8)</f>
        <v>704072</v>
      </c>
      <c r="J9" s="414">
        <f>SUM(J4:J8)</f>
        <v>306400</v>
      </c>
      <c r="K9" s="421">
        <f t="shared" si="1"/>
        <v>2811703</v>
      </c>
    </row>
    <row r="10" spans="1:12" x14ac:dyDescent="0.25">
      <c r="A10" s="386" t="s">
        <v>285</v>
      </c>
      <c r="B10" s="387">
        <v>5000</v>
      </c>
      <c r="C10" s="387"/>
      <c r="D10" s="388"/>
      <c r="E10" s="385">
        <f t="shared" si="0"/>
        <v>5000</v>
      </c>
      <c r="G10" s="382" t="s">
        <v>296</v>
      </c>
      <c r="H10" s="383">
        <v>2034046</v>
      </c>
      <c r="I10" s="383"/>
      <c r="J10" s="384"/>
      <c r="K10" s="385">
        <f t="shared" si="1"/>
        <v>2034046</v>
      </c>
    </row>
    <row r="11" spans="1:12" ht="15.75" thickBot="1" x14ac:dyDescent="0.3">
      <c r="A11" s="386" t="s">
        <v>301</v>
      </c>
      <c r="B11" s="387">
        <v>50</v>
      </c>
      <c r="C11" s="387"/>
      <c r="D11" s="388"/>
      <c r="E11" s="385">
        <f t="shared" si="0"/>
        <v>50</v>
      </c>
      <c r="G11" s="386"/>
      <c r="H11" s="387"/>
      <c r="I11" s="387"/>
      <c r="J11" s="388"/>
      <c r="K11" s="385">
        <f t="shared" si="1"/>
        <v>0</v>
      </c>
    </row>
    <row r="12" spans="1:12" ht="15.75" thickBot="1" x14ac:dyDescent="0.3">
      <c r="A12" s="389" t="s">
        <v>302</v>
      </c>
      <c r="B12" s="390">
        <v>71070</v>
      </c>
      <c r="C12" s="390">
        <v>1000</v>
      </c>
      <c r="D12" s="391"/>
      <c r="E12" s="410">
        <f t="shared" si="0"/>
        <v>72070</v>
      </c>
      <c r="G12" s="413" t="s">
        <v>297</v>
      </c>
      <c r="H12" s="414">
        <f>SUM(H10:H11)</f>
        <v>2034046</v>
      </c>
      <c r="I12" s="414">
        <f>SUM(I10:I11)</f>
        <v>0</v>
      </c>
      <c r="J12" s="414">
        <f>SUM(J10:J11)</f>
        <v>0</v>
      </c>
      <c r="K12" s="421">
        <f t="shared" si="1"/>
        <v>2034046</v>
      </c>
    </row>
    <row r="13" spans="1:12" ht="15.75" thickBot="1" x14ac:dyDescent="0.3">
      <c r="A13" s="413" t="s">
        <v>281</v>
      </c>
      <c r="B13" s="414">
        <f>SUM(B8:B12)</f>
        <v>322281</v>
      </c>
      <c r="C13" s="414">
        <f t="shared" ref="C13:D13" si="3">SUM(C8:C12)</f>
        <v>5150</v>
      </c>
      <c r="D13" s="414">
        <f t="shared" si="3"/>
        <v>12350</v>
      </c>
      <c r="E13" s="416">
        <f t="shared" si="0"/>
        <v>339781</v>
      </c>
      <c r="G13" s="411" t="s">
        <v>298</v>
      </c>
      <c r="H13" s="383">
        <v>3561</v>
      </c>
      <c r="I13" s="383"/>
      <c r="J13" s="383"/>
      <c r="K13" s="385">
        <f t="shared" si="1"/>
        <v>3561</v>
      </c>
    </row>
    <row r="14" spans="1:12" ht="15.75" thickBot="1" x14ac:dyDescent="0.3">
      <c r="A14" s="411" t="s">
        <v>283</v>
      </c>
      <c r="B14" s="383">
        <v>955422</v>
      </c>
      <c r="C14" s="383"/>
      <c r="D14" s="383"/>
      <c r="E14" s="385">
        <f t="shared" si="0"/>
        <v>955422</v>
      </c>
      <c r="G14" s="412" t="s">
        <v>299</v>
      </c>
      <c r="H14" s="408">
        <v>1040</v>
      </c>
      <c r="I14" s="408"/>
      <c r="J14" s="408"/>
      <c r="K14" s="385">
        <f t="shared" si="1"/>
        <v>1040</v>
      </c>
    </row>
    <row r="15" spans="1:12" ht="15.75" thickBot="1" x14ac:dyDescent="0.3">
      <c r="A15" s="412" t="s">
        <v>286</v>
      </c>
      <c r="B15" s="408">
        <v>1138050</v>
      </c>
      <c r="C15" s="408"/>
      <c r="D15" s="408"/>
      <c r="E15" s="410">
        <f t="shared" si="0"/>
        <v>1138050</v>
      </c>
      <c r="G15" s="422" t="s">
        <v>304</v>
      </c>
      <c r="H15" s="423">
        <f>SUM(H13:H14)</f>
        <v>4601</v>
      </c>
      <c r="I15" s="423">
        <f t="shared" ref="I15" si="4">SUM(I13:I14)</f>
        <v>0</v>
      </c>
      <c r="J15" s="423">
        <f t="shared" ref="J15" si="5">SUM(J13:J14)</f>
        <v>0</v>
      </c>
      <c r="K15" s="424">
        <f t="shared" si="1"/>
        <v>4601</v>
      </c>
    </row>
    <row r="16" spans="1:12" ht="15.75" thickBot="1" x14ac:dyDescent="0.3">
      <c r="A16" s="413" t="s">
        <v>284</v>
      </c>
      <c r="B16" s="414">
        <f>SUM(B14:B15)</f>
        <v>2093472</v>
      </c>
      <c r="C16" s="414">
        <f t="shared" ref="C16:D16" si="6">SUM(C14:C15)</f>
        <v>0</v>
      </c>
      <c r="D16" s="414">
        <f t="shared" si="6"/>
        <v>0</v>
      </c>
      <c r="E16" s="416">
        <f t="shared" si="0"/>
        <v>2093472</v>
      </c>
      <c r="G16" s="417" t="s">
        <v>180</v>
      </c>
      <c r="H16" s="418">
        <f>H9+H12+H15</f>
        <v>3839878</v>
      </c>
      <c r="I16" s="418">
        <f t="shared" ref="I16:J16" si="7">I9+I12+I15</f>
        <v>704072</v>
      </c>
      <c r="J16" s="418">
        <f t="shared" si="7"/>
        <v>306400</v>
      </c>
      <c r="K16" s="419">
        <f t="shared" si="1"/>
        <v>4850350</v>
      </c>
      <c r="L16" s="392">
        <f>K9+K12+K15</f>
        <v>4850350</v>
      </c>
    </row>
    <row r="17" spans="1:11" ht="15.75" thickBot="1" x14ac:dyDescent="0.3">
      <c r="A17" s="412" t="s">
        <v>287</v>
      </c>
      <c r="B17" s="408">
        <v>931297</v>
      </c>
      <c r="C17" s="408"/>
      <c r="D17" s="408"/>
      <c r="E17" s="410">
        <f t="shared" si="0"/>
        <v>931297</v>
      </c>
      <c r="G17" s="425" t="s">
        <v>370</v>
      </c>
      <c r="H17" s="310">
        <f>B21-H16</f>
        <v>992972</v>
      </c>
      <c r="I17" s="310">
        <f>C21-I16</f>
        <v>-698922</v>
      </c>
      <c r="J17" s="310">
        <f>D21-J16</f>
        <v>-294050</v>
      </c>
      <c r="K17" s="310">
        <f>E21-K16</f>
        <v>0</v>
      </c>
    </row>
    <row r="18" spans="1:11" ht="15.75" thickBot="1" x14ac:dyDescent="0.3">
      <c r="A18" s="413" t="s">
        <v>288</v>
      </c>
      <c r="B18" s="414">
        <f>SUM(B17)</f>
        <v>931297</v>
      </c>
      <c r="C18" s="414">
        <f t="shared" ref="C18:D18" si="8">SUM(C17)</f>
        <v>0</v>
      </c>
      <c r="D18" s="414">
        <f t="shared" si="8"/>
        <v>0</v>
      </c>
      <c r="E18" s="416">
        <f t="shared" si="0"/>
        <v>931297</v>
      </c>
      <c r="F18" s="392"/>
      <c r="J18" s="310">
        <f>SUM(I16:J16)</f>
        <v>1010472</v>
      </c>
    </row>
    <row r="19" spans="1:11" ht="15.75" thickBot="1" x14ac:dyDescent="0.3">
      <c r="A19" s="412" t="s">
        <v>303</v>
      </c>
      <c r="B19" s="408">
        <v>0</v>
      </c>
      <c r="C19" s="408"/>
      <c r="D19" s="408"/>
      <c r="E19" s="410">
        <f t="shared" si="0"/>
        <v>0</v>
      </c>
      <c r="F19" s="392"/>
    </row>
    <row r="20" spans="1:11" ht="15.75" thickBot="1" x14ac:dyDescent="0.3">
      <c r="A20" s="413" t="s">
        <v>289</v>
      </c>
      <c r="B20" s="414">
        <v>0</v>
      </c>
      <c r="C20" s="414"/>
      <c r="D20" s="415"/>
      <c r="E20" s="416">
        <f t="shared" si="0"/>
        <v>0</v>
      </c>
      <c r="F20" s="397"/>
    </row>
    <row r="21" spans="1:11" ht="23.25" customHeight="1" thickBot="1" x14ac:dyDescent="0.3">
      <c r="A21" s="417" t="s">
        <v>179</v>
      </c>
      <c r="B21" s="418">
        <f>B7+B13+B16+B18+B20</f>
        <v>4832850</v>
      </c>
      <c r="C21" s="418">
        <f t="shared" ref="C21:D21" si="9">C7+C13+C16+C18+C20</f>
        <v>5150</v>
      </c>
      <c r="D21" s="418">
        <f t="shared" si="9"/>
        <v>12350</v>
      </c>
      <c r="E21" s="419">
        <f t="shared" si="0"/>
        <v>4850350</v>
      </c>
      <c r="F21" s="420">
        <f>E7+E13+E16+E18+E20</f>
        <v>4850350</v>
      </c>
    </row>
    <row r="22" spans="1:11" x14ac:dyDescent="0.25">
      <c r="D22" s="310">
        <f>SUM(C21:D21)</f>
        <v>17500</v>
      </c>
    </row>
    <row r="23" spans="1:11" x14ac:dyDescent="0.25">
      <c r="A23" t="s">
        <v>181</v>
      </c>
    </row>
    <row r="25" spans="1:11" x14ac:dyDescent="0.25">
      <c r="A25" s="499" t="s">
        <v>369</v>
      </c>
      <c r="B25" s="499"/>
    </row>
  </sheetData>
  <mergeCells count="1">
    <mergeCell ref="A1:E1"/>
  </mergeCells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workbookViewId="0">
      <selection sqref="A1:E1"/>
    </sheetView>
  </sheetViews>
  <sheetFormatPr defaultRowHeight="15" x14ac:dyDescent="0.25"/>
  <cols>
    <col min="2" max="2" width="10.28515625" customWidth="1"/>
  </cols>
  <sheetData>
    <row r="1" spans="1:12" ht="21" customHeight="1" x14ac:dyDescent="0.25">
      <c r="A1" s="747" t="s">
        <v>268</v>
      </c>
      <c r="B1" s="748"/>
      <c r="C1" s="748"/>
      <c r="D1" s="748"/>
      <c r="E1" s="749"/>
      <c r="F1" s="747" t="s">
        <v>269</v>
      </c>
      <c r="G1" s="748"/>
      <c r="H1" s="748"/>
      <c r="I1" s="749"/>
    </row>
    <row r="2" spans="1:12" x14ac:dyDescent="0.25">
      <c r="A2" s="493" t="s">
        <v>262</v>
      </c>
      <c r="B2" s="494" t="s">
        <v>256</v>
      </c>
      <c r="C2" s="494" t="s">
        <v>263</v>
      </c>
      <c r="D2" s="494" t="s">
        <v>264</v>
      </c>
      <c r="E2" s="495" t="s">
        <v>265</v>
      </c>
      <c r="F2" s="493" t="s">
        <v>256</v>
      </c>
      <c r="G2" s="494" t="s">
        <v>263</v>
      </c>
      <c r="H2" s="494" t="s">
        <v>264</v>
      </c>
      <c r="I2" s="495" t="s">
        <v>265</v>
      </c>
      <c r="J2" t="s">
        <v>266</v>
      </c>
      <c r="K2" t="s">
        <v>367</v>
      </c>
    </row>
    <row r="3" spans="1:12" x14ac:dyDescent="0.25">
      <c r="A3" s="398">
        <v>111</v>
      </c>
      <c r="B3" s="387">
        <v>808338</v>
      </c>
      <c r="C3" s="399"/>
      <c r="D3" s="399"/>
      <c r="E3" s="400">
        <f>SUM(B3:D3)</f>
        <v>808338</v>
      </c>
      <c r="F3" s="386">
        <v>175690</v>
      </c>
      <c r="G3" s="399">
        <v>632648</v>
      </c>
      <c r="H3" s="399"/>
      <c r="I3" s="400">
        <f>SUM(F3:H3)</f>
        <v>808338</v>
      </c>
      <c r="J3">
        <f>E3-I3</f>
        <v>0</v>
      </c>
    </row>
    <row r="4" spans="1:12" x14ac:dyDescent="0.25">
      <c r="A4" s="398" t="s">
        <v>267</v>
      </c>
      <c r="B4" s="387">
        <v>2250</v>
      </c>
      <c r="C4" s="399"/>
      <c r="D4" s="399"/>
      <c r="E4" s="400">
        <f t="shared" ref="E4:E10" si="0">SUM(B4:D4)</f>
        <v>2250</v>
      </c>
      <c r="F4" s="386"/>
      <c r="G4" s="399">
        <v>2250</v>
      </c>
      <c r="H4" s="399"/>
      <c r="I4" s="400">
        <f t="shared" ref="I4:I10" si="1">SUM(F4:H4)</f>
        <v>2250</v>
      </c>
      <c r="J4">
        <f t="shared" ref="J4:J11" si="2">E4-I4</f>
        <v>0</v>
      </c>
    </row>
    <row r="5" spans="1:12" x14ac:dyDescent="0.25">
      <c r="A5" s="398" t="s">
        <v>364</v>
      </c>
      <c r="B5" s="387">
        <v>29652</v>
      </c>
      <c r="C5" s="399">
        <v>1000</v>
      </c>
      <c r="D5" s="399"/>
      <c r="E5" s="400">
        <f t="shared" si="0"/>
        <v>30652</v>
      </c>
      <c r="F5" s="386">
        <v>21000</v>
      </c>
      <c r="G5" s="399">
        <v>9652</v>
      </c>
      <c r="H5" s="399"/>
      <c r="I5" s="400">
        <f t="shared" si="1"/>
        <v>30652</v>
      </c>
      <c r="J5">
        <f t="shared" si="2"/>
        <v>0</v>
      </c>
      <c r="K5">
        <f>SUM(C5:D5)</f>
        <v>1000</v>
      </c>
    </row>
    <row r="6" spans="1:12" x14ac:dyDescent="0.25">
      <c r="A6" s="398" t="s">
        <v>359</v>
      </c>
      <c r="B6" s="387">
        <v>16381</v>
      </c>
      <c r="C6" s="399"/>
      <c r="D6" s="399"/>
      <c r="E6" s="400">
        <f t="shared" si="0"/>
        <v>16381</v>
      </c>
      <c r="F6" s="386"/>
      <c r="G6" s="399">
        <v>16381</v>
      </c>
      <c r="H6" s="399"/>
      <c r="I6" s="400">
        <f t="shared" si="1"/>
        <v>16381</v>
      </c>
      <c r="J6">
        <f t="shared" si="2"/>
        <v>0</v>
      </c>
    </row>
    <row r="7" spans="1:12" x14ac:dyDescent="0.25">
      <c r="A7" s="401" t="s">
        <v>360</v>
      </c>
      <c r="B7" s="390">
        <v>2891</v>
      </c>
      <c r="C7" s="402"/>
      <c r="D7" s="402"/>
      <c r="E7" s="400">
        <f t="shared" si="0"/>
        <v>2891</v>
      </c>
      <c r="F7" s="389"/>
      <c r="G7" s="402">
        <v>2891</v>
      </c>
      <c r="H7" s="402"/>
      <c r="I7" s="400">
        <f t="shared" si="1"/>
        <v>2891</v>
      </c>
      <c r="J7">
        <f t="shared" si="2"/>
        <v>0</v>
      </c>
    </row>
    <row r="8" spans="1:12" x14ac:dyDescent="0.25">
      <c r="A8" s="401">
        <v>41</v>
      </c>
      <c r="B8" s="390">
        <v>1695531</v>
      </c>
      <c r="C8" s="402"/>
      <c r="D8" s="402"/>
      <c r="E8" s="403">
        <f t="shared" si="0"/>
        <v>1695531</v>
      </c>
      <c r="F8" s="389">
        <v>1365381</v>
      </c>
      <c r="G8" s="402">
        <v>36100</v>
      </c>
      <c r="H8" s="402">
        <v>294050</v>
      </c>
      <c r="I8" s="400">
        <f t="shared" si="1"/>
        <v>1695531</v>
      </c>
      <c r="J8">
        <f t="shared" si="2"/>
        <v>0</v>
      </c>
    </row>
    <row r="9" spans="1:12" x14ac:dyDescent="0.25">
      <c r="A9" s="401" t="s">
        <v>362</v>
      </c>
      <c r="B9" s="390">
        <v>3440</v>
      </c>
      <c r="C9" s="402">
        <f>3600+150</f>
        <v>3750</v>
      </c>
      <c r="D9" s="402">
        <v>12350</v>
      </c>
      <c r="E9" s="403">
        <f t="shared" si="0"/>
        <v>19540</v>
      </c>
      <c r="F9" s="389">
        <v>3440</v>
      </c>
      <c r="G9" s="402">
        <v>3750</v>
      </c>
      <c r="H9" s="402">
        <v>12350</v>
      </c>
      <c r="I9" s="400">
        <f t="shared" si="1"/>
        <v>19540</v>
      </c>
      <c r="J9">
        <f t="shared" si="2"/>
        <v>0</v>
      </c>
      <c r="K9">
        <f>SUM(C9:D9)</f>
        <v>16100</v>
      </c>
    </row>
    <row r="10" spans="1:12" ht="15.75" thickBot="1" x14ac:dyDescent="0.3">
      <c r="A10" s="401" t="s">
        <v>363</v>
      </c>
      <c r="B10" s="486">
        <v>3300</v>
      </c>
      <c r="C10" s="402">
        <v>400</v>
      </c>
      <c r="D10" s="402"/>
      <c r="E10" s="487">
        <f t="shared" si="0"/>
        <v>3700</v>
      </c>
      <c r="F10" s="389">
        <v>3300</v>
      </c>
      <c r="G10" s="402">
        <v>400</v>
      </c>
      <c r="H10" s="402"/>
      <c r="I10" s="400">
        <f t="shared" si="1"/>
        <v>3700</v>
      </c>
      <c r="J10">
        <f t="shared" si="2"/>
        <v>0</v>
      </c>
      <c r="K10">
        <f t="shared" ref="K10:K11" si="3">SUM(C10:D10)</f>
        <v>400</v>
      </c>
    </row>
    <row r="11" spans="1:12" ht="23.25" customHeight="1" thickBot="1" x14ac:dyDescent="0.3">
      <c r="A11" s="488" t="s">
        <v>365</v>
      </c>
      <c r="B11" s="489">
        <f>SUM(B3:B10)</f>
        <v>2561783</v>
      </c>
      <c r="C11" s="489">
        <f t="shared" ref="C11:I11" si="4">SUM(C3:C10)</f>
        <v>5150</v>
      </c>
      <c r="D11" s="489">
        <f t="shared" si="4"/>
        <v>12350</v>
      </c>
      <c r="E11" s="490">
        <f t="shared" si="4"/>
        <v>2579283</v>
      </c>
      <c r="F11" s="491">
        <f t="shared" si="4"/>
        <v>1568811</v>
      </c>
      <c r="G11" s="489">
        <f t="shared" si="4"/>
        <v>704072</v>
      </c>
      <c r="H11" s="489">
        <f t="shared" si="4"/>
        <v>306400</v>
      </c>
      <c r="I11" s="492">
        <f t="shared" si="4"/>
        <v>2579283</v>
      </c>
      <c r="J11">
        <f t="shared" si="2"/>
        <v>0</v>
      </c>
      <c r="K11">
        <f t="shared" si="3"/>
        <v>17500</v>
      </c>
      <c r="L11" s="498">
        <f>SUM(K3:K10)</f>
        <v>17500</v>
      </c>
    </row>
    <row r="12" spans="1:12" s="100" customFormat="1" ht="13.5" customHeight="1" x14ac:dyDescent="0.25">
      <c r="A12" s="496"/>
      <c r="B12" s="497"/>
      <c r="C12" s="497"/>
      <c r="D12" s="497">
        <f>SUM(C11:D11)</f>
        <v>17500</v>
      </c>
      <c r="E12" s="497"/>
      <c r="F12" s="497"/>
      <c r="G12" s="497"/>
      <c r="H12" s="497">
        <f>SUM(G11:H11)</f>
        <v>1010472</v>
      </c>
      <c r="I12" s="497"/>
    </row>
    <row r="13" spans="1:12" ht="26.25" customHeight="1" thickBot="1" x14ac:dyDescent="0.3"/>
    <row r="14" spans="1:12" ht="21.75" customHeight="1" x14ac:dyDescent="0.25">
      <c r="A14" s="747" t="s">
        <v>270</v>
      </c>
      <c r="B14" s="748"/>
      <c r="C14" s="748"/>
      <c r="D14" s="748"/>
      <c r="E14" s="749"/>
      <c r="F14" s="747" t="s">
        <v>271</v>
      </c>
      <c r="G14" s="748"/>
      <c r="H14" s="748"/>
      <c r="I14" s="749"/>
    </row>
    <row r="15" spans="1:12" x14ac:dyDescent="0.25">
      <c r="A15" s="493" t="s">
        <v>262</v>
      </c>
      <c r="B15" s="494" t="s">
        <v>256</v>
      </c>
      <c r="C15" s="494" t="s">
        <v>263</v>
      </c>
      <c r="D15" s="494" t="s">
        <v>264</v>
      </c>
      <c r="E15" s="495" t="s">
        <v>265</v>
      </c>
      <c r="F15" s="493" t="s">
        <v>256</v>
      </c>
      <c r="G15" s="494" t="s">
        <v>263</v>
      </c>
      <c r="H15" s="494" t="s">
        <v>264</v>
      </c>
      <c r="I15" s="495" t="s">
        <v>265</v>
      </c>
      <c r="J15" t="s">
        <v>266</v>
      </c>
      <c r="K15" t="s">
        <v>367</v>
      </c>
    </row>
    <row r="16" spans="1:12" x14ac:dyDescent="0.25">
      <c r="A16" s="398">
        <v>111</v>
      </c>
      <c r="B16" s="387">
        <v>778220</v>
      </c>
      <c r="C16" s="399"/>
      <c r="D16" s="399"/>
      <c r="E16" s="400">
        <f>SUM(B16:D16)</f>
        <v>778220</v>
      </c>
      <c r="F16" s="386">
        <v>136920</v>
      </c>
      <c r="G16" s="399">
        <v>641300</v>
      </c>
      <c r="H16" s="399"/>
      <c r="I16" s="400">
        <f>SUM(F16:H16)</f>
        <v>778220</v>
      </c>
      <c r="J16">
        <f>E16-I16</f>
        <v>0</v>
      </c>
    </row>
    <row r="17" spans="1:12" x14ac:dyDescent="0.25">
      <c r="A17" s="398" t="s">
        <v>267</v>
      </c>
      <c r="B17" s="387">
        <v>150</v>
      </c>
      <c r="C17" s="399"/>
      <c r="D17" s="399"/>
      <c r="E17" s="400">
        <f t="shared" ref="E17:E23" si="5">SUM(B17:D17)</f>
        <v>150</v>
      </c>
      <c r="F17" s="386"/>
      <c r="G17" s="399">
        <v>150</v>
      </c>
      <c r="H17" s="399"/>
      <c r="I17" s="400">
        <f t="shared" ref="I17:I23" si="6">SUM(F17:H17)</f>
        <v>150</v>
      </c>
      <c r="J17">
        <f t="shared" ref="J17:J24" si="7">E17-I17</f>
        <v>0</v>
      </c>
    </row>
    <row r="18" spans="1:12" x14ac:dyDescent="0.25">
      <c r="A18" s="398" t="s">
        <v>364</v>
      </c>
      <c r="B18" s="387">
        <v>21000</v>
      </c>
      <c r="C18" s="399">
        <v>1000</v>
      </c>
      <c r="D18" s="399"/>
      <c r="E18" s="400">
        <f t="shared" si="5"/>
        <v>22000</v>
      </c>
      <c r="F18" s="386">
        <v>21000</v>
      </c>
      <c r="G18" s="399">
        <v>1000</v>
      </c>
      <c r="H18" s="399"/>
      <c r="I18" s="400">
        <f t="shared" si="6"/>
        <v>22000</v>
      </c>
      <c r="J18">
        <f t="shared" si="7"/>
        <v>0</v>
      </c>
      <c r="K18">
        <f>SUM(C18:D18)</f>
        <v>1000</v>
      </c>
    </row>
    <row r="19" spans="1:12" x14ac:dyDescent="0.25">
      <c r="A19" s="398" t="s">
        <v>359</v>
      </c>
      <c r="B19" s="387"/>
      <c r="C19" s="399"/>
      <c r="D19" s="399"/>
      <c r="E19" s="400">
        <f t="shared" si="5"/>
        <v>0</v>
      </c>
      <c r="F19" s="386"/>
      <c r="G19" s="399"/>
      <c r="H19" s="399"/>
      <c r="I19" s="400">
        <f t="shared" si="6"/>
        <v>0</v>
      </c>
      <c r="J19">
        <f t="shared" si="7"/>
        <v>0</v>
      </c>
    </row>
    <row r="20" spans="1:12" x14ac:dyDescent="0.25">
      <c r="A20" s="401" t="s">
        <v>360</v>
      </c>
      <c r="B20" s="390"/>
      <c r="C20" s="402"/>
      <c r="D20" s="402"/>
      <c r="E20" s="400">
        <f t="shared" si="5"/>
        <v>0</v>
      </c>
      <c r="F20" s="389"/>
      <c r="G20" s="402"/>
      <c r="H20" s="402"/>
      <c r="I20" s="400">
        <f t="shared" si="6"/>
        <v>0</v>
      </c>
      <c r="J20">
        <f t="shared" si="7"/>
        <v>0</v>
      </c>
    </row>
    <row r="21" spans="1:12" x14ac:dyDescent="0.25">
      <c r="A21" s="401">
        <v>41</v>
      </c>
      <c r="B21" s="390">
        <v>1729031</v>
      </c>
      <c r="C21" s="402"/>
      <c r="D21" s="402"/>
      <c r="E21" s="400">
        <f t="shared" si="5"/>
        <v>1729031</v>
      </c>
      <c r="F21" s="389">
        <v>1399481</v>
      </c>
      <c r="G21" s="402">
        <v>34400</v>
      </c>
      <c r="H21" s="402">
        <v>295150</v>
      </c>
      <c r="I21" s="400">
        <f t="shared" si="6"/>
        <v>1729031</v>
      </c>
      <c r="J21">
        <f t="shared" si="7"/>
        <v>0</v>
      </c>
    </row>
    <row r="22" spans="1:12" x14ac:dyDescent="0.25">
      <c r="A22" s="401" t="s">
        <v>362</v>
      </c>
      <c r="B22" s="390">
        <v>3440</v>
      </c>
      <c r="C22" s="402">
        <v>3750</v>
      </c>
      <c r="D22" s="402">
        <v>12350</v>
      </c>
      <c r="E22" s="400">
        <f t="shared" si="5"/>
        <v>19540</v>
      </c>
      <c r="F22" s="389">
        <v>3440</v>
      </c>
      <c r="G22" s="402">
        <v>3750</v>
      </c>
      <c r="H22" s="402">
        <v>12350</v>
      </c>
      <c r="I22" s="400">
        <f t="shared" si="6"/>
        <v>19540</v>
      </c>
      <c r="J22">
        <f t="shared" si="7"/>
        <v>0</v>
      </c>
      <c r="K22">
        <f>SUM(C22:D22)</f>
        <v>16100</v>
      </c>
    </row>
    <row r="23" spans="1:12" ht="15.75" thickBot="1" x14ac:dyDescent="0.3">
      <c r="A23" s="485" t="s">
        <v>363</v>
      </c>
      <c r="B23" s="484">
        <v>3000</v>
      </c>
      <c r="C23" s="405">
        <v>400</v>
      </c>
      <c r="D23" s="405"/>
      <c r="E23" s="400">
        <f t="shared" si="5"/>
        <v>3400</v>
      </c>
      <c r="F23" s="404">
        <v>3000</v>
      </c>
      <c r="G23" s="405">
        <v>400</v>
      </c>
      <c r="H23" s="405"/>
      <c r="I23" s="400">
        <f t="shared" si="6"/>
        <v>3400</v>
      </c>
      <c r="J23">
        <f t="shared" si="7"/>
        <v>0</v>
      </c>
      <c r="K23">
        <f t="shared" ref="K23:K24" si="8">SUM(C23:D23)</f>
        <v>400</v>
      </c>
    </row>
    <row r="24" spans="1:12" ht="21" customHeight="1" thickBot="1" x14ac:dyDescent="0.3">
      <c r="A24" s="488" t="s">
        <v>365</v>
      </c>
      <c r="B24" s="489">
        <f>SUM(B16:B23)</f>
        <v>2534841</v>
      </c>
      <c r="C24" s="489">
        <f t="shared" ref="C24" si="9">SUM(C16:C23)</f>
        <v>5150</v>
      </c>
      <c r="D24" s="489">
        <f t="shared" ref="D24" si="10">SUM(D16:D23)</f>
        <v>12350</v>
      </c>
      <c r="E24" s="490">
        <f t="shared" ref="E24" si="11">SUM(E16:E23)</f>
        <v>2552341</v>
      </c>
      <c r="F24" s="491">
        <f t="shared" ref="F24" si="12">SUM(F16:F23)</f>
        <v>1563841</v>
      </c>
      <c r="G24" s="489">
        <f t="shared" ref="G24" si="13">SUM(G16:G23)</f>
        <v>681000</v>
      </c>
      <c r="H24" s="489">
        <f t="shared" ref="H24" si="14">SUM(H16:H23)</f>
        <v>307500</v>
      </c>
      <c r="I24" s="492">
        <f t="shared" ref="I24" si="15">SUM(I16:I23)</f>
        <v>2552341</v>
      </c>
      <c r="J24">
        <f t="shared" si="7"/>
        <v>0</v>
      </c>
      <c r="K24">
        <f t="shared" si="8"/>
        <v>17500</v>
      </c>
      <c r="L24" s="498">
        <f>SUM(K16:K23)</f>
        <v>17500</v>
      </c>
    </row>
    <row r="25" spans="1:12" ht="17.25" customHeight="1" x14ac:dyDescent="0.25">
      <c r="D25" s="310">
        <f>SUM(C24:D24)</f>
        <v>17500</v>
      </c>
      <c r="H25" s="310">
        <f>SUM(G24:H24)</f>
        <v>988500</v>
      </c>
    </row>
    <row r="26" spans="1:12" ht="28.5" customHeight="1" thickBot="1" x14ac:dyDescent="0.3"/>
    <row r="27" spans="1:12" ht="21.75" customHeight="1" x14ac:dyDescent="0.25">
      <c r="A27" s="747" t="s">
        <v>361</v>
      </c>
      <c r="B27" s="748"/>
      <c r="C27" s="748"/>
      <c r="D27" s="748"/>
      <c r="E27" s="749"/>
      <c r="F27" s="747" t="s">
        <v>366</v>
      </c>
      <c r="G27" s="748"/>
      <c r="H27" s="748"/>
      <c r="I27" s="749"/>
    </row>
    <row r="28" spans="1:12" x14ac:dyDescent="0.25">
      <c r="A28" s="493" t="s">
        <v>262</v>
      </c>
      <c r="B28" s="494" t="s">
        <v>256</v>
      </c>
      <c r="C28" s="494" t="s">
        <v>263</v>
      </c>
      <c r="D28" s="494" t="s">
        <v>264</v>
      </c>
      <c r="E28" s="495" t="s">
        <v>265</v>
      </c>
      <c r="F28" s="493" t="s">
        <v>256</v>
      </c>
      <c r="G28" s="494" t="s">
        <v>263</v>
      </c>
      <c r="H28" s="494" t="s">
        <v>264</v>
      </c>
      <c r="I28" s="495" t="s">
        <v>265</v>
      </c>
      <c r="J28" t="s">
        <v>266</v>
      </c>
      <c r="K28" t="s">
        <v>367</v>
      </c>
    </row>
    <row r="29" spans="1:12" x14ac:dyDescent="0.25">
      <c r="A29" s="398">
        <v>111</v>
      </c>
      <c r="B29" s="387">
        <v>778230</v>
      </c>
      <c r="C29" s="399"/>
      <c r="D29" s="399"/>
      <c r="E29" s="400">
        <f>SUM(B29:D29)</f>
        <v>778230</v>
      </c>
      <c r="F29" s="386">
        <v>136930</v>
      </c>
      <c r="G29" s="399">
        <v>641300</v>
      </c>
      <c r="H29" s="399"/>
      <c r="I29" s="400">
        <f>SUM(F29:H29)</f>
        <v>778230</v>
      </c>
      <c r="J29">
        <f>E29-I29</f>
        <v>0</v>
      </c>
    </row>
    <row r="30" spans="1:12" x14ac:dyDescent="0.25">
      <c r="A30" s="398" t="s">
        <v>267</v>
      </c>
      <c r="B30" s="387">
        <v>150</v>
      </c>
      <c r="C30" s="399"/>
      <c r="D30" s="399"/>
      <c r="E30" s="400">
        <f t="shared" ref="E30:E36" si="16">SUM(B30:D30)</f>
        <v>150</v>
      </c>
      <c r="F30" s="386"/>
      <c r="G30" s="399">
        <v>150</v>
      </c>
      <c r="H30" s="399"/>
      <c r="I30" s="400">
        <f t="shared" ref="I30:I36" si="17">SUM(F30:H30)</f>
        <v>150</v>
      </c>
      <c r="J30">
        <f t="shared" ref="J30:J37" si="18">E30-I30</f>
        <v>0</v>
      </c>
    </row>
    <row r="31" spans="1:12" x14ac:dyDescent="0.25">
      <c r="A31" s="398" t="s">
        <v>364</v>
      </c>
      <c r="B31" s="387">
        <v>21000</v>
      </c>
      <c r="C31" s="399">
        <v>1000</v>
      </c>
      <c r="D31" s="399"/>
      <c r="E31" s="400">
        <f t="shared" si="16"/>
        <v>22000</v>
      </c>
      <c r="F31" s="386">
        <v>21000</v>
      </c>
      <c r="G31" s="399">
        <v>1000</v>
      </c>
      <c r="H31" s="399"/>
      <c r="I31" s="400">
        <f t="shared" si="17"/>
        <v>22000</v>
      </c>
      <c r="J31">
        <f t="shared" si="18"/>
        <v>0</v>
      </c>
      <c r="K31">
        <f>SUM(C31:D31)</f>
        <v>1000</v>
      </c>
    </row>
    <row r="32" spans="1:12" x14ac:dyDescent="0.25">
      <c r="A32" s="398" t="s">
        <v>359</v>
      </c>
      <c r="B32" s="387"/>
      <c r="C32" s="399"/>
      <c r="D32" s="399"/>
      <c r="E32" s="400">
        <f t="shared" si="16"/>
        <v>0</v>
      </c>
      <c r="F32" s="386"/>
      <c r="G32" s="399"/>
      <c r="H32" s="399"/>
      <c r="I32" s="400">
        <f t="shared" si="17"/>
        <v>0</v>
      </c>
      <c r="J32">
        <f t="shared" si="18"/>
        <v>0</v>
      </c>
    </row>
    <row r="33" spans="1:12" x14ac:dyDescent="0.25">
      <c r="A33" s="401" t="s">
        <v>360</v>
      </c>
      <c r="B33" s="390"/>
      <c r="C33" s="402"/>
      <c r="D33" s="402"/>
      <c r="E33" s="400">
        <f t="shared" si="16"/>
        <v>0</v>
      </c>
      <c r="F33" s="389"/>
      <c r="G33" s="402"/>
      <c r="H33" s="402"/>
      <c r="I33" s="400">
        <f t="shared" si="17"/>
        <v>0</v>
      </c>
      <c r="J33">
        <f t="shared" si="18"/>
        <v>0</v>
      </c>
    </row>
    <row r="34" spans="1:12" x14ac:dyDescent="0.25">
      <c r="A34" s="401">
        <v>41</v>
      </c>
      <c r="B34" s="390">
        <v>1816031</v>
      </c>
      <c r="C34" s="402"/>
      <c r="D34" s="402"/>
      <c r="E34" s="400">
        <f t="shared" si="16"/>
        <v>1816031</v>
      </c>
      <c r="F34" s="389">
        <v>1486481</v>
      </c>
      <c r="G34" s="402">
        <v>34400</v>
      </c>
      <c r="H34" s="402">
        <v>295150</v>
      </c>
      <c r="I34" s="400">
        <f t="shared" si="17"/>
        <v>1816031</v>
      </c>
      <c r="J34">
        <f t="shared" si="18"/>
        <v>0</v>
      </c>
    </row>
    <row r="35" spans="1:12" x14ac:dyDescent="0.25">
      <c r="A35" s="401" t="s">
        <v>362</v>
      </c>
      <c r="B35" s="390">
        <v>3440</v>
      </c>
      <c r="C35" s="402">
        <v>3750</v>
      </c>
      <c r="D35" s="402">
        <v>12350</v>
      </c>
      <c r="E35" s="400">
        <f t="shared" si="16"/>
        <v>19540</v>
      </c>
      <c r="F35" s="389">
        <v>3440</v>
      </c>
      <c r="G35" s="402">
        <v>3750</v>
      </c>
      <c r="H35" s="402">
        <v>12350</v>
      </c>
      <c r="I35" s="400">
        <f t="shared" si="17"/>
        <v>19540</v>
      </c>
      <c r="J35">
        <f t="shared" si="18"/>
        <v>0</v>
      </c>
      <c r="K35">
        <f>SUM(C35:D35)</f>
        <v>16100</v>
      </c>
    </row>
    <row r="36" spans="1:12" ht="15.75" thickBot="1" x14ac:dyDescent="0.3">
      <c r="A36" s="485" t="s">
        <v>363</v>
      </c>
      <c r="B36" s="484">
        <v>3000</v>
      </c>
      <c r="C36" s="405">
        <v>400</v>
      </c>
      <c r="D36" s="405"/>
      <c r="E36" s="400">
        <f t="shared" si="16"/>
        <v>3400</v>
      </c>
      <c r="F36" s="404">
        <v>3000</v>
      </c>
      <c r="G36" s="405">
        <v>400</v>
      </c>
      <c r="H36" s="405"/>
      <c r="I36" s="400">
        <f t="shared" si="17"/>
        <v>3400</v>
      </c>
      <c r="J36">
        <f t="shared" si="18"/>
        <v>0</v>
      </c>
      <c r="K36">
        <f t="shared" ref="K36:K37" si="19">SUM(C36:D36)</f>
        <v>400</v>
      </c>
    </row>
    <row r="37" spans="1:12" ht="20.25" customHeight="1" thickBot="1" x14ac:dyDescent="0.3">
      <c r="A37" s="488" t="s">
        <v>365</v>
      </c>
      <c r="B37" s="489">
        <f>SUM(B29:B36)</f>
        <v>2621851</v>
      </c>
      <c r="C37" s="489">
        <f t="shared" ref="C37" si="20">SUM(C29:C36)</f>
        <v>5150</v>
      </c>
      <c r="D37" s="489">
        <f t="shared" ref="D37" si="21">SUM(D29:D36)</f>
        <v>12350</v>
      </c>
      <c r="E37" s="490">
        <f t="shared" ref="E37" si="22">SUM(E29:E36)</f>
        <v>2639351</v>
      </c>
      <c r="F37" s="491">
        <f t="shared" ref="F37" si="23">SUM(F29:F36)</f>
        <v>1650851</v>
      </c>
      <c r="G37" s="489">
        <f t="shared" ref="G37" si="24">SUM(G29:G36)</f>
        <v>681000</v>
      </c>
      <c r="H37" s="489">
        <f t="shared" ref="H37" si="25">SUM(H29:H36)</f>
        <v>307500</v>
      </c>
      <c r="I37" s="492">
        <f t="shared" ref="I37" si="26">SUM(I29:I36)</f>
        <v>2639351</v>
      </c>
      <c r="J37">
        <f t="shared" si="18"/>
        <v>0</v>
      </c>
      <c r="K37">
        <f t="shared" si="19"/>
        <v>17500</v>
      </c>
      <c r="L37" s="498">
        <f>SUM(K29:K36)</f>
        <v>17500</v>
      </c>
    </row>
    <row r="38" spans="1:12" x14ac:dyDescent="0.25">
      <c r="D38" s="310">
        <f>SUM(C37:D37)</f>
        <v>17500</v>
      </c>
      <c r="H38" s="310">
        <f>SUM(G37:H37)</f>
        <v>988500</v>
      </c>
    </row>
    <row r="41" spans="1:12" x14ac:dyDescent="0.25">
      <c r="A41" t="s">
        <v>181</v>
      </c>
    </row>
    <row r="43" spans="1:12" x14ac:dyDescent="0.25">
      <c r="A43" s="746" t="s">
        <v>369</v>
      </c>
      <c r="B43" s="746"/>
    </row>
  </sheetData>
  <mergeCells count="7">
    <mergeCell ref="A43:B43"/>
    <mergeCell ref="A1:E1"/>
    <mergeCell ref="F1:I1"/>
    <mergeCell ref="A14:E14"/>
    <mergeCell ref="F14:I14"/>
    <mergeCell ref="A27:E27"/>
    <mergeCell ref="F27:I27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C596-45C7-4258-B0EA-6265EA8B4122}">
  <sheetPr>
    <pageSetUpPr fitToPage="1"/>
  </sheetPr>
  <dimension ref="A1:V232"/>
  <sheetViews>
    <sheetView zoomScale="124" zoomScaleNormal="124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.42578125" customWidth="1"/>
    <col min="2" max="2" width="55.42578125" customWidth="1"/>
    <col min="3" max="3" width="13.28515625" customWidth="1"/>
    <col min="4" max="4" width="12.7109375" customWidth="1"/>
    <col min="5" max="9" width="12.85546875" customWidth="1"/>
    <col min="10" max="10" width="8.7109375" customWidth="1"/>
    <col min="11" max="11" width="14.42578125" customWidth="1"/>
    <col min="12" max="12" width="9.5703125" customWidth="1"/>
    <col min="13" max="13" width="10.140625" customWidth="1"/>
    <col min="14" max="14" width="11" customWidth="1"/>
    <col min="15" max="15" width="9.85546875" customWidth="1"/>
    <col min="17" max="17" width="12.7109375" customWidth="1"/>
  </cols>
  <sheetData>
    <row r="1" spans="1:19" ht="18.75" thickBot="1" x14ac:dyDescent="0.3">
      <c r="A1" s="675" t="s">
        <v>0</v>
      </c>
      <c r="B1" s="676"/>
      <c r="C1" s="676"/>
      <c r="D1" s="676"/>
      <c r="E1" s="676"/>
      <c r="F1" s="650"/>
      <c r="G1" s="650"/>
      <c r="H1" s="650"/>
      <c r="I1" s="650"/>
      <c r="J1" s="650"/>
      <c r="K1" s="1"/>
    </row>
    <row r="2" spans="1:19" ht="46.5" customHeight="1" thickBot="1" x14ac:dyDescent="0.3">
      <c r="A2" s="677" t="s">
        <v>1</v>
      </c>
      <c r="B2" s="678"/>
      <c r="C2" s="289" t="s">
        <v>455</v>
      </c>
      <c r="D2" s="289" t="s">
        <v>454</v>
      </c>
      <c r="E2" s="289" t="s">
        <v>372</v>
      </c>
      <c r="F2" s="289" t="s">
        <v>516</v>
      </c>
      <c r="G2" s="289" t="s">
        <v>532</v>
      </c>
      <c r="H2" s="289" t="s">
        <v>517</v>
      </c>
      <c r="I2" s="289" t="s">
        <v>569</v>
      </c>
      <c r="J2" s="651" t="s">
        <v>515</v>
      </c>
      <c r="K2" s="1"/>
    </row>
    <row r="3" spans="1:19" ht="15.75" thickBot="1" x14ac:dyDescent="0.3">
      <c r="A3" s="679" t="s">
        <v>4</v>
      </c>
      <c r="B3" s="680"/>
      <c r="C3" s="2">
        <f t="shared" ref="C3" si="0">SUM(C4:C10)</f>
        <v>1485800</v>
      </c>
      <c r="D3" s="2">
        <f t="shared" ref="D3:I3" si="1">SUM(D4:D10)</f>
        <v>1485800</v>
      </c>
      <c r="E3" s="2">
        <f t="shared" si="1"/>
        <v>1485800</v>
      </c>
      <c r="F3" s="2">
        <f t="shared" si="1"/>
        <v>1485800</v>
      </c>
      <c r="G3" s="2">
        <f t="shared" si="1"/>
        <v>1485800</v>
      </c>
      <c r="H3" s="2">
        <f t="shared" si="1"/>
        <v>1485800</v>
      </c>
      <c r="I3" s="2">
        <f t="shared" si="1"/>
        <v>428445</v>
      </c>
      <c r="J3" s="659">
        <f>I3/H3</f>
        <v>0.28835980616502893</v>
      </c>
      <c r="K3" s="1"/>
    </row>
    <row r="4" spans="1:19" ht="15.75" thickBot="1" x14ac:dyDescent="0.3">
      <c r="A4" s="3">
        <v>111</v>
      </c>
      <c r="B4" s="114" t="s">
        <v>5</v>
      </c>
      <c r="C4" s="6">
        <v>1373000</v>
      </c>
      <c r="D4" s="6">
        <v>1373000</v>
      </c>
      <c r="E4" s="6">
        <v>1373000</v>
      </c>
      <c r="F4" s="6">
        <v>1373000</v>
      </c>
      <c r="G4" s="6">
        <v>1373000</v>
      </c>
      <c r="H4" s="6">
        <v>1373000</v>
      </c>
      <c r="I4" s="6">
        <v>397515</v>
      </c>
      <c r="J4" s="659">
        <f t="shared" ref="J4:J68" si="2">I4/H4</f>
        <v>0.28952294246176258</v>
      </c>
      <c r="K4" s="1"/>
    </row>
    <row r="5" spans="1:19" ht="15.75" thickBot="1" x14ac:dyDescent="0.3">
      <c r="A5" s="7">
        <v>121</v>
      </c>
      <c r="B5" s="244" t="s">
        <v>6</v>
      </c>
      <c r="C5" s="11">
        <v>60400</v>
      </c>
      <c r="D5" s="11">
        <v>60400</v>
      </c>
      <c r="E5" s="11">
        <v>60400</v>
      </c>
      <c r="F5" s="11">
        <v>60400</v>
      </c>
      <c r="G5" s="11">
        <v>60400</v>
      </c>
      <c r="H5" s="11">
        <v>60400</v>
      </c>
      <c r="I5" s="11">
        <v>15895</v>
      </c>
      <c r="J5" s="659">
        <f t="shared" si="2"/>
        <v>0.26316225165562912</v>
      </c>
      <c r="K5" s="1"/>
    </row>
    <row r="6" spans="1:19" x14ac:dyDescent="0.25">
      <c r="A6" s="12">
        <v>133</v>
      </c>
      <c r="B6" s="245" t="s">
        <v>7</v>
      </c>
      <c r="C6" s="16">
        <v>2000</v>
      </c>
      <c r="D6" s="16">
        <v>2000</v>
      </c>
      <c r="E6" s="16">
        <v>2000</v>
      </c>
      <c r="F6" s="16">
        <v>2000</v>
      </c>
      <c r="G6" s="16">
        <v>2000</v>
      </c>
      <c r="H6" s="16">
        <v>2000</v>
      </c>
      <c r="I6" s="16">
        <v>1464</v>
      </c>
      <c r="J6" s="659">
        <f t="shared" si="2"/>
        <v>0.73199999999999998</v>
      </c>
      <c r="K6" s="1"/>
    </row>
    <row r="7" spans="1:19" x14ac:dyDescent="0.25">
      <c r="A7" s="17">
        <v>133</v>
      </c>
      <c r="B7" s="246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0</v>
      </c>
      <c r="J7" s="659">
        <f t="shared" si="2"/>
        <v>0</v>
      </c>
      <c r="K7" s="1"/>
    </row>
    <row r="8" spans="1:19" x14ac:dyDescent="0.25">
      <c r="A8" s="17">
        <v>133</v>
      </c>
      <c r="B8" s="246" t="s">
        <v>9</v>
      </c>
      <c r="C8" s="21">
        <v>5000</v>
      </c>
      <c r="D8" s="21">
        <v>5000</v>
      </c>
      <c r="E8" s="21">
        <v>5000</v>
      </c>
      <c r="F8" s="21">
        <v>5000</v>
      </c>
      <c r="G8" s="21">
        <v>5000</v>
      </c>
      <c r="H8" s="21">
        <v>5000</v>
      </c>
      <c r="I8" s="21">
        <v>548</v>
      </c>
      <c r="J8" s="659">
        <f t="shared" si="2"/>
        <v>0.1096</v>
      </c>
      <c r="K8" s="1"/>
    </row>
    <row r="9" spans="1:19" x14ac:dyDescent="0.25">
      <c r="A9" s="17">
        <v>133</v>
      </c>
      <c r="B9" s="246" t="s">
        <v>10</v>
      </c>
      <c r="C9" s="21">
        <v>7000</v>
      </c>
      <c r="D9" s="21">
        <v>7000</v>
      </c>
      <c r="E9" s="21">
        <v>7000</v>
      </c>
      <c r="F9" s="21">
        <v>7000</v>
      </c>
      <c r="G9" s="21">
        <v>7000</v>
      </c>
      <c r="H9" s="21">
        <v>7000</v>
      </c>
      <c r="I9" s="21">
        <v>371</v>
      </c>
      <c r="J9" s="659">
        <f t="shared" si="2"/>
        <v>5.2999999999999999E-2</v>
      </c>
      <c r="K9" s="1"/>
    </row>
    <row r="10" spans="1:19" ht="15.75" thickBot="1" x14ac:dyDescent="0.3">
      <c r="A10" s="22">
        <v>133</v>
      </c>
      <c r="B10" s="247" t="s">
        <v>11</v>
      </c>
      <c r="C10" s="26">
        <v>38000</v>
      </c>
      <c r="D10" s="26">
        <v>38000</v>
      </c>
      <c r="E10" s="26">
        <v>38000</v>
      </c>
      <c r="F10" s="26">
        <v>38000</v>
      </c>
      <c r="G10" s="26">
        <v>38000</v>
      </c>
      <c r="H10" s="26">
        <v>38000</v>
      </c>
      <c r="I10" s="26">
        <v>12652</v>
      </c>
      <c r="J10" s="659">
        <f t="shared" si="2"/>
        <v>0.33294736842105266</v>
      </c>
      <c r="K10" s="27">
        <f>SUM(H6:H10)</f>
        <v>52400</v>
      </c>
      <c r="L10" s="27">
        <f>SUM(I6:I10)</f>
        <v>15035</v>
      </c>
      <c r="M10" s="27"/>
      <c r="N10" s="27"/>
      <c r="O10" s="27"/>
      <c r="P10" s="27"/>
    </row>
    <row r="11" spans="1:19" ht="15.75" thickBot="1" x14ac:dyDescent="0.3">
      <c r="A11" s="679" t="s">
        <v>12</v>
      </c>
      <c r="B11" s="680"/>
      <c r="C11" s="248">
        <f t="shared" ref="C11:I11" si="3">SUM(C12:C31)</f>
        <v>246161</v>
      </c>
      <c r="D11" s="248">
        <f t="shared" si="3"/>
        <v>246161</v>
      </c>
      <c r="E11" s="248">
        <f t="shared" si="3"/>
        <v>246161</v>
      </c>
      <c r="F11" s="248">
        <f t="shared" si="3"/>
        <v>246161</v>
      </c>
      <c r="G11" s="248">
        <f t="shared" si="3"/>
        <v>246161</v>
      </c>
      <c r="H11" s="248">
        <f t="shared" si="3"/>
        <v>246161</v>
      </c>
      <c r="I11" s="248">
        <f t="shared" si="3"/>
        <v>56062</v>
      </c>
      <c r="J11" s="659">
        <f t="shared" si="2"/>
        <v>0.22774525615349303</v>
      </c>
      <c r="K11" s="1"/>
    </row>
    <row r="12" spans="1:19" x14ac:dyDescent="0.25">
      <c r="A12" s="28">
        <v>212</v>
      </c>
      <c r="B12" s="29" t="s">
        <v>13</v>
      </c>
      <c r="C12" s="32">
        <v>2913</v>
      </c>
      <c r="D12" s="32">
        <v>2913</v>
      </c>
      <c r="E12" s="32">
        <v>2913</v>
      </c>
      <c r="F12" s="32">
        <v>2913</v>
      </c>
      <c r="G12" s="32">
        <v>2913</v>
      </c>
      <c r="H12" s="32">
        <v>2913</v>
      </c>
      <c r="I12" s="32">
        <v>756</v>
      </c>
      <c r="J12" s="659">
        <f t="shared" si="2"/>
        <v>0.25952626158599384</v>
      </c>
      <c r="K12" s="1"/>
    </row>
    <row r="13" spans="1:19" x14ac:dyDescent="0.25">
      <c r="A13" s="17">
        <v>212</v>
      </c>
      <c r="B13" s="18" t="s">
        <v>14</v>
      </c>
      <c r="C13" s="21">
        <v>1000</v>
      </c>
      <c r="D13" s="21">
        <v>1000</v>
      </c>
      <c r="E13" s="21">
        <v>1000</v>
      </c>
      <c r="F13" s="21">
        <v>1000</v>
      </c>
      <c r="G13" s="21">
        <v>1000</v>
      </c>
      <c r="H13" s="21">
        <v>1000</v>
      </c>
      <c r="I13" s="21">
        <v>20</v>
      </c>
      <c r="J13" s="659">
        <f t="shared" si="2"/>
        <v>0.02</v>
      </c>
      <c r="K13" s="27"/>
    </row>
    <row r="14" spans="1:19" x14ac:dyDescent="0.25">
      <c r="A14" s="12">
        <v>212</v>
      </c>
      <c r="B14" s="13" t="s">
        <v>15</v>
      </c>
      <c r="C14" s="82">
        <v>3425</v>
      </c>
      <c r="D14" s="82">
        <v>3425</v>
      </c>
      <c r="E14" s="82">
        <v>3425</v>
      </c>
      <c r="F14" s="82">
        <v>3425</v>
      </c>
      <c r="G14" s="82">
        <v>3425</v>
      </c>
      <c r="H14" s="82">
        <v>3425</v>
      </c>
      <c r="I14" s="82">
        <v>908</v>
      </c>
      <c r="J14" s="659">
        <f t="shared" si="2"/>
        <v>0.26510948905109488</v>
      </c>
      <c r="K14" s="1"/>
    </row>
    <row r="15" spans="1:19" x14ac:dyDescent="0.25">
      <c r="A15" s="17">
        <v>212</v>
      </c>
      <c r="B15" s="18" t="s">
        <v>16</v>
      </c>
      <c r="C15" s="21">
        <v>19813</v>
      </c>
      <c r="D15" s="21">
        <v>19813</v>
      </c>
      <c r="E15" s="21">
        <v>19813</v>
      </c>
      <c r="F15" s="21">
        <v>19813</v>
      </c>
      <c r="G15" s="21">
        <v>19813</v>
      </c>
      <c r="H15" s="602">
        <f>19813-100</f>
        <v>19713</v>
      </c>
      <c r="I15" s="21">
        <v>4116</v>
      </c>
      <c r="J15" s="659">
        <f t="shared" si="2"/>
        <v>0.2087962258408157</v>
      </c>
      <c r="K15" s="27"/>
    </row>
    <row r="16" spans="1:19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669">
        <v>100</v>
      </c>
      <c r="I16" s="39">
        <v>0</v>
      </c>
      <c r="J16" s="659">
        <f t="shared" si="2"/>
        <v>0</v>
      </c>
      <c r="K16" s="310">
        <f>SUM(H12:H16)</f>
        <v>27151</v>
      </c>
      <c r="L16" s="310">
        <f>SUM(I12:I16)</f>
        <v>5800</v>
      </c>
      <c r="M16" s="310"/>
      <c r="N16" s="310"/>
      <c r="O16" s="310"/>
      <c r="R16" s="27"/>
      <c r="S16" s="310"/>
    </row>
    <row r="17" spans="1:19" ht="15.75" thickBot="1" x14ac:dyDescent="0.3">
      <c r="A17" s="7">
        <v>221</v>
      </c>
      <c r="B17" s="8" t="s">
        <v>18</v>
      </c>
      <c r="C17" s="41">
        <v>7200</v>
      </c>
      <c r="D17" s="41">
        <v>7200</v>
      </c>
      <c r="E17" s="41">
        <v>7200</v>
      </c>
      <c r="F17" s="41">
        <v>7200</v>
      </c>
      <c r="G17" s="41">
        <v>7200</v>
      </c>
      <c r="H17" s="41">
        <v>7200</v>
      </c>
      <c r="I17" s="41">
        <v>1064</v>
      </c>
      <c r="J17" s="659">
        <f t="shared" si="2"/>
        <v>0.14777777777777779</v>
      </c>
      <c r="K17" s="1"/>
    </row>
    <row r="18" spans="1:19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/>
      <c r="J18" s="659">
        <v>0</v>
      </c>
      <c r="K18" s="1"/>
    </row>
    <row r="19" spans="1:19" x14ac:dyDescent="0.25">
      <c r="A19" s="12">
        <v>223</v>
      </c>
      <c r="B19" s="13" t="s">
        <v>20</v>
      </c>
      <c r="C19" s="16">
        <v>1000</v>
      </c>
      <c r="D19" s="16">
        <v>1000</v>
      </c>
      <c r="E19" s="16">
        <v>1000</v>
      </c>
      <c r="F19" s="16">
        <v>1000</v>
      </c>
      <c r="G19" s="16">
        <v>1000</v>
      </c>
      <c r="H19" s="16">
        <v>1000</v>
      </c>
      <c r="I19" s="16">
        <v>38</v>
      </c>
      <c r="J19" s="659">
        <f t="shared" si="2"/>
        <v>3.7999999999999999E-2</v>
      </c>
      <c r="K19" s="1"/>
    </row>
    <row r="20" spans="1:19" x14ac:dyDescent="0.25">
      <c r="A20" s="17">
        <v>223</v>
      </c>
      <c r="B20" s="18" t="s">
        <v>21</v>
      </c>
      <c r="C20" s="21">
        <v>21000</v>
      </c>
      <c r="D20" s="21">
        <v>21000</v>
      </c>
      <c r="E20" s="21">
        <v>21000</v>
      </c>
      <c r="F20" s="21">
        <v>21000</v>
      </c>
      <c r="G20" s="21">
        <v>21000</v>
      </c>
      <c r="H20" s="21">
        <v>21000</v>
      </c>
      <c r="I20" s="21">
        <v>5163</v>
      </c>
      <c r="J20" s="659">
        <f t="shared" si="2"/>
        <v>0.24585714285714286</v>
      </c>
      <c r="K20" s="1"/>
    </row>
    <row r="21" spans="1:19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16</v>
      </c>
      <c r="J21" s="659">
        <f t="shared" si="2"/>
        <v>0.32</v>
      </c>
      <c r="K21" s="1"/>
    </row>
    <row r="22" spans="1:19" x14ac:dyDescent="0.25">
      <c r="A22" s="17">
        <v>223</v>
      </c>
      <c r="B22" s="18" t="s">
        <v>333</v>
      </c>
      <c r="C22" s="21">
        <v>4000</v>
      </c>
      <c r="D22" s="21">
        <v>4000</v>
      </c>
      <c r="E22" s="21">
        <v>4000</v>
      </c>
      <c r="F22" s="21">
        <v>4000</v>
      </c>
      <c r="G22" s="21">
        <v>4000</v>
      </c>
      <c r="H22" s="21">
        <v>4000</v>
      </c>
      <c r="I22" s="21">
        <v>708</v>
      </c>
      <c r="J22" s="659">
        <f t="shared" si="2"/>
        <v>0.17699999999999999</v>
      </c>
      <c r="K22" s="1"/>
    </row>
    <row r="23" spans="1:19" x14ac:dyDescent="0.25">
      <c r="A23" s="17">
        <v>223</v>
      </c>
      <c r="B23" s="18" t="s">
        <v>23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0</v>
      </c>
      <c r="J23" s="659">
        <f t="shared" si="2"/>
        <v>0</v>
      </c>
      <c r="K23" s="1"/>
    </row>
    <row r="24" spans="1:19" x14ac:dyDescent="0.25">
      <c r="A24" s="17">
        <v>223</v>
      </c>
      <c r="B24" s="18" t="s">
        <v>24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80</v>
      </c>
      <c r="J24" s="659">
        <f t="shared" si="2"/>
        <v>0.08</v>
      </c>
      <c r="K24" s="1"/>
    </row>
    <row r="25" spans="1:19" x14ac:dyDescent="0.25">
      <c r="A25" s="17">
        <v>223</v>
      </c>
      <c r="B25" s="18" t="s">
        <v>25</v>
      </c>
      <c r="C25" s="21">
        <v>46000</v>
      </c>
      <c r="D25" s="21">
        <v>46000</v>
      </c>
      <c r="E25" s="21">
        <v>46000</v>
      </c>
      <c r="F25" s="21">
        <v>46000</v>
      </c>
      <c r="G25" s="21">
        <v>46000</v>
      </c>
      <c r="H25" s="21">
        <v>46000</v>
      </c>
      <c r="I25" s="21">
        <v>11959</v>
      </c>
      <c r="J25" s="659">
        <f t="shared" si="2"/>
        <v>0.25997826086956521</v>
      </c>
      <c r="K25" s="1"/>
    </row>
    <row r="26" spans="1:19" x14ac:dyDescent="0.25">
      <c r="A26" s="17">
        <v>223</v>
      </c>
      <c r="B26" s="18" t="s">
        <v>26</v>
      </c>
      <c r="C26" s="21">
        <v>45000</v>
      </c>
      <c r="D26" s="21">
        <v>45000</v>
      </c>
      <c r="E26" s="21">
        <v>45000</v>
      </c>
      <c r="F26" s="21">
        <v>45000</v>
      </c>
      <c r="G26" s="21">
        <v>45000</v>
      </c>
      <c r="H26" s="21">
        <v>45000</v>
      </c>
      <c r="I26" s="21">
        <v>16620</v>
      </c>
      <c r="J26" s="659">
        <f t="shared" si="2"/>
        <v>0.36933333333333335</v>
      </c>
      <c r="K26" s="1"/>
    </row>
    <row r="27" spans="1:19" x14ac:dyDescent="0.25">
      <c r="A27" s="17">
        <v>223</v>
      </c>
      <c r="B27" s="18" t="s">
        <v>27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0</v>
      </c>
      <c r="J27" s="659">
        <f t="shared" si="2"/>
        <v>0</v>
      </c>
      <c r="K27" s="27"/>
    </row>
    <row r="28" spans="1:19" x14ac:dyDescent="0.25">
      <c r="A28" s="17">
        <v>223</v>
      </c>
      <c r="B28" s="18" t="s">
        <v>28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2100</v>
      </c>
      <c r="I28" s="21">
        <v>812</v>
      </c>
      <c r="J28" s="659">
        <f t="shared" si="2"/>
        <v>0.38666666666666666</v>
      </c>
      <c r="K28" s="1"/>
    </row>
    <row r="29" spans="1:19" x14ac:dyDescent="0.25">
      <c r="A29" s="17">
        <v>223</v>
      </c>
      <c r="B29" s="18" t="s">
        <v>201</v>
      </c>
      <c r="C29" s="21">
        <v>1300</v>
      </c>
      <c r="D29" s="21">
        <v>1300</v>
      </c>
      <c r="E29" s="21">
        <v>1300</v>
      </c>
      <c r="F29" s="21">
        <v>1300</v>
      </c>
      <c r="G29" s="21">
        <v>1300</v>
      </c>
      <c r="H29" s="21">
        <v>1300</v>
      </c>
      <c r="I29" s="21">
        <v>560</v>
      </c>
      <c r="J29" s="659">
        <f t="shared" si="2"/>
        <v>0.43076923076923079</v>
      </c>
      <c r="K29" s="1"/>
    </row>
    <row r="30" spans="1:19" x14ac:dyDescent="0.25">
      <c r="A30" s="43">
        <v>223</v>
      </c>
      <c r="B30" s="44" t="s">
        <v>29</v>
      </c>
      <c r="C30" s="46">
        <v>85900</v>
      </c>
      <c r="D30" s="46">
        <v>85900</v>
      </c>
      <c r="E30" s="46">
        <v>85900</v>
      </c>
      <c r="F30" s="46">
        <v>85900</v>
      </c>
      <c r="G30" s="46">
        <v>85900</v>
      </c>
      <c r="H30" s="46">
        <v>85900</v>
      </c>
      <c r="I30" s="46">
        <v>13242</v>
      </c>
      <c r="J30" s="659">
        <f t="shared" si="2"/>
        <v>0.15415599534342259</v>
      </c>
      <c r="K30" s="27"/>
    </row>
    <row r="31" spans="1:19" ht="15.75" thickBot="1" x14ac:dyDescent="0.3">
      <c r="A31" s="22">
        <v>223</v>
      </c>
      <c r="B31" s="23" t="s">
        <v>30</v>
      </c>
      <c r="C31" s="79">
        <v>3400</v>
      </c>
      <c r="D31" s="79">
        <v>3400</v>
      </c>
      <c r="E31" s="79">
        <v>3400</v>
      </c>
      <c r="F31" s="79">
        <v>3400</v>
      </c>
      <c r="G31" s="79">
        <v>3400</v>
      </c>
      <c r="H31" s="79">
        <v>3400</v>
      </c>
      <c r="I31" s="79">
        <v>0</v>
      </c>
      <c r="J31" s="659">
        <f t="shared" si="2"/>
        <v>0</v>
      </c>
      <c r="K31" s="27">
        <f>SUM(H19:H31)</f>
        <v>211810</v>
      </c>
      <c r="L31" s="27">
        <f>SUM(I19:I31)</f>
        <v>49198</v>
      </c>
      <c r="M31" s="27"/>
      <c r="N31" s="27"/>
      <c r="O31" s="27"/>
      <c r="R31" s="310"/>
      <c r="S31" s="310"/>
    </row>
    <row r="32" spans="1:19" ht="15.75" thickBot="1" x14ac:dyDescent="0.3">
      <c r="A32" s="647" t="s">
        <v>31</v>
      </c>
      <c r="B32" s="648"/>
      <c r="C32" s="2">
        <f t="shared" ref="C32:I32" si="4">SUM(C33)</f>
        <v>50</v>
      </c>
      <c r="D32" s="2">
        <f t="shared" si="4"/>
        <v>50</v>
      </c>
      <c r="E32" s="2">
        <f t="shared" si="4"/>
        <v>50</v>
      </c>
      <c r="F32" s="2">
        <f t="shared" si="4"/>
        <v>50</v>
      </c>
      <c r="G32" s="2">
        <f t="shared" si="4"/>
        <v>50</v>
      </c>
      <c r="H32" s="2">
        <f t="shared" si="4"/>
        <v>50</v>
      </c>
      <c r="I32" s="2">
        <f t="shared" si="4"/>
        <v>2</v>
      </c>
      <c r="J32" s="659">
        <f t="shared" si="2"/>
        <v>0.04</v>
      </c>
      <c r="K32" s="1"/>
    </row>
    <row r="33" spans="1:13" ht="15.75" thickBot="1" x14ac:dyDescent="0.3">
      <c r="A33" s="51">
        <v>240</v>
      </c>
      <c r="B33" s="47" t="s">
        <v>32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2</v>
      </c>
      <c r="J33" s="659">
        <f t="shared" si="2"/>
        <v>0.04</v>
      </c>
      <c r="K33" s="1"/>
    </row>
    <row r="34" spans="1:13" ht="15.75" thickBot="1" x14ac:dyDescent="0.3">
      <c r="A34" s="647" t="s">
        <v>33</v>
      </c>
      <c r="B34" s="648"/>
      <c r="C34" s="248">
        <f>SUM(C35:C39)</f>
        <v>71070</v>
      </c>
      <c r="D34" s="248">
        <f>SUM(D35:D39)</f>
        <v>71085</v>
      </c>
      <c r="E34" s="248">
        <f>SUM(E35:E39)</f>
        <v>78785</v>
      </c>
      <c r="F34" s="248">
        <f t="shared" ref="F34:I34" si="5">SUM(F35:F39)</f>
        <v>78785</v>
      </c>
      <c r="G34" s="248">
        <f t="shared" si="5"/>
        <v>78785</v>
      </c>
      <c r="H34" s="248">
        <f t="shared" si="5"/>
        <v>78785</v>
      </c>
      <c r="I34" s="248">
        <f t="shared" si="5"/>
        <v>20850</v>
      </c>
      <c r="J34" s="659">
        <f t="shared" si="2"/>
        <v>0.26464428507964716</v>
      </c>
      <c r="K34" s="1"/>
    </row>
    <row r="35" spans="1:13" x14ac:dyDescent="0.25">
      <c r="A35" s="57">
        <v>292</v>
      </c>
      <c r="B35" s="58" t="s">
        <v>36</v>
      </c>
      <c r="C35" s="61">
        <v>1000</v>
      </c>
      <c r="D35" s="603">
        <f>1000+7000</f>
        <v>8000</v>
      </c>
      <c r="E35" s="603">
        <f>1000+7000-7000+7000</f>
        <v>8000</v>
      </c>
      <c r="F35" s="603">
        <f>1000+7000-7000+7000</f>
        <v>8000</v>
      </c>
      <c r="G35" s="61">
        <f>1000+7000-7000+7000</f>
        <v>8000</v>
      </c>
      <c r="H35" s="61">
        <f>1000+7000-7000+7000</f>
        <v>8000</v>
      </c>
      <c r="I35" s="61">
        <v>7874</v>
      </c>
      <c r="J35" s="659">
        <f t="shared" si="2"/>
        <v>0.98424999999999996</v>
      </c>
      <c r="K35" s="1"/>
    </row>
    <row r="36" spans="1:13" x14ac:dyDescent="0.25">
      <c r="A36" s="57">
        <v>292</v>
      </c>
      <c r="B36" s="58" t="s">
        <v>37</v>
      </c>
      <c r="C36" s="60">
        <v>500</v>
      </c>
      <c r="D36" s="60">
        <v>500</v>
      </c>
      <c r="E36" s="60">
        <v>500</v>
      </c>
      <c r="F36" s="60">
        <v>500</v>
      </c>
      <c r="G36" s="60">
        <v>500</v>
      </c>
      <c r="H36" s="60">
        <v>500</v>
      </c>
      <c r="I36" s="60">
        <v>149</v>
      </c>
      <c r="J36" s="659">
        <f t="shared" si="2"/>
        <v>0.29799999999999999</v>
      </c>
      <c r="K36" s="1"/>
    </row>
    <row r="37" spans="1:13" x14ac:dyDescent="0.25">
      <c r="A37" s="57">
        <v>292</v>
      </c>
      <c r="B37" s="18" t="s">
        <v>38</v>
      </c>
      <c r="C37" s="64">
        <v>350</v>
      </c>
      <c r="D37" s="605">
        <f>350+15</f>
        <v>365</v>
      </c>
      <c r="E37" s="64">
        <f>350+15</f>
        <v>365</v>
      </c>
      <c r="F37" s="64">
        <f t="shared" ref="F37:H37" si="6">350+15</f>
        <v>365</v>
      </c>
      <c r="G37" s="64">
        <f t="shared" si="6"/>
        <v>365</v>
      </c>
      <c r="H37" s="64">
        <f t="shared" si="6"/>
        <v>365</v>
      </c>
      <c r="I37" s="64">
        <v>0</v>
      </c>
      <c r="J37" s="659">
        <f t="shared" si="2"/>
        <v>0</v>
      </c>
      <c r="K37" s="1"/>
    </row>
    <row r="38" spans="1:13" x14ac:dyDescent="0.25">
      <c r="A38" s="57">
        <v>292</v>
      </c>
      <c r="B38" s="58" t="s">
        <v>183</v>
      </c>
      <c r="C38" s="60">
        <v>69200</v>
      </c>
      <c r="D38" s="604">
        <f>69200-7000</f>
        <v>62200</v>
      </c>
      <c r="E38" s="604">
        <f>69200-7000+7000+700</f>
        <v>69900</v>
      </c>
      <c r="F38" s="604">
        <f t="shared" ref="F38:H38" si="7">69200-7000+7000+700</f>
        <v>69900</v>
      </c>
      <c r="G38" s="60">
        <f t="shared" si="7"/>
        <v>69900</v>
      </c>
      <c r="H38" s="60">
        <f t="shared" si="7"/>
        <v>69900</v>
      </c>
      <c r="I38" s="60">
        <v>12827</v>
      </c>
      <c r="J38" s="659">
        <f t="shared" si="2"/>
        <v>0.18350500715307583</v>
      </c>
      <c r="K38" s="27">
        <f>H38+H37</f>
        <v>70265</v>
      </c>
      <c r="L38" s="27">
        <f>I38+I37</f>
        <v>12827</v>
      </c>
      <c r="M38" s="27"/>
    </row>
    <row r="39" spans="1:13" ht="15.75" thickBot="1" x14ac:dyDescent="0.3">
      <c r="A39" s="57">
        <v>292</v>
      </c>
      <c r="B39" s="58" t="s">
        <v>254</v>
      </c>
      <c r="C39" s="60">
        <v>20</v>
      </c>
      <c r="D39" s="60">
        <v>20</v>
      </c>
      <c r="E39" s="60">
        <v>20</v>
      </c>
      <c r="F39" s="60">
        <v>20</v>
      </c>
      <c r="G39" s="60">
        <v>20</v>
      </c>
      <c r="H39" s="60">
        <v>20</v>
      </c>
      <c r="I39" s="60">
        <v>0</v>
      </c>
      <c r="J39" s="659">
        <f t="shared" si="2"/>
        <v>0</v>
      </c>
      <c r="K39" s="1"/>
    </row>
    <row r="40" spans="1:13" ht="15.75" thickBot="1" x14ac:dyDescent="0.3">
      <c r="A40" s="65" t="s">
        <v>39</v>
      </c>
      <c r="B40" s="252"/>
      <c r="C40" s="248">
        <f>SUM(C41:C64)</f>
        <v>955422</v>
      </c>
      <c r="D40" s="248">
        <f>SUM(D41:D64)</f>
        <v>1013208</v>
      </c>
      <c r="E40" s="248">
        <f>SUM(E41:E64)</f>
        <v>1013208</v>
      </c>
      <c r="F40" s="248">
        <f t="shared" ref="F40:I40" si="8">SUM(F41:F64)</f>
        <v>1065308</v>
      </c>
      <c r="G40" s="248">
        <f t="shared" si="8"/>
        <v>1076728</v>
      </c>
      <c r="H40" s="248">
        <f t="shared" si="8"/>
        <v>1079860</v>
      </c>
      <c r="I40" s="248">
        <f t="shared" si="8"/>
        <v>304551</v>
      </c>
      <c r="J40" s="659">
        <f t="shared" si="2"/>
        <v>0.28202822588113274</v>
      </c>
      <c r="K40" s="1"/>
    </row>
    <row r="41" spans="1:13" x14ac:dyDescent="0.25">
      <c r="A41" s="67">
        <v>311</v>
      </c>
      <c r="B41" s="253" t="s">
        <v>40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59">
        <v>0</v>
      </c>
      <c r="K41" s="1"/>
    </row>
    <row r="42" spans="1:13" x14ac:dyDescent="0.25">
      <c r="A42" s="67">
        <v>312</v>
      </c>
      <c r="B42" s="246" t="s">
        <v>510</v>
      </c>
      <c r="C42" s="70">
        <v>0</v>
      </c>
      <c r="D42" s="70">
        <v>0</v>
      </c>
      <c r="E42" s="70">
        <v>0</v>
      </c>
      <c r="F42" s="658">
        <f>40885+7215</f>
        <v>48100</v>
      </c>
      <c r="G42" s="70">
        <f>40885+7215</f>
        <v>48100</v>
      </c>
      <c r="H42" s="70">
        <f>40885+7215</f>
        <v>48100</v>
      </c>
      <c r="I42" s="70">
        <v>0</v>
      </c>
      <c r="J42" s="659">
        <f t="shared" si="2"/>
        <v>0</v>
      </c>
      <c r="K42" s="1"/>
    </row>
    <row r="43" spans="1:13" x14ac:dyDescent="0.25">
      <c r="A43" s="67">
        <v>312</v>
      </c>
      <c r="B43" s="253" t="s">
        <v>458</v>
      </c>
      <c r="C43" s="70">
        <v>28000</v>
      </c>
      <c r="D43" s="70">
        <v>28000</v>
      </c>
      <c r="E43" s="70">
        <v>28000</v>
      </c>
      <c r="F43" s="70">
        <v>28000</v>
      </c>
      <c r="G43" s="70">
        <v>28000</v>
      </c>
      <c r="H43" s="70">
        <v>28000</v>
      </c>
      <c r="I43" s="70">
        <v>8469</v>
      </c>
      <c r="J43" s="659">
        <f t="shared" si="2"/>
        <v>0.30246428571428574</v>
      </c>
      <c r="K43" s="1"/>
    </row>
    <row r="44" spans="1:13" x14ac:dyDescent="0.25">
      <c r="A44" s="71">
        <v>312</v>
      </c>
      <c r="B44" s="246" t="s">
        <v>185</v>
      </c>
      <c r="C44" s="16">
        <v>55000</v>
      </c>
      <c r="D44" s="606">
        <f>55000+2600</f>
        <v>57600</v>
      </c>
      <c r="E44" s="16">
        <f>55000+2600</f>
        <v>57600</v>
      </c>
      <c r="F44" s="16">
        <f t="shared" ref="F44:H44" si="9">55000+2600</f>
        <v>57600</v>
      </c>
      <c r="G44" s="16">
        <f t="shared" si="9"/>
        <v>57600</v>
      </c>
      <c r="H44" s="16">
        <f t="shared" si="9"/>
        <v>57600</v>
      </c>
      <c r="I44" s="16">
        <v>57188</v>
      </c>
      <c r="J44" s="659">
        <f t="shared" si="2"/>
        <v>0.99284722222222221</v>
      </c>
      <c r="K44" s="1"/>
    </row>
    <row r="45" spans="1:13" x14ac:dyDescent="0.25">
      <c r="A45" s="71">
        <v>312</v>
      </c>
      <c r="B45" s="246" t="s">
        <v>186</v>
      </c>
      <c r="C45" s="16">
        <v>180</v>
      </c>
      <c r="D45" s="606">
        <f>180+180</f>
        <v>360</v>
      </c>
      <c r="E45" s="16">
        <f>180+180</f>
        <v>360</v>
      </c>
      <c r="F45" s="16">
        <f t="shared" ref="F45:H45" si="10">180+180</f>
        <v>360</v>
      </c>
      <c r="G45" s="16">
        <f t="shared" si="10"/>
        <v>360</v>
      </c>
      <c r="H45" s="16">
        <f t="shared" si="10"/>
        <v>360</v>
      </c>
      <c r="I45" s="16">
        <v>180</v>
      </c>
      <c r="J45" s="659">
        <f t="shared" si="2"/>
        <v>0.5</v>
      </c>
      <c r="K45" s="27"/>
    </row>
    <row r="46" spans="1:13" x14ac:dyDescent="0.25">
      <c r="A46" s="71">
        <v>312</v>
      </c>
      <c r="B46" s="111" t="s">
        <v>41</v>
      </c>
      <c r="C46" s="73">
        <v>600</v>
      </c>
      <c r="D46" s="73">
        <v>600</v>
      </c>
      <c r="E46" s="73">
        <v>600</v>
      </c>
      <c r="F46" s="73">
        <v>600</v>
      </c>
      <c r="G46" s="73">
        <v>600</v>
      </c>
      <c r="H46" s="665">
        <f>600+700</f>
        <v>1300</v>
      </c>
      <c r="I46" s="73">
        <v>220</v>
      </c>
      <c r="J46" s="659">
        <f t="shared" si="2"/>
        <v>0.16923076923076924</v>
      </c>
      <c r="K46" s="27"/>
    </row>
    <row r="47" spans="1:13" x14ac:dyDescent="0.25">
      <c r="A47" s="71">
        <v>312</v>
      </c>
      <c r="B47" s="111" t="s">
        <v>559</v>
      </c>
      <c r="C47" s="73">
        <v>0</v>
      </c>
      <c r="D47" s="73">
        <v>0</v>
      </c>
      <c r="E47" s="73">
        <v>0</v>
      </c>
      <c r="F47" s="73">
        <v>0</v>
      </c>
      <c r="G47" s="665">
        <v>9700</v>
      </c>
      <c r="H47" s="73">
        <v>9700</v>
      </c>
      <c r="I47" s="73">
        <v>0</v>
      </c>
      <c r="J47" s="659">
        <f t="shared" si="2"/>
        <v>0</v>
      </c>
      <c r="K47" s="27"/>
    </row>
    <row r="48" spans="1:13" x14ac:dyDescent="0.25">
      <c r="A48" s="71">
        <v>312</v>
      </c>
      <c r="B48" s="111" t="s">
        <v>564</v>
      </c>
      <c r="C48" s="73">
        <v>0</v>
      </c>
      <c r="D48" s="73">
        <v>0</v>
      </c>
      <c r="E48" s="73">
        <v>0</v>
      </c>
      <c r="F48" s="73">
        <v>0</v>
      </c>
      <c r="G48" s="665">
        <v>1720</v>
      </c>
      <c r="H48" s="73">
        <v>1720</v>
      </c>
      <c r="I48" s="73">
        <v>0</v>
      </c>
      <c r="J48" s="659">
        <f t="shared" ref="J48" si="11">I48/H48</f>
        <v>0</v>
      </c>
      <c r="K48" s="27"/>
    </row>
    <row r="49" spans="1:15" ht="15.75" thickBot="1" x14ac:dyDescent="0.3">
      <c r="A49" s="74">
        <v>312</v>
      </c>
      <c r="B49" s="81" t="s">
        <v>43</v>
      </c>
      <c r="C49" s="75">
        <v>50</v>
      </c>
      <c r="D49" s="75">
        <v>50</v>
      </c>
      <c r="E49" s="75">
        <v>50</v>
      </c>
      <c r="F49" s="75">
        <v>50</v>
      </c>
      <c r="G49" s="75">
        <v>50</v>
      </c>
      <c r="H49" s="75">
        <v>50</v>
      </c>
      <c r="I49" s="75">
        <v>43</v>
      </c>
      <c r="J49" s="659">
        <f t="shared" si="2"/>
        <v>0.86</v>
      </c>
      <c r="K49" s="1"/>
    </row>
    <row r="50" spans="1:15" ht="15.75" thickBot="1" x14ac:dyDescent="0.3">
      <c r="A50" s="242">
        <v>312</v>
      </c>
      <c r="B50" s="254" t="s">
        <v>318</v>
      </c>
      <c r="C50" s="243">
        <v>5000</v>
      </c>
      <c r="D50" s="243">
        <v>5000</v>
      </c>
      <c r="E50" s="243">
        <v>5000</v>
      </c>
      <c r="F50" s="243">
        <v>5000</v>
      </c>
      <c r="G50" s="243">
        <v>5000</v>
      </c>
      <c r="H50" s="243">
        <v>5000</v>
      </c>
      <c r="I50" s="243">
        <v>0</v>
      </c>
      <c r="J50" s="659">
        <f t="shared" si="2"/>
        <v>0</v>
      </c>
      <c r="K50" s="27"/>
    </row>
    <row r="51" spans="1:15" x14ac:dyDescent="0.25">
      <c r="A51" s="71">
        <v>312</v>
      </c>
      <c r="B51" s="84" t="s">
        <v>44</v>
      </c>
      <c r="C51" s="16">
        <v>21500</v>
      </c>
      <c r="D51" s="16">
        <v>21500</v>
      </c>
      <c r="E51" s="16">
        <v>21500</v>
      </c>
      <c r="F51" s="16">
        <v>21500</v>
      </c>
      <c r="G51" s="16">
        <v>21500</v>
      </c>
      <c r="H51" s="16">
        <v>21500</v>
      </c>
      <c r="I51" s="16">
        <v>2421</v>
      </c>
      <c r="J51" s="659">
        <f t="shared" si="2"/>
        <v>0.1126046511627907</v>
      </c>
      <c r="K51" s="1"/>
    </row>
    <row r="52" spans="1:15" ht="15.75" thickBot="1" x14ac:dyDescent="0.3">
      <c r="A52" s="77">
        <v>312</v>
      </c>
      <c r="B52" s="135" t="s">
        <v>46</v>
      </c>
      <c r="C52" s="79">
        <f>3350+5600</f>
        <v>8950</v>
      </c>
      <c r="D52" s="607">
        <f>3350+5600+90</f>
        <v>9040</v>
      </c>
      <c r="E52" s="79">
        <f>3350+5600+90</f>
        <v>9040</v>
      </c>
      <c r="F52" s="79">
        <f t="shared" ref="F52:H52" si="12">3350+5600+90</f>
        <v>9040</v>
      </c>
      <c r="G52" s="79">
        <f t="shared" si="12"/>
        <v>9040</v>
      </c>
      <c r="H52" s="79">
        <f t="shared" si="12"/>
        <v>9040</v>
      </c>
      <c r="I52" s="79">
        <v>1400</v>
      </c>
      <c r="J52" s="659">
        <f t="shared" si="2"/>
        <v>0.15486725663716813</v>
      </c>
      <c r="K52" s="1"/>
    </row>
    <row r="53" spans="1:15" x14ac:dyDescent="0.25">
      <c r="A53" s="71">
        <v>312</v>
      </c>
      <c r="B53" s="84" t="s">
        <v>190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659">
        <v>0</v>
      </c>
      <c r="K53" s="1"/>
    </row>
    <row r="54" spans="1:15" ht="15.75" thickBot="1" x14ac:dyDescent="0.3">
      <c r="A54" s="74">
        <v>312</v>
      </c>
      <c r="B54" s="81" t="s">
        <v>48</v>
      </c>
      <c r="C54" s="75">
        <v>0</v>
      </c>
      <c r="D54" s="75">
        <v>0</v>
      </c>
      <c r="E54" s="75">
        <v>0</v>
      </c>
      <c r="F54" s="75">
        <v>4000</v>
      </c>
      <c r="G54" s="75">
        <v>4000</v>
      </c>
      <c r="H54" s="75">
        <v>4000</v>
      </c>
      <c r="I54" s="75">
        <v>3000</v>
      </c>
      <c r="J54" s="659">
        <f t="shared" si="2"/>
        <v>0.75</v>
      </c>
      <c r="K54" s="1"/>
    </row>
    <row r="55" spans="1:15" x14ac:dyDescent="0.25">
      <c r="A55" s="71">
        <v>312</v>
      </c>
      <c r="B55" s="245" t="s">
        <v>49</v>
      </c>
      <c r="C55" s="82">
        <v>5310</v>
      </c>
      <c r="D55" s="608">
        <f>5310+400</f>
        <v>5710</v>
      </c>
      <c r="E55" s="82">
        <f>5310+400</f>
        <v>5710</v>
      </c>
      <c r="F55" s="82">
        <f t="shared" ref="F55:H55" si="13">5310+400</f>
        <v>5710</v>
      </c>
      <c r="G55" s="82">
        <f t="shared" si="13"/>
        <v>5710</v>
      </c>
      <c r="H55" s="82">
        <f t="shared" si="13"/>
        <v>5710</v>
      </c>
      <c r="I55" s="82">
        <v>5569</v>
      </c>
      <c r="J55" s="659">
        <f t="shared" si="2"/>
        <v>0.97530647985989494</v>
      </c>
      <c r="K55" s="27"/>
      <c r="L55" s="27"/>
      <c r="M55" s="27"/>
    </row>
    <row r="56" spans="1:15" x14ac:dyDescent="0.25">
      <c r="A56" s="83">
        <v>312</v>
      </c>
      <c r="B56" s="255" t="s">
        <v>50</v>
      </c>
      <c r="C56" s="21">
        <v>4250</v>
      </c>
      <c r="D56" s="602">
        <f>4250+210</f>
        <v>4460</v>
      </c>
      <c r="E56" s="21">
        <f>4250+210</f>
        <v>4460</v>
      </c>
      <c r="F56" s="21">
        <f t="shared" ref="F56:H56" si="14">4250+210</f>
        <v>4460</v>
      </c>
      <c r="G56" s="21">
        <f t="shared" si="14"/>
        <v>4460</v>
      </c>
      <c r="H56" s="21">
        <f t="shared" si="14"/>
        <v>4460</v>
      </c>
      <c r="I56" s="21">
        <v>0</v>
      </c>
      <c r="J56" s="659">
        <f t="shared" si="2"/>
        <v>0</v>
      </c>
      <c r="K56" s="27"/>
      <c r="L56" s="27"/>
      <c r="M56" s="27"/>
    </row>
    <row r="57" spans="1:15" x14ac:dyDescent="0.25">
      <c r="A57" s="83">
        <v>312</v>
      </c>
      <c r="B57" s="256" t="s">
        <v>457</v>
      </c>
      <c r="C57" s="33">
        <v>13200</v>
      </c>
      <c r="D57" s="609">
        <f>13200+7573</f>
        <v>20773</v>
      </c>
      <c r="E57" s="33">
        <f>13200+7573</f>
        <v>20773</v>
      </c>
      <c r="F57" s="33">
        <f t="shared" ref="F57:H57" si="15">13200+7573</f>
        <v>20773</v>
      </c>
      <c r="G57" s="33">
        <f t="shared" si="15"/>
        <v>20773</v>
      </c>
      <c r="H57" s="33">
        <f t="shared" si="15"/>
        <v>20773</v>
      </c>
      <c r="I57" s="33">
        <v>13849</v>
      </c>
      <c r="J57" s="659">
        <f t="shared" si="2"/>
        <v>0.66668271313724548</v>
      </c>
      <c r="K57" s="27"/>
      <c r="L57" s="27"/>
      <c r="M57" s="27"/>
    </row>
    <row r="58" spans="1:15" x14ac:dyDescent="0.25">
      <c r="A58" s="71">
        <v>312</v>
      </c>
      <c r="B58" s="111" t="s">
        <v>459</v>
      </c>
      <c r="C58" s="16">
        <v>90000</v>
      </c>
      <c r="D58" s="16">
        <v>90000</v>
      </c>
      <c r="E58" s="16">
        <v>90000</v>
      </c>
      <c r="F58" s="16">
        <v>90000</v>
      </c>
      <c r="G58" s="16">
        <v>90000</v>
      </c>
      <c r="H58" s="16">
        <v>90000</v>
      </c>
      <c r="I58" s="16">
        <v>0</v>
      </c>
      <c r="J58" s="659">
        <f t="shared" si="2"/>
        <v>0</v>
      </c>
      <c r="K58" s="27"/>
    </row>
    <row r="59" spans="1:15" x14ac:dyDescent="0.25">
      <c r="A59" s="83">
        <v>312</v>
      </c>
      <c r="B59" s="111" t="s">
        <v>51</v>
      </c>
      <c r="C59" s="21">
        <v>55400</v>
      </c>
      <c r="D59" s="21">
        <v>55400</v>
      </c>
      <c r="E59" s="21">
        <v>55400</v>
      </c>
      <c r="F59" s="21">
        <v>55400</v>
      </c>
      <c r="G59" s="21">
        <v>55400</v>
      </c>
      <c r="H59" s="21">
        <v>55400</v>
      </c>
      <c r="I59" s="21">
        <v>13897</v>
      </c>
      <c r="J59" s="659">
        <f t="shared" si="2"/>
        <v>0.25084837545126354</v>
      </c>
      <c r="K59" s="27"/>
    </row>
    <row r="60" spans="1:15" ht="15.75" thickBot="1" x14ac:dyDescent="0.3">
      <c r="A60" s="74">
        <v>312</v>
      </c>
      <c r="B60" s="81" t="s">
        <v>308</v>
      </c>
      <c r="C60" s="79">
        <v>10600</v>
      </c>
      <c r="D60" s="79">
        <v>10600</v>
      </c>
      <c r="E60" s="79">
        <v>10600</v>
      </c>
      <c r="F60" s="79">
        <v>10600</v>
      </c>
      <c r="G60" s="79">
        <v>10600</v>
      </c>
      <c r="H60" s="79">
        <v>10600</v>
      </c>
      <c r="I60" s="79">
        <v>4116</v>
      </c>
      <c r="J60" s="659">
        <f t="shared" si="2"/>
        <v>0.38830188679245281</v>
      </c>
      <c r="K60" s="27"/>
      <c r="L60" s="27"/>
      <c r="M60" s="27"/>
    </row>
    <row r="61" spans="1:15" x14ac:dyDescent="0.25">
      <c r="A61" s="71">
        <v>315</v>
      </c>
      <c r="B61" s="76" t="s">
        <v>47</v>
      </c>
      <c r="C61" s="16">
        <v>3000</v>
      </c>
      <c r="D61" s="16">
        <v>3000</v>
      </c>
      <c r="E61" s="16">
        <v>3000</v>
      </c>
      <c r="F61" s="16">
        <v>3000</v>
      </c>
      <c r="G61" s="16">
        <v>3000</v>
      </c>
      <c r="H61" s="16">
        <v>3000</v>
      </c>
      <c r="I61" s="16">
        <v>0</v>
      </c>
      <c r="J61" s="659">
        <f t="shared" si="2"/>
        <v>0</v>
      </c>
      <c r="K61" s="1"/>
    </row>
    <row r="62" spans="1:15" ht="15.75" thickBot="1" x14ac:dyDescent="0.3">
      <c r="A62" s="77">
        <v>315</v>
      </c>
      <c r="B62" s="78" t="s">
        <v>227</v>
      </c>
      <c r="C62" s="79">
        <v>300</v>
      </c>
      <c r="D62" s="79">
        <v>300</v>
      </c>
      <c r="E62" s="79">
        <v>300</v>
      </c>
      <c r="F62" s="79">
        <v>300</v>
      </c>
      <c r="G62" s="79">
        <v>300</v>
      </c>
      <c r="H62" s="79">
        <v>300</v>
      </c>
      <c r="I62" s="79">
        <v>100</v>
      </c>
      <c r="J62" s="659">
        <f t="shared" si="2"/>
        <v>0.33333333333333331</v>
      </c>
      <c r="K62" s="1"/>
    </row>
    <row r="63" spans="1:15" x14ac:dyDescent="0.25">
      <c r="A63" s="451">
        <v>312</v>
      </c>
      <c r="B63" s="452" t="s">
        <v>327</v>
      </c>
      <c r="C63" s="457">
        <f>16381+2891</f>
        <v>19272</v>
      </c>
      <c r="D63" s="457">
        <f t="shared" ref="D63:H63" si="16">16381+2891</f>
        <v>19272</v>
      </c>
      <c r="E63" s="457">
        <f t="shared" si="16"/>
        <v>19272</v>
      </c>
      <c r="F63" s="457">
        <f t="shared" si="16"/>
        <v>19272</v>
      </c>
      <c r="G63" s="457">
        <f t="shared" si="16"/>
        <v>19272</v>
      </c>
      <c r="H63" s="457">
        <f t="shared" si="16"/>
        <v>19272</v>
      </c>
      <c r="I63" s="457">
        <v>3224</v>
      </c>
      <c r="J63" s="659">
        <f t="shared" si="2"/>
        <v>0.16728933167289331</v>
      </c>
      <c r="K63" s="1"/>
    </row>
    <row r="64" spans="1:15" ht="15.75" thickBot="1" x14ac:dyDescent="0.3">
      <c r="A64" s="458">
        <v>312</v>
      </c>
      <c r="B64" s="459" t="s">
        <v>460</v>
      </c>
      <c r="C64" s="463">
        <v>634810</v>
      </c>
      <c r="D64" s="610">
        <f>634810+46733</f>
        <v>681543</v>
      </c>
      <c r="E64" s="463">
        <f>634810+46733</f>
        <v>681543</v>
      </c>
      <c r="F64" s="463">
        <f>634810+46733</f>
        <v>681543</v>
      </c>
      <c r="G64" s="463">
        <f>634810+46733</f>
        <v>681543</v>
      </c>
      <c r="H64" s="610">
        <f>634810+46733-346+2778</f>
        <v>683975</v>
      </c>
      <c r="I64" s="463">
        <v>190875</v>
      </c>
      <c r="J64" s="659">
        <f t="shared" si="2"/>
        <v>0.27906721736905588</v>
      </c>
      <c r="K64" s="27">
        <f>SUM(H42:H60)+H63+H64</f>
        <v>1076560</v>
      </c>
      <c r="L64" s="27">
        <f>SUM(I42:I60)+I63+I64</f>
        <v>304451</v>
      </c>
      <c r="M64" s="27"/>
      <c r="N64" s="27"/>
      <c r="O64" s="27"/>
    </row>
    <row r="65" spans="1:17" ht="21" customHeight="1" thickBot="1" x14ac:dyDescent="0.3">
      <c r="A65" s="85" t="s">
        <v>53</v>
      </c>
      <c r="B65" s="257"/>
      <c r="C65" s="270">
        <f>SUM(C3+C11+C32+C34+C40)</f>
        <v>2758503</v>
      </c>
      <c r="D65" s="270">
        <f>SUM(D3+D11+D32+D34+D40)</f>
        <v>2816304</v>
      </c>
      <c r="E65" s="270">
        <f>SUM(E3+E11+E32+E34+E40)</f>
        <v>2824004</v>
      </c>
      <c r="F65" s="270">
        <f t="shared" ref="F65:I65" si="17">SUM(F3+F11+F32+F34+F40)</f>
        <v>2876104</v>
      </c>
      <c r="G65" s="270">
        <f t="shared" si="17"/>
        <v>2887524</v>
      </c>
      <c r="H65" s="270">
        <f t="shared" si="17"/>
        <v>2890656</v>
      </c>
      <c r="I65" s="270">
        <f t="shared" si="17"/>
        <v>809910</v>
      </c>
      <c r="J65" s="659">
        <f t="shared" si="2"/>
        <v>0.28018207631762476</v>
      </c>
      <c r="K65" s="1"/>
      <c r="L65" s="310">
        <f>D65-C65</f>
        <v>57801</v>
      </c>
      <c r="M65" s="310">
        <f>E65-D65</f>
        <v>7700</v>
      </c>
      <c r="N65" s="310">
        <f>F65-E65</f>
        <v>52100</v>
      </c>
      <c r="O65" s="310">
        <f t="shared" ref="O65:P65" si="18">G65-F65</f>
        <v>11420</v>
      </c>
      <c r="P65" s="310">
        <f t="shared" si="18"/>
        <v>3132</v>
      </c>
    </row>
    <row r="66" spans="1:17" x14ac:dyDescent="0.25">
      <c r="A66" s="87" t="s">
        <v>54</v>
      </c>
      <c r="B66" s="88" t="s">
        <v>55</v>
      </c>
      <c r="C66" s="89">
        <v>1550</v>
      </c>
      <c r="D66" s="89">
        <v>1550</v>
      </c>
      <c r="E66" s="89">
        <v>1550</v>
      </c>
      <c r="F66" s="89">
        <v>1550</v>
      </c>
      <c r="G66" s="89">
        <v>1550</v>
      </c>
      <c r="H66" s="89">
        <v>1550</v>
      </c>
      <c r="I66" s="89">
        <v>0</v>
      </c>
      <c r="J66" s="659">
        <f t="shared" si="2"/>
        <v>0</v>
      </c>
      <c r="K66" s="1"/>
      <c r="L66" s="310"/>
      <c r="M66" s="310"/>
      <c r="N66" s="310"/>
      <c r="O66" s="310"/>
      <c r="P66" s="310"/>
    </row>
    <row r="67" spans="1:17" ht="15.75" thickBot="1" x14ac:dyDescent="0.3">
      <c r="A67" s="90" t="s">
        <v>54</v>
      </c>
      <c r="B67" s="88" t="s">
        <v>56</v>
      </c>
      <c r="C67" s="91">
        <v>3600</v>
      </c>
      <c r="D67" s="91">
        <v>3600</v>
      </c>
      <c r="E67" s="91">
        <v>3600</v>
      </c>
      <c r="F67" s="91">
        <v>3600</v>
      </c>
      <c r="G67" s="91">
        <v>3600</v>
      </c>
      <c r="H67" s="91">
        <v>3600</v>
      </c>
      <c r="I67" s="91">
        <v>707</v>
      </c>
      <c r="J67" s="659">
        <f t="shared" si="2"/>
        <v>0.19638888888888889</v>
      </c>
      <c r="K67" s="1"/>
      <c r="L67" s="310"/>
      <c r="M67" s="310"/>
      <c r="N67" s="310"/>
      <c r="O67" s="310"/>
      <c r="P67" s="310"/>
    </row>
    <row r="68" spans="1:17" ht="15.75" thickBot="1" x14ac:dyDescent="0.3">
      <c r="A68" s="673" t="s">
        <v>58</v>
      </c>
      <c r="B68" s="674"/>
      <c r="C68" s="95">
        <f>SUM(C66:C67)</f>
        <v>5150</v>
      </c>
      <c r="D68" s="95">
        <f>SUM(D66:D67)</f>
        <v>5150</v>
      </c>
      <c r="E68" s="95">
        <f>SUM(E66:E67)</f>
        <v>5150</v>
      </c>
      <c r="F68" s="95">
        <f t="shared" ref="F68:I68" si="19">SUM(F66:F67)</f>
        <v>5150</v>
      </c>
      <c r="G68" s="95">
        <f t="shared" si="19"/>
        <v>5150</v>
      </c>
      <c r="H68" s="95">
        <f t="shared" si="19"/>
        <v>5150</v>
      </c>
      <c r="I68" s="95">
        <f t="shared" si="19"/>
        <v>707</v>
      </c>
      <c r="J68" s="659">
        <f t="shared" si="2"/>
        <v>0.13728155339805825</v>
      </c>
      <c r="K68" s="1"/>
      <c r="L68" s="310">
        <f>D68-C68</f>
        <v>0</v>
      </c>
      <c r="M68" s="310">
        <f>E68-D68</f>
        <v>0</v>
      </c>
      <c r="N68" s="310">
        <f>F68-E68</f>
        <v>0</v>
      </c>
      <c r="O68" s="310">
        <f t="shared" ref="O68:P68" si="20">G68-F68</f>
        <v>0</v>
      </c>
      <c r="P68" s="310">
        <f t="shared" si="20"/>
        <v>0</v>
      </c>
    </row>
    <row r="69" spans="1:17" ht="16.5" thickBot="1" x14ac:dyDescent="0.3">
      <c r="A69" s="96" t="s">
        <v>54</v>
      </c>
      <c r="B69" s="97" t="s">
        <v>59</v>
      </c>
      <c r="C69" s="309">
        <v>12350</v>
      </c>
      <c r="D69" s="309">
        <v>12350</v>
      </c>
      <c r="E69" s="309">
        <v>12350</v>
      </c>
      <c r="F69" s="309">
        <v>12350</v>
      </c>
      <c r="G69" s="309">
        <v>12350</v>
      </c>
      <c r="H69" s="309">
        <v>12350</v>
      </c>
      <c r="I69" s="309">
        <v>5585</v>
      </c>
      <c r="J69" s="659">
        <f t="shared" ref="J69:J132" si="21">I69/H69</f>
        <v>0.45222672064777331</v>
      </c>
      <c r="K69" s="103"/>
      <c r="L69" s="310"/>
      <c r="M69" s="310"/>
      <c r="N69" s="310"/>
      <c r="O69" s="310"/>
      <c r="P69" s="310"/>
    </row>
    <row r="70" spans="1:17" ht="15.75" thickBot="1" x14ac:dyDescent="0.3">
      <c r="A70" s="673" t="s">
        <v>204</v>
      </c>
      <c r="B70" s="674"/>
      <c r="C70" s="305">
        <f>SUM(C69:C69)</f>
        <v>12350</v>
      </c>
      <c r="D70" s="305">
        <f>SUM(D69:D69)</f>
        <v>12350</v>
      </c>
      <c r="E70" s="305">
        <f>SUM(E69:E69)</f>
        <v>12350</v>
      </c>
      <c r="F70" s="305">
        <f t="shared" ref="F70:I70" si="22">SUM(F69:F69)</f>
        <v>12350</v>
      </c>
      <c r="G70" s="305">
        <f t="shared" si="22"/>
        <v>12350</v>
      </c>
      <c r="H70" s="305">
        <f t="shared" si="22"/>
        <v>12350</v>
      </c>
      <c r="I70" s="305">
        <f t="shared" si="22"/>
        <v>5585</v>
      </c>
      <c r="J70" s="659">
        <f t="shared" si="21"/>
        <v>0.45222672064777331</v>
      </c>
      <c r="K70" s="1"/>
      <c r="L70" s="310">
        <f t="shared" ref="L70:N72" si="23">D70-C70</f>
        <v>0</v>
      </c>
      <c r="M70" s="310">
        <f t="shared" si="23"/>
        <v>0</v>
      </c>
      <c r="N70" s="310">
        <f t="shared" si="23"/>
        <v>0</v>
      </c>
      <c r="O70" s="310">
        <f t="shared" ref="O70:P72" si="24">G70-F70</f>
        <v>0</v>
      </c>
      <c r="P70" s="310">
        <f t="shared" si="24"/>
        <v>0</v>
      </c>
    </row>
    <row r="71" spans="1:17" ht="19.5" customHeight="1" thickBot="1" x14ac:dyDescent="0.3">
      <c r="A71" s="683" t="s">
        <v>60</v>
      </c>
      <c r="B71" s="684"/>
      <c r="C71" s="99">
        <f>C68+C70</f>
        <v>17500</v>
      </c>
      <c r="D71" s="99">
        <f>D68+D70</f>
        <v>17500</v>
      </c>
      <c r="E71" s="99">
        <f>E68+E70</f>
        <v>17500</v>
      </c>
      <c r="F71" s="99">
        <f t="shared" ref="F71:I71" si="25">F68+F70</f>
        <v>17500</v>
      </c>
      <c r="G71" s="99">
        <f t="shared" si="25"/>
        <v>17500</v>
      </c>
      <c r="H71" s="99">
        <f t="shared" si="25"/>
        <v>17500</v>
      </c>
      <c r="I71" s="99">
        <f t="shared" si="25"/>
        <v>6292</v>
      </c>
      <c r="J71" s="659">
        <f t="shared" si="21"/>
        <v>0.35954285714285716</v>
      </c>
      <c r="K71" s="1"/>
      <c r="L71" s="310">
        <f t="shared" si="23"/>
        <v>0</v>
      </c>
      <c r="M71" s="310">
        <f t="shared" si="23"/>
        <v>0</v>
      </c>
      <c r="N71" s="310">
        <f t="shared" si="23"/>
        <v>0</v>
      </c>
      <c r="O71" s="310">
        <f t="shared" si="24"/>
        <v>0</v>
      </c>
      <c r="P71" s="310">
        <f t="shared" si="24"/>
        <v>0</v>
      </c>
    </row>
    <row r="72" spans="1:17" ht="30.75" customHeight="1" thickBot="1" x14ac:dyDescent="0.3">
      <c r="A72" s="85" t="s">
        <v>61</v>
      </c>
      <c r="B72" s="66"/>
      <c r="C72" s="86">
        <f>C65+C71</f>
        <v>2776003</v>
      </c>
      <c r="D72" s="86">
        <f>D65+D71</f>
        <v>2833804</v>
      </c>
      <c r="E72" s="86">
        <f>E65+E71</f>
        <v>2841504</v>
      </c>
      <c r="F72" s="86">
        <f t="shared" ref="F72:I72" si="26">F65+F71</f>
        <v>2893604</v>
      </c>
      <c r="G72" s="86">
        <f t="shared" si="26"/>
        <v>2905024</v>
      </c>
      <c r="H72" s="86">
        <f t="shared" si="26"/>
        <v>2908156</v>
      </c>
      <c r="I72" s="86">
        <f t="shared" si="26"/>
        <v>816202</v>
      </c>
      <c r="J72" s="659">
        <f t="shared" si="21"/>
        <v>0.28065963449003423</v>
      </c>
      <c r="K72" s="1"/>
      <c r="L72" s="310">
        <f t="shared" si="23"/>
        <v>57801</v>
      </c>
      <c r="M72" s="310">
        <f t="shared" si="23"/>
        <v>7700</v>
      </c>
      <c r="N72" s="310">
        <f t="shared" si="23"/>
        <v>52100</v>
      </c>
      <c r="O72" s="310">
        <f t="shared" si="24"/>
        <v>11420</v>
      </c>
      <c r="P72" s="310">
        <f t="shared" si="24"/>
        <v>3132</v>
      </c>
      <c r="Q72" s="310">
        <f>SUM(O72:P72)</f>
        <v>14552</v>
      </c>
    </row>
    <row r="73" spans="1:17" x14ac:dyDescent="0.25">
      <c r="A73" s="1"/>
      <c r="B73" s="1"/>
      <c r="C73" s="100"/>
      <c r="D73" s="100"/>
      <c r="E73" s="100"/>
      <c r="F73" s="100"/>
      <c r="G73" s="100"/>
      <c r="H73" s="100"/>
      <c r="I73" s="100"/>
      <c r="J73" s="659"/>
      <c r="K73" s="1"/>
    </row>
    <row r="74" spans="1:17" ht="15.75" x14ac:dyDescent="0.25">
      <c r="A74" s="101"/>
      <c r="B74" s="102"/>
      <c r="C74" s="103"/>
      <c r="D74" s="103"/>
      <c r="E74" s="103"/>
      <c r="F74" s="103"/>
      <c r="G74" s="103"/>
      <c r="H74" s="103"/>
      <c r="I74" s="103"/>
      <c r="J74" s="659"/>
      <c r="K74" s="1"/>
    </row>
    <row r="75" spans="1:17" ht="18.75" thickBot="1" x14ac:dyDescent="0.3">
      <c r="A75" s="685" t="s">
        <v>62</v>
      </c>
      <c r="B75" s="686"/>
      <c r="C75" s="686"/>
      <c r="D75" s="686"/>
      <c r="E75" s="686"/>
      <c r="F75" s="652"/>
      <c r="G75" s="652"/>
      <c r="H75" s="652"/>
      <c r="I75" s="652"/>
      <c r="J75" s="659"/>
      <c r="K75" s="1"/>
    </row>
    <row r="76" spans="1:17" ht="36" customHeight="1" thickBot="1" x14ac:dyDescent="0.3">
      <c r="A76" s="687" t="s">
        <v>1</v>
      </c>
      <c r="B76" s="688"/>
      <c r="C76" s="289" t="s">
        <v>455</v>
      </c>
      <c r="D76" s="289" t="s">
        <v>454</v>
      </c>
      <c r="E76" s="289" t="s">
        <v>372</v>
      </c>
      <c r="F76" s="289" t="s">
        <v>516</v>
      </c>
      <c r="G76" s="289" t="s">
        <v>532</v>
      </c>
      <c r="H76" s="289" t="s">
        <v>517</v>
      </c>
      <c r="I76" s="289" t="s">
        <v>569</v>
      </c>
      <c r="J76" s="659"/>
      <c r="K76" s="1"/>
    </row>
    <row r="77" spans="1:17" ht="15.75" thickBot="1" x14ac:dyDescent="0.3">
      <c r="A77" s="104" t="s">
        <v>63</v>
      </c>
      <c r="B77" s="105"/>
      <c r="C77" s="107">
        <f t="shared" ref="C77:I77" si="27">SUM(C78:C82)</f>
        <v>331300</v>
      </c>
      <c r="D77" s="107">
        <f t="shared" si="27"/>
        <v>331700</v>
      </c>
      <c r="E77" s="107">
        <f t="shared" si="27"/>
        <v>332700</v>
      </c>
      <c r="F77" s="107">
        <f t="shared" si="27"/>
        <v>332700</v>
      </c>
      <c r="G77" s="107">
        <f t="shared" si="27"/>
        <v>332700</v>
      </c>
      <c r="H77" s="107">
        <f t="shared" si="27"/>
        <v>332700</v>
      </c>
      <c r="I77" s="107">
        <f t="shared" si="27"/>
        <v>63073</v>
      </c>
      <c r="J77" s="659">
        <f t="shared" si="21"/>
        <v>0.18957920048091373</v>
      </c>
      <c r="K77" s="1"/>
    </row>
    <row r="78" spans="1:17" x14ac:dyDescent="0.25">
      <c r="A78" s="108" t="s">
        <v>64</v>
      </c>
      <c r="B78" s="84" t="s">
        <v>65</v>
      </c>
      <c r="C78" s="56">
        <v>171530</v>
      </c>
      <c r="D78" s="56">
        <v>171530</v>
      </c>
      <c r="E78" s="56">
        <v>171530</v>
      </c>
      <c r="F78" s="56">
        <v>171530</v>
      </c>
      <c r="G78" s="56">
        <v>171530</v>
      </c>
      <c r="H78" s="56">
        <v>171530</v>
      </c>
      <c r="I78" s="56">
        <v>19787</v>
      </c>
      <c r="J78" s="659">
        <f t="shared" si="21"/>
        <v>0.1153559144173031</v>
      </c>
      <c r="K78" s="1"/>
    </row>
    <row r="79" spans="1:17" x14ac:dyDescent="0.25">
      <c r="A79" s="110" t="s">
        <v>66</v>
      </c>
      <c r="B79" s="111" t="s">
        <v>67</v>
      </c>
      <c r="C79" s="61">
        <v>89970</v>
      </c>
      <c r="D79" s="61">
        <v>89970</v>
      </c>
      <c r="E79" s="603">
        <f>89970+1000</f>
        <v>90970</v>
      </c>
      <c r="F79" s="61">
        <f t="shared" ref="F79:H79" si="28">89970+1000</f>
        <v>90970</v>
      </c>
      <c r="G79" s="61">
        <f t="shared" si="28"/>
        <v>90970</v>
      </c>
      <c r="H79" s="61">
        <f t="shared" si="28"/>
        <v>90970</v>
      </c>
      <c r="I79" s="61">
        <v>27617</v>
      </c>
      <c r="J79" s="659">
        <f t="shared" si="21"/>
        <v>0.30358359898867759</v>
      </c>
      <c r="K79" s="1"/>
    </row>
    <row r="80" spans="1:17" x14ac:dyDescent="0.25">
      <c r="A80" s="110" t="s">
        <v>68</v>
      </c>
      <c r="B80" s="111" t="s">
        <v>69</v>
      </c>
      <c r="C80" s="61">
        <v>4200</v>
      </c>
      <c r="D80" s="61">
        <v>4200</v>
      </c>
      <c r="E80" s="61">
        <v>4200</v>
      </c>
      <c r="F80" s="61">
        <v>4200</v>
      </c>
      <c r="G80" s="61">
        <v>4200</v>
      </c>
      <c r="H80" s="61">
        <v>4200</v>
      </c>
      <c r="I80" s="61">
        <v>1864</v>
      </c>
      <c r="J80" s="659">
        <f t="shared" si="21"/>
        <v>0.44380952380952382</v>
      </c>
      <c r="K80" s="1"/>
    </row>
    <row r="81" spans="1:11" x14ac:dyDescent="0.25">
      <c r="A81" s="112" t="s">
        <v>70</v>
      </c>
      <c r="B81" s="111" t="s">
        <v>71</v>
      </c>
      <c r="C81" s="61">
        <v>55000</v>
      </c>
      <c r="D81" s="603">
        <f>55000+400</f>
        <v>55400</v>
      </c>
      <c r="E81" s="61">
        <f>55000+400</f>
        <v>55400</v>
      </c>
      <c r="F81" s="61">
        <f t="shared" ref="F81:H81" si="29">55000+400</f>
        <v>55400</v>
      </c>
      <c r="G81" s="61">
        <f t="shared" si="29"/>
        <v>55400</v>
      </c>
      <c r="H81" s="61">
        <f t="shared" si="29"/>
        <v>55400</v>
      </c>
      <c r="I81" s="61">
        <v>12078</v>
      </c>
      <c r="J81" s="659">
        <f t="shared" si="21"/>
        <v>0.218014440433213</v>
      </c>
      <c r="K81" s="1"/>
    </row>
    <row r="82" spans="1:11" ht="15.75" thickBot="1" x14ac:dyDescent="0.3">
      <c r="A82" s="113" t="s">
        <v>72</v>
      </c>
      <c r="B82" s="114" t="s">
        <v>189</v>
      </c>
      <c r="C82" s="115">
        <v>10600</v>
      </c>
      <c r="D82" s="115">
        <v>10600</v>
      </c>
      <c r="E82" s="115">
        <v>10600</v>
      </c>
      <c r="F82" s="115">
        <v>10600</v>
      </c>
      <c r="G82" s="115">
        <v>10600</v>
      </c>
      <c r="H82" s="115">
        <v>10600</v>
      </c>
      <c r="I82" s="115">
        <v>1727</v>
      </c>
      <c r="J82" s="659">
        <f t="shared" si="21"/>
        <v>0.16292452830188681</v>
      </c>
      <c r="K82" s="1"/>
    </row>
    <row r="83" spans="1:11" ht="15.75" thickBot="1" x14ac:dyDescent="0.3">
      <c r="A83" s="116" t="s">
        <v>73</v>
      </c>
      <c r="B83" s="117"/>
      <c r="C83" s="107">
        <f t="shared" ref="C83:I83" si="30">SUM(C84)</f>
        <v>5000</v>
      </c>
      <c r="D83" s="107">
        <f t="shared" si="30"/>
        <v>5015</v>
      </c>
      <c r="E83" s="107">
        <f t="shared" si="30"/>
        <v>5015</v>
      </c>
      <c r="F83" s="107">
        <f t="shared" si="30"/>
        <v>5015</v>
      </c>
      <c r="G83" s="107">
        <f t="shared" si="30"/>
        <v>5015</v>
      </c>
      <c r="H83" s="107">
        <f t="shared" si="30"/>
        <v>5015</v>
      </c>
      <c r="I83" s="107">
        <f t="shared" si="30"/>
        <v>236</v>
      </c>
      <c r="J83" s="659">
        <f t="shared" si="21"/>
        <v>4.7058823529411764E-2</v>
      </c>
      <c r="K83" s="1"/>
    </row>
    <row r="84" spans="1:11" ht="15.75" thickBot="1" x14ac:dyDescent="0.3">
      <c r="A84" s="118" t="s">
        <v>74</v>
      </c>
      <c r="B84" s="102" t="s">
        <v>205</v>
      </c>
      <c r="C84" s="119">
        <v>5000</v>
      </c>
      <c r="D84" s="611">
        <f>5000+15</f>
        <v>5015</v>
      </c>
      <c r="E84" s="119">
        <f>5000+15</f>
        <v>5015</v>
      </c>
      <c r="F84" s="119">
        <f t="shared" ref="F84:H84" si="31">5000+15</f>
        <v>5015</v>
      </c>
      <c r="G84" s="119">
        <f t="shared" si="31"/>
        <v>5015</v>
      </c>
      <c r="H84" s="119">
        <f t="shared" si="31"/>
        <v>5015</v>
      </c>
      <c r="I84" s="119">
        <v>236</v>
      </c>
      <c r="J84" s="659">
        <f t="shared" si="21"/>
        <v>4.7058823529411764E-2</v>
      </c>
      <c r="K84" s="1"/>
    </row>
    <row r="85" spans="1:11" ht="15.75" thickBot="1" x14ac:dyDescent="0.3">
      <c r="A85" s="116" t="s">
        <v>75</v>
      </c>
      <c r="B85" s="117"/>
      <c r="C85" s="107">
        <f t="shared" ref="C85:I85" si="32">SUM(C86:C87)</f>
        <v>24600</v>
      </c>
      <c r="D85" s="107">
        <f t="shared" si="32"/>
        <v>24600</v>
      </c>
      <c r="E85" s="107">
        <f t="shared" si="32"/>
        <v>30500</v>
      </c>
      <c r="F85" s="107">
        <f t="shared" si="32"/>
        <v>78200</v>
      </c>
      <c r="G85" s="107">
        <f t="shared" si="32"/>
        <v>78200</v>
      </c>
      <c r="H85" s="107">
        <f t="shared" si="32"/>
        <v>78200</v>
      </c>
      <c r="I85" s="107">
        <f t="shared" si="32"/>
        <v>1773</v>
      </c>
      <c r="J85" s="659">
        <f t="shared" si="21"/>
        <v>2.2672634271099744E-2</v>
      </c>
      <c r="K85" s="1"/>
    </row>
    <row r="86" spans="1:11" x14ac:dyDescent="0.25">
      <c r="A86" s="120" t="s">
        <v>76</v>
      </c>
      <c r="B86" s="121" t="s">
        <v>77</v>
      </c>
      <c r="C86" s="122">
        <v>21300</v>
      </c>
      <c r="D86" s="122">
        <v>21300</v>
      </c>
      <c r="E86" s="122">
        <v>21300</v>
      </c>
      <c r="F86" s="122">
        <v>21300</v>
      </c>
      <c r="G86" s="122">
        <v>21300</v>
      </c>
      <c r="H86" s="122">
        <v>21300</v>
      </c>
      <c r="I86" s="122">
        <v>1489</v>
      </c>
      <c r="J86" s="659">
        <f t="shared" si="21"/>
        <v>6.9906103286384982E-2</v>
      </c>
      <c r="K86" s="1"/>
    </row>
    <row r="87" spans="1:11" ht="15.75" thickBot="1" x14ac:dyDescent="0.3">
      <c r="A87" s="123" t="s">
        <v>78</v>
      </c>
      <c r="B87" s="124" t="s">
        <v>482</v>
      </c>
      <c r="C87" s="115">
        <v>3300</v>
      </c>
      <c r="D87" s="115">
        <f>3300</f>
        <v>3300</v>
      </c>
      <c r="E87" s="612">
        <f>3300+5900</f>
        <v>9200</v>
      </c>
      <c r="F87" s="612">
        <f>3300+5900+47700</f>
        <v>56900</v>
      </c>
      <c r="G87" s="115">
        <f t="shared" ref="G87:H87" si="33">3300+5900+47700</f>
        <v>56900</v>
      </c>
      <c r="H87" s="115">
        <f t="shared" si="33"/>
        <v>56900</v>
      </c>
      <c r="I87" s="115">
        <v>284</v>
      </c>
      <c r="J87" s="659">
        <f t="shared" si="21"/>
        <v>4.9912126537785591E-3</v>
      </c>
      <c r="K87" s="1"/>
    </row>
    <row r="88" spans="1:11" ht="15.75" thickBot="1" x14ac:dyDescent="0.3">
      <c r="A88" s="104" t="s">
        <v>79</v>
      </c>
      <c r="B88" s="125"/>
      <c r="C88" s="107">
        <f t="shared" ref="C88:I88" si="34">SUM(C89:C91)</f>
        <v>106840</v>
      </c>
      <c r="D88" s="107">
        <f t="shared" si="34"/>
        <v>107140</v>
      </c>
      <c r="E88" s="107">
        <f t="shared" si="34"/>
        <v>107140</v>
      </c>
      <c r="F88" s="107">
        <f t="shared" si="34"/>
        <v>107140</v>
      </c>
      <c r="G88" s="107">
        <f t="shared" si="34"/>
        <v>107300</v>
      </c>
      <c r="H88" s="107">
        <f t="shared" si="34"/>
        <v>107300</v>
      </c>
      <c r="I88" s="107">
        <f t="shared" si="34"/>
        <v>33464</v>
      </c>
      <c r="J88" s="659">
        <f t="shared" si="21"/>
        <v>0.31187325256290771</v>
      </c>
      <c r="K88" s="1"/>
    </row>
    <row r="89" spans="1:11" x14ac:dyDescent="0.25">
      <c r="A89" s="126" t="s">
        <v>80</v>
      </c>
      <c r="B89" s="127" t="s">
        <v>81</v>
      </c>
      <c r="C89" s="55">
        <v>45900</v>
      </c>
      <c r="D89" s="55">
        <v>45900</v>
      </c>
      <c r="E89" s="55">
        <v>45900</v>
      </c>
      <c r="F89" s="55">
        <v>45900</v>
      </c>
      <c r="G89" s="55">
        <v>45900</v>
      </c>
      <c r="H89" s="55">
        <v>45900</v>
      </c>
      <c r="I89" s="55">
        <v>7126</v>
      </c>
      <c r="J89" s="659">
        <f t="shared" si="21"/>
        <v>0.15525054466230936</v>
      </c>
      <c r="K89" s="1"/>
    </row>
    <row r="90" spans="1:11" x14ac:dyDescent="0.25">
      <c r="A90" s="112" t="s">
        <v>82</v>
      </c>
      <c r="B90" s="111" t="s">
        <v>83</v>
      </c>
      <c r="C90" s="60">
        <v>37440</v>
      </c>
      <c r="D90" s="604">
        <f>37440+300</f>
        <v>37740</v>
      </c>
      <c r="E90" s="60">
        <f>37440+300</f>
        <v>37740</v>
      </c>
      <c r="F90" s="60">
        <f t="shared" ref="F90" si="35">37440+300</f>
        <v>37740</v>
      </c>
      <c r="G90" s="604">
        <f>37440+300+160</f>
        <v>37900</v>
      </c>
      <c r="H90" s="60">
        <f>37440+300+160</f>
        <v>37900</v>
      </c>
      <c r="I90" s="60">
        <v>9879</v>
      </c>
      <c r="J90" s="659">
        <f t="shared" si="21"/>
        <v>0.26065963060686015</v>
      </c>
      <c r="K90" s="1"/>
    </row>
    <row r="91" spans="1:11" ht="15.75" thickBot="1" x14ac:dyDescent="0.3">
      <c r="A91" s="112" t="s">
        <v>84</v>
      </c>
      <c r="B91" s="111" t="s">
        <v>85</v>
      </c>
      <c r="C91" s="60">
        <v>23500</v>
      </c>
      <c r="D91" s="60">
        <v>23500</v>
      </c>
      <c r="E91" s="60">
        <v>23500</v>
      </c>
      <c r="F91" s="60">
        <v>23500</v>
      </c>
      <c r="G91" s="60">
        <v>23500</v>
      </c>
      <c r="H91" s="60">
        <v>23500</v>
      </c>
      <c r="I91" s="60">
        <v>16459</v>
      </c>
      <c r="J91" s="659">
        <f t="shared" si="21"/>
        <v>0.70038297872340427</v>
      </c>
      <c r="K91" s="1"/>
    </row>
    <row r="92" spans="1:11" ht="15.75" thickBot="1" x14ac:dyDescent="0.3">
      <c r="A92" s="689" t="s">
        <v>86</v>
      </c>
      <c r="B92" s="690"/>
      <c r="C92" s="107">
        <f t="shared" ref="C92:I92" si="36">SUM(C93:C96)</f>
        <v>148890</v>
      </c>
      <c r="D92" s="107">
        <f t="shared" si="36"/>
        <v>148890</v>
      </c>
      <c r="E92" s="107">
        <f t="shared" si="36"/>
        <v>143890</v>
      </c>
      <c r="F92" s="107">
        <f t="shared" si="36"/>
        <v>143890</v>
      </c>
      <c r="G92" s="107">
        <f t="shared" si="36"/>
        <v>154430</v>
      </c>
      <c r="H92" s="107">
        <f t="shared" si="36"/>
        <v>153530</v>
      </c>
      <c r="I92" s="107">
        <f t="shared" si="36"/>
        <v>21788</v>
      </c>
      <c r="J92" s="659">
        <f t="shared" si="21"/>
        <v>0.14191363251481795</v>
      </c>
      <c r="K92" s="1"/>
    </row>
    <row r="93" spans="1:11" x14ac:dyDescent="0.25">
      <c r="A93" s="129" t="s">
        <v>87</v>
      </c>
      <c r="B93" s="130" t="s">
        <v>88</v>
      </c>
      <c r="C93" s="122">
        <v>84600</v>
      </c>
      <c r="D93" s="122">
        <v>84600</v>
      </c>
      <c r="E93" s="122">
        <v>84600</v>
      </c>
      <c r="F93" s="122">
        <v>84600</v>
      </c>
      <c r="G93" s="666">
        <f>84600+10540</f>
        <v>95140</v>
      </c>
      <c r="H93" s="666">
        <f>84600+10540-900</f>
        <v>94240</v>
      </c>
      <c r="I93" s="122">
        <v>14862</v>
      </c>
      <c r="J93" s="659">
        <f t="shared" si="21"/>
        <v>0.15770373514431241</v>
      </c>
      <c r="K93" s="1"/>
    </row>
    <row r="94" spans="1:11" x14ac:dyDescent="0.25">
      <c r="A94" s="112" t="s">
        <v>89</v>
      </c>
      <c r="B94" s="111" t="s">
        <v>90</v>
      </c>
      <c r="C94" s="128">
        <v>50000</v>
      </c>
      <c r="D94" s="128">
        <v>50000</v>
      </c>
      <c r="E94" s="617">
        <f>50000-5000</f>
        <v>45000</v>
      </c>
      <c r="F94" s="128">
        <f t="shared" ref="F94:H94" si="37">50000-5000</f>
        <v>45000</v>
      </c>
      <c r="G94" s="128">
        <f t="shared" si="37"/>
        <v>45000</v>
      </c>
      <c r="H94" s="128">
        <f t="shared" si="37"/>
        <v>45000</v>
      </c>
      <c r="I94" s="128">
        <v>6478</v>
      </c>
      <c r="J94" s="659">
        <f t="shared" si="21"/>
        <v>0.14395555555555556</v>
      </c>
      <c r="K94" s="1"/>
    </row>
    <row r="95" spans="1:11" x14ac:dyDescent="0.25">
      <c r="A95" s="118" t="s">
        <v>91</v>
      </c>
      <c r="B95" s="131" t="s">
        <v>92</v>
      </c>
      <c r="C95" s="133">
        <v>1800</v>
      </c>
      <c r="D95" s="133">
        <v>1800</v>
      </c>
      <c r="E95" s="133">
        <v>1800</v>
      </c>
      <c r="F95" s="133">
        <v>1800</v>
      </c>
      <c r="G95" s="133">
        <v>1800</v>
      </c>
      <c r="H95" s="133">
        <v>1800</v>
      </c>
      <c r="I95" s="133">
        <v>0</v>
      </c>
      <c r="J95" s="659">
        <f t="shared" si="21"/>
        <v>0</v>
      </c>
      <c r="K95" s="1"/>
    </row>
    <row r="96" spans="1:11" ht="15.75" thickBot="1" x14ac:dyDescent="0.3">
      <c r="A96" s="134" t="s">
        <v>93</v>
      </c>
      <c r="B96" s="135" t="s">
        <v>94</v>
      </c>
      <c r="C96" s="138">
        <v>12490</v>
      </c>
      <c r="D96" s="138">
        <v>12490</v>
      </c>
      <c r="E96" s="138">
        <v>12490</v>
      </c>
      <c r="F96" s="138">
        <v>12490</v>
      </c>
      <c r="G96" s="138">
        <v>12490</v>
      </c>
      <c r="H96" s="138">
        <v>12490</v>
      </c>
      <c r="I96" s="138">
        <v>448</v>
      </c>
      <c r="J96" s="659">
        <f t="shared" si="21"/>
        <v>3.5868694955964772E-2</v>
      </c>
      <c r="K96" s="1"/>
    </row>
    <row r="97" spans="1:13" ht="15.75" thickBot="1" x14ac:dyDescent="0.3">
      <c r="A97" s="104" t="s">
        <v>95</v>
      </c>
      <c r="B97" s="125"/>
      <c r="C97" s="106">
        <f t="shared" ref="C97:I97" si="38">SUM(C98:C100)</f>
        <v>222291</v>
      </c>
      <c r="D97" s="106">
        <f t="shared" si="38"/>
        <v>222291</v>
      </c>
      <c r="E97" s="106">
        <f t="shared" si="38"/>
        <v>223851</v>
      </c>
      <c r="F97" s="106">
        <f t="shared" si="38"/>
        <v>223851</v>
      </c>
      <c r="G97" s="106">
        <f t="shared" si="38"/>
        <v>223851</v>
      </c>
      <c r="H97" s="106">
        <f t="shared" si="38"/>
        <v>223851</v>
      </c>
      <c r="I97" s="106">
        <f t="shared" si="38"/>
        <v>41416</v>
      </c>
      <c r="J97" s="659">
        <f t="shared" si="21"/>
        <v>0.18501592577205372</v>
      </c>
      <c r="K97" s="1"/>
    </row>
    <row r="98" spans="1:13" x14ac:dyDescent="0.25">
      <c r="A98" s="126" t="s">
        <v>96</v>
      </c>
      <c r="B98" s="84" t="s">
        <v>97</v>
      </c>
      <c r="C98" s="109">
        <v>155451</v>
      </c>
      <c r="D98" s="109">
        <v>155451</v>
      </c>
      <c r="E98" s="618">
        <f>155451+360</f>
        <v>155811</v>
      </c>
      <c r="F98" s="109">
        <f>155451+360</f>
        <v>155811</v>
      </c>
      <c r="G98" s="109">
        <f t="shared" ref="G98:H98" si="39">155451+360</f>
        <v>155811</v>
      </c>
      <c r="H98" s="109">
        <f t="shared" si="39"/>
        <v>155811</v>
      </c>
      <c r="I98" s="109">
        <v>29927</v>
      </c>
      <c r="J98" s="659">
        <f t="shared" si="21"/>
        <v>0.19207244674637863</v>
      </c>
      <c r="K98" s="1"/>
    </row>
    <row r="99" spans="1:13" x14ac:dyDescent="0.25">
      <c r="A99" s="136" t="s">
        <v>98</v>
      </c>
      <c r="B99" s="111" t="s">
        <v>99</v>
      </c>
      <c r="C99" s="128">
        <v>49600</v>
      </c>
      <c r="D99" s="128">
        <v>49600</v>
      </c>
      <c r="E99" s="128">
        <v>49600</v>
      </c>
      <c r="F99" s="128">
        <v>49600</v>
      </c>
      <c r="G99" s="128">
        <v>49600</v>
      </c>
      <c r="H99" s="128">
        <v>49600</v>
      </c>
      <c r="I99" s="128">
        <v>6874</v>
      </c>
      <c r="J99" s="659">
        <f t="shared" si="21"/>
        <v>0.13858870967741935</v>
      </c>
      <c r="K99" s="1"/>
    </row>
    <row r="100" spans="1:13" ht="15.75" thickBot="1" x14ac:dyDescent="0.3">
      <c r="A100" s="137" t="s">
        <v>100</v>
      </c>
      <c r="B100" s="135" t="s">
        <v>101</v>
      </c>
      <c r="C100" s="138">
        <v>17240</v>
      </c>
      <c r="D100" s="138">
        <v>17240</v>
      </c>
      <c r="E100" s="619">
        <f>17240+1200</f>
        <v>18440</v>
      </c>
      <c r="F100" s="138">
        <f t="shared" ref="F100:H100" si="40">17240+1200</f>
        <v>18440</v>
      </c>
      <c r="G100" s="138">
        <f t="shared" si="40"/>
        <v>18440</v>
      </c>
      <c r="H100" s="138">
        <f t="shared" si="40"/>
        <v>18440</v>
      </c>
      <c r="I100" s="138">
        <v>4615</v>
      </c>
      <c r="J100" s="659">
        <f t="shared" si="21"/>
        <v>0.25027114967462039</v>
      </c>
      <c r="K100" s="1"/>
    </row>
    <row r="101" spans="1:13" ht="15.75" thickBot="1" x14ac:dyDescent="0.3">
      <c r="A101" s="139" t="s">
        <v>102</v>
      </c>
      <c r="B101" s="140"/>
      <c r="C101" s="141">
        <f>SUM(C102:C104)</f>
        <v>830</v>
      </c>
      <c r="D101" s="141">
        <f>SUM(D102:D104)</f>
        <v>830</v>
      </c>
      <c r="E101" s="141">
        <f>SUM(E102:E104)</f>
        <v>830</v>
      </c>
      <c r="F101" s="141">
        <f t="shared" ref="F101:I101" si="41">SUM(F102:F104)</f>
        <v>830</v>
      </c>
      <c r="G101" s="141">
        <f t="shared" si="41"/>
        <v>830</v>
      </c>
      <c r="H101" s="141">
        <f t="shared" si="41"/>
        <v>830</v>
      </c>
      <c r="I101" s="141">
        <f t="shared" si="41"/>
        <v>80</v>
      </c>
      <c r="J101" s="659">
        <f t="shared" si="21"/>
        <v>9.6385542168674704E-2</v>
      </c>
      <c r="K101" s="1"/>
    </row>
    <row r="102" spans="1:13" x14ac:dyDescent="0.25">
      <c r="A102" s="120" t="s">
        <v>103</v>
      </c>
      <c r="B102" s="130" t="s">
        <v>104</v>
      </c>
      <c r="C102" s="142">
        <v>100</v>
      </c>
      <c r="D102" s="142">
        <v>100</v>
      </c>
      <c r="E102" s="142">
        <v>100</v>
      </c>
      <c r="F102" s="142">
        <v>100</v>
      </c>
      <c r="G102" s="142">
        <v>100</v>
      </c>
      <c r="H102" s="142">
        <v>100</v>
      </c>
      <c r="I102" s="142">
        <v>0</v>
      </c>
      <c r="J102" s="659">
        <f t="shared" si="21"/>
        <v>0</v>
      </c>
      <c r="K102" s="1"/>
    </row>
    <row r="103" spans="1:13" x14ac:dyDescent="0.25">
      <c r="A103" s="136" t="s">
        <v>105</v>
      </c>
      <c r="B103" s="111" t="s">
        <v>106</v>
      </c>
      <c r="C103" s="144">
        <v>100</v>
      </c>
      <c r="D103" s="144">
        <v>100</v>
      </c>
      <c r="E103" s="144">
        <v>100</v>
      </c>
      <c r="F103" s="144">
        <v>100</v>
      </c>
      <c r="G103" s="144">
        <v>100</v>
      </c>
      <c r="H103" s="144">
        <v>100</v>
      </c>
      <c r="I103" s="144">
        <v>0</v>
      </c>
      <c r="J103" s="659">
        <f t="shared" si="21"/>
        <v>0</v>
      </c>
      <c r="K103" s="1"/>
    </row>
    <row r="104" spans="1:13" x14ac:dyDescent="0.25">
      <c r="A104" s="136" t="s">
        <v>107</v>
      </c>
      <c r="B104" s="111" t="s">
        <v>108</v>
      </c>
      <c r="C104" s="60">
        <v>630</v>
      </c>
      <c r="D104" s="60">
        <v>630</v>
      </c>
      <c r="E104" s="60">
        <v>630</v>
      </c>
      <c r="F104" s="60">
        <v>630</v>
      </c>
      <c r="G104" s="60">
        <v>630</v>
      </c>
      <c r="H104" s="60">
        <v>630</v>
      </c>
      <c r="I104" s="60">
        <v>80</v>
      </c>
      <c r="J104" s="659">
        <f t="shared" si="21"/>
        <v>0.12698412698412698</v>
      </c>
      <c r="K104" s="1"/>
    </row>
    <row r="105" spans="1:13" ht="15.75" thickBot="1" x14ac:dyDescent="0.3">
      <c r="A105" s="146" t="s">
        <v>109</v>
      </c>
      <c r="B105" s="147"/>
      <c r="C105" s="148">
        <f t="shared" ref="C105:I105" si="42">SUM(C106:C110)</f>
        <v>131400</v>
      </c>
      <c r="D105" s="148">
        <f t="shared" si="42"/>
        <v>131400</v>
      </c>
      <c r="E105" s="148">
        <f t="shared" si="42"/>
        <v>131600</v>
      </c>
      <c r="F105" s="148">
        <f t="shared" si="42"/>
        <v>135600</v>
      </c>
      <c r="G105" s="148">
        <f t="shared" si="42"/>
        <v>134600</v>
      </c>
      <c r="H105" s="148">
        <f t="shared" si="42"/>
        <v>134600</v>
      </c>
      <c r="I105" s="148">
        <f t="shared" si="42"/>
        <v>17475</v>
      </c>
      <c r="J105" s="659">
        <f t="shared" si="21"/>
        <v>0.1298291233283804</v>
      </c>
      <c r="K105" s="1"/>
    </row>
    <row r="106" spans="1:13" x14ac:dyDescent="0.25">
      <c r="A106" s="129" t="s">
        <v>110</v>
      </c>
      <c r="B106" s="130" t="s">
        <v>111</v>
      </c>
      <c r="C106" s="122">
        <v>46000</v>
      </c>
      <c r="D106" s="122">
        <v>46000</v>
      </c>
      <c r="E106" s="122">
        <v>46000</v>
      </c>
      <c r="F106" s="122">
        <v>46000</v>
      </c>
      <c r="G106" s="666">
        <f>46000-1000</f>
        <v>45000</v>
      </c>
      <c r="H106" s="122">
        <f>46000-1000</f>
        <v>45000</v>
      </c>
      <c r="I106" s="122">
        <v>7564</v>
      </c>
      <c r="J106" s="659">
        <f t="shared" si="21"/>
        <v>0.1680888888888889</v>
      </c>
      <c r="K106" s="1"/>
    </row>
    <row r="107" spans="1:13" x14ac:dyDescent="0.25">
      <c r="A107" s="149" t="s">
        <v>112</v>
      </c>
      <c r="B107" s="150" t="s">
        <v>113</v>
      </c>
      <c r="C107" s="55">
        <v>55500</v>
      </c>
      <c r="D107" s="55">
        <v>55500</v>
      </c>
      <c r="E107" s="614">
        <f>55500+200</f>
        <v>55700</v>
      </c>
      <c r="F107" s="614">
        <f>55500+200+4000</f>
        <v>59700</v>
      </c>
      <c r="G107" s="55">
        <f t="shared" ref="G107:H107" si="43">55500+200+4000</f>
        <v>59700</v>
      </c>
      <c r="H107" s="55">
        <f t="shared" si="43"/>
        <v>59700</v>
      </c>
      <c r="I107" s="55">
        <v>8990</v>
      </c>
      <c r="J107" s="659">
        <f t="shared" si="21"/>
        <v>0.15058626465661643</v>
      </c>
      <c r="K107" s="1"/>
    </row>
    <row r="108" spans="1:13" x14ac:dyDescent="0.25">
      <c r="A108" s="149" t="s">
        <v>114</v>
      </c>
      <c r="B108" s="84" t="s">
        <v>115</v>
      </c>
      <c r="C108" s="55">
        <v>5800</v>
      </c>
      <c r="D108" s="55">
        <v>5800</v>
      </c>
      <c r="E108" s="55">
        <v>5800</v>
      </c>
      <c r="F108" s="55">
        <f>5800</f>
        <v>5800</v>
      </c>
      <c r="G108" s="55">
        <f>5800</f>
        <v>5800</v>
      </c>
      <c r="H108" s="55">
        <f>5800</f>
        <v>5800</v>
      </c>
      <c r="I108" s="55">
        <v>247</v>
      </c>
      <c r="J108" s="659">
        <f t="shared" si="21"/>
        <v>4.2586206896551723E-2</v>
      </c>
      <c r="K108" s="1"/>
    </row>
    <row r="109" spans="1:13" x14ac:dyDescent="0.25">
      <c r="A109" s="149" t="s">
        <v>116</v>
      </c>
      <c r="B109" s="84" t="s">
        <v>117</v>
      </c>
      <c r="C109" s="55">
        <v>19000</v>
      </c>
      <c r="D109" s="55">
        <v>19000</v>
      </c>
      <c r="E109" s="55">
        <v>19000</v>
      </c>
      <c r="F109" s="55">
        <v>19000</v>
      </c>
      <c r="G109" s="55">
        <v>19000</v>
      </c>
      <c r="H109" s="55">
        <v>19000</v>
      </c>
      <c r="I109" s="55">
        <v>674</v>
      </c>
      <c r="J109" s="659">
        <f t="shared" si="21"/>
        <v>3.5473684210526317E-2</v>
      </c>
      <c r="K109" s="1"/>
    </row>
    <row r="110" spans="1:13" ht="15.75" thickBot="1" x14ac:dyDescent="0.3">
      <c r="A110" s="134" t="s">
        <v>118</v>
      </c>
      <c r="B110" s="135" t="s">
        <v>119</v>
      </c>
      <c r="C110" s="145">
        <v>5100</v>
      </c>
      <c r="D110" s="145">
        <v>5100</v>
      </c>
      <c r="E110" s="145">
        <v>5100</v>
      </c>
      <c r="F110" s="145">
        <v>5100</v>
      </c>
      <c r="G110" s="145">
        <v>5100</v>
      </c>
      <c r="H110" s="145">
        <v>5100</v>
      </c>
      <c r="I110" s="145">
        <v>0</v>
      </c>
      <c r="J110" s="659">
        <f t="shared" si="21"/>
        <v>0</v>
      </c>
      <c r="K110" s="1"/>
    </row>
    <row r="111" spans="1:13" ht="15.75" thickBot="1" x14ac:dyDescent="0.3">
      <c r="A111" s="116" t="s">
        <v>120</v>
      </c>
      <c r="B111" s="117"/>
      <c r="C111" s="106">
        <f t="shared" ref="C111:I111" si="44">SUM(C112:C119)</f>
        <v>485000</v>
      </c>
      <c r="D111" s="106">
        <f t="shared" si="44"/>
        <v>495173</v>
      </c>
      <c r="E111" s="106">
        <f t="shared" si="44"/>
        <v>499013</v>
      </c>
      <c r="F111" s="106">
        <f t="shared" si="44"/>
        <v>499413</v>
      </c>
      <c r="G111" s="106">
        <f t="shared" si="44"/>
        <v>501133</v>
      </c>
      <c r="H111" s="106">
        <f t="shared" si="44"/>
        <v>501133</v>
      </c>
      <c r="I111" s="106">
        <f t="shared" si="44"/>
        <v>122387</v>
      </c>
      <c r="J111" s="659">
        <f t="shared" si="21"/>
        <v>0.2442205961291713</v>
      </c>
      <c r="K111" s="1"/>
      <c r="L111" s="27"/>
      <c r="M111" s="27"/>
    </row>
    <row r="112" spans="1:13" x14ac:dyDescent="0.25">
      <c r="A112" s="151" t="s">
        <v>121</v>
      </c>
      <c r="B112" s="152" t="s">
        <v>122</v>
      </c>
      <c r="C112" s="153">
        <v>203000</v>
      </c>
      <c r="D112" s="613">
        <f>203000+7573</f>
        <v>210573</v>
      </c>
      <c r="E112" s="153">
        <f>203000+7573</f>
        <v>210573</v>
      </c>
      <c r="F112" s="153">
        <f>203000+7573</f>
        <v>210573</v>
      </c>
      <c r="G112" s="153">
        <f t="shared" ref="G112:H112" si="45">203000+7573</f>
        <v>210573</v>
      </c>
      <c r="H112" s="153">
        <f t="shared" si="45"/>
        <v>210573</v>
      </c>
      <c r="I112" s="153">
        <v>50307</v>
      </c>
      <c r="J112" s="659">
        <f t="shared" si="21"/>
        <v>0.2389052727557664</v>
      </c>
      <c r="K112" s="1"/>
    </row>
    <row r="113" spans="1:16" x14ac:dyDescent="0.25">
      <c r="A113" s="656" t="s">
        <v>123</v>
      </c>
      <c r="B113" s="127" t="s">
        <v>508</v>
      </c>
      <c r="C113" s="56">
        <v>0</v>
      </c>
      <c r="D113" s="56">
        <v>0</v>
      </c>
      <c r="E113" s="657">
        <v>1720</v>
      </c>
      <c r="F113" s="56">
        <v>1720</v>
      </c>
      <c r="G113" s="657">
        <f>1720+1720</f>
        <v>3440</v>
      </c>
      <c r="H113" s="56">
        <f>1720+1720</f>
        <v>3440</v>
      </c>
      <c r="I113" s="56">
        <v>1720</v>
      </c>
      <c r="J113" s="659">
        <f t="shared" si="21"/>
        <v>0.5</v>
      </c>
      <c r="K113" s="1"/>
    </row>
    <row r="114" spans="1:16" x14ac:dyDescent="0.25">
      <c r="A114" s="154" t="s">
        <v>124</v>
      </c>
      <c r="B114" s="155" t="s">
        <v>509</v>
      </c>
      <c r="C114" s="61">
        <v>3700</v>
      </c>
      <c r="D114" s="61">
        <v>3700</v>
      </c>
      <c r="E114" s="603">
        <f>3700+100+1720</f>
        <v>5520</v>
      </c>
      <c r="F114" s="603">
        <f>3700+100+1720+400</f>
        <v>5920</v>
      </c>
      <c r="G114" s="61">
        <f t="shared" ref="G114:H114" si="46">3700+100+1720+400</f>
        <v>5920</v>
      </c>
      <c r="H114" s="61">
        <f t="shared" si="46"/>
        <v>5920</v>
      </c>
      <c r="I114" s="61">
        <v>1383</v>
      </c>
      <c r="J114" s="659">
        <f t="shared" si="21"/>
        <v>0.23361486486486485</v>
      </c>
      <c r="K114" s="1"/>
    </row>
    <row r="115" spans="1:16" x14ac:dyDescent="0.25">
      <c r="A115" s="154" t="s">
        <v>125</v>
      </c>
      <c r="B115" s="155" t="s">
        <v>126</v>
      </c>
      <c r="C115" s="61">
        <v>44380</v>
      </c>
      <c r="D115" s="61">
        <v>44380</v>
      </c>
      <c r="E115" s="61">
        <v>44380</v>
      </c>
      <c r="F115" s="61">
        <v>44380</v>
      </c>
      <c r="G115" s="61">
        <v>44380</v>
      </c>
      <c r="H115" s="61">
        <v>44380</v>
      </c>
      <c r="I115" s="61">
        <v>8251</v>
      </c>
      <c r="J115" s="659">
        <f t="shared" si="21"/>
        <v>0.18591707976566021</v>
      </c>
      <c r="K115" s="1"/>
    </row>
    <row r="116" spans="1:16" x14ac:dyDescent="0.25">
      <c r="A116" s="154" t="s">
        <v>127</v>
      </c>
      <c r="B116" s="155" t="s">
        <v>128</v>
      </c>
      <c r="C116" s="60">
        <v>87002</v>
      </c>
      <c r="D116" s="60">
        <f>87002</f>
        <v>87002</v>
      </c>
      <c r="E116" s="60">
        <f>87002</f>
        <v>87002</v>
      </c>
      <c r="F116" s="60">
        <f t="shared" ref="F116:H116" si="47">87002</f>
        <v>87002</v>
      </c>
      <c r="G116" s="60">
        <f t="shared" si="47"/>
        <v>87002</v>
      </c>
      <c r="H116" s="60">
        <f t="shared" si="47"/>
        <v>87002</v>
      </c>
      <c r="I116" s="60">
        <v>13116</v>
      </c>
      <c r="J116" s="659">
        <f t="shared" si="21"/>
        <v>0.1507551550539068</v>
      </c>
      <c r="K116" s="1"/>
      <c r="L116" s="288"/>
      <c r="M116" s="288"/>
      <c r="P116" s="406"/>
    </row>
    <row r="117" spans="1:16" x14ac:dyDescent="0.25">
      <c r="A117" s="154" t="s">
        <v>129</v>
      </c>
      <c r="B117" s="155" t="s">
        <v>187</v>
      </c>
      <c r="C117" s="60">
        <v>145118</v>
      </c>
      <c r="D117" s="604">
        <f>145118+2600</f>
        <v>147718</v>
      </c>
      <c r="E117" s="60">
        <f>145118+2600</f>
        <v>147718</v>
      </c>
      <c r="F117" s="60">
        <f t="shared" ref="F117:H117" si="48">145118+2600</f>
        <v>147718</v>
      </c>
      <c r="G117" s="60">
        <f t="shared" si="48"/>
        <v>147718</v>
      </c>
      <c r="H117" s="60">
        <f t="shared" si="48"/>
        <v>147718</v>
      </c>
      <c r="I117" s="60">
        <v>46821</v>
      </c>
      <c r="J117" s="659">
        <f t="shared" si="21"/>
        <v>0.31696204931017208</v>
      </c>
      <c r="K117" s="27">
        <f>SUM(C115:C117)</f>
        <v>276500</v>
      </c>
      <c r="L117" s="27">
        <f>SUM(D115:D117)</f>
        <v>279100</v>
      </c>
      <c r="M117" s="27">
        <f t="shared" ref="M117" si="49">SUM(E115:E117)</f>
        <v>279100</v>
      </c>
    </row>
    <row r="118" spans="1:16" x14ac:dyDescent="0.25">
      <c r="A118" s="156" t="s">
        <v>130</v>
      </c>
      <c r="B118" s="155" t="s">
        <v>188</v>
      </c>
      <c r="C118" s="157">
        <v>500</v>
      </c>
      <c r="D118" s="157">
        <v>500</v>
      </c>
      <c r="E118" s="620">
        <f>500+300</f>
        <v>800</v>
      </c>
      <c r="F118" s="157">
        <f t="shared" ref="F118:H118" si="50">500+300</f>
        <v>800</v>
      </c>
      <c r="G118" s="157">
        <f t="shared" si="50"/>
        <v>800</v>
      </c>
      <c r="H118" s="157">
        <f t="shared" si="50"/>
        <v>800</v>
      </c>
      <c r="I118" s="157">
        <v>789</v>
      </c>
      <c r="J118" s="659">
        <f t="shared" si="21"/>
        <v>0.98624999999999996</v>
      </c>
      <c r="K118" s="1"/>
    </row>
    <row r="119" spans="1:16" ht="15.75" thickBot="1" x14ac:dyDescent="0.3">
      <c r="A119" s="154" t="s">
        <v>131</v>
      </c>
      <c r="B119" s="155" t="s">
        <v>199</v>
      </c>
      <c r="C119" s="157">
        <v>1300</v>
      </c>
      <c r="D119" s="157">
        <v>1300</v>
      </c>
      <c r="E119" s="157">
        <v>1300</v>
      </c>
      <c r="F119" s="157">
        <v>1300</v>
      </c>
      <c r="G119" s="157">
        <v>1300</v>
      </c>
      <c r="H119" s="157">
        <v>1300</v>
      </c>
      <c r="I119" s="157">
        <v>0</v>
      </c>
      <c r="J119" s="659">
        <f t="shared" si="21"/>
        <v>0</v>
      </c>
      <c r="K119" s="1"/>
    </row>
    <row r="120" spans="1:16" ht="15.75" thickBot="1" x14ac:dyDescent="0.3">
      <c r="A120" s="104" t="s">
        <v>132</v>
      </c>
      <c r="B120" s="105"/>
      <c r="C120" s="107">
        <f t="shared" ref="C120:I120" si="51">SUM(C121:C125)</f>
        <v>345080</v>
      </c>
      <c r="D120" s="107">
        <f t="shared" si="51"/>
        <v>345260</v>
      </c>
      <c r="E120" s="107">
        <f t="shared" si="51"/>
        <v>345460</v>
      </c>
      <c r="F120" s="107">
        <f t="shared" si="51"/>
        <v>345460</v>
      </c>
      <c r="G120" s="107">
        <f t="shared" si="51"/>
        <v>345460</v>
      </c>
      <c r="H120" s="107">
        <f t="shared" si="51"/>
        <v>347060</v>
      </c>
      <c r="I120" s="107">
        <f t="shared" si="51"/>
        <v>53225</v>
      </c>
      <c r="J120" s="659">
        <f t="shared" si="21"/>
        <v>0.15335964962830634</v>
      </c>
      <c r="K120" s="1"/>
    </row>
    <row r="121" spans="1:16" x14ac:dyDescent="0.25">
      <c r="A121" s="149" t="s">
        <v>133</v>
      </c>
      <c r="B121" s="84" t="s">
        <v>206</v>
      </c>
      <c r="C121" s="55">
        <v>329300</v>
      </c>
      <c r="D121" s="55">
        <f>329300+400-400</f>
        <v>329300</v>
      </c>
      <c r="E121" s="614">
        <f>329300+200</f>
        <v>329500</v>
      </c>
      <c r="F121" s="55">
        <f t="shared" ref="F121:H121" si="52">329300+200</f>
        <v>329500</v>
      </c>
      <c r="G121" s="55">
        <f t="shared" si="52"/>
        <v>329500</v>
      </c>
      <c r="H121" s="55">
        <f t="shared" si="52"/>
        <v>329500</v>
      </c>
      <c r="I121" s="55">
        <v>49737</v>
      </c>
      <c r="J121" s="659">
        <f t="shared" si="21"/>
        <v>0.15094688922610014</v>
      </c>
      <c r="K121" s="1"/>
    </row>
    <row r="122" spans="1:16" x14ac:dyDescent="0.25">
      <c r="A122" s="149" t="s">
        <v>134</v>
      </c>
      <c r="B122" s="84" t="s">
        <v>135</v>
      </c>
      <c r="C122" s="55">
        <v>680</v>
      </c>
      <c r="D122" s="614">
        <f>680+180</f>
        <v>860</v>
      </c>
      <c r="E122" s="55">
        <f>680+180</f>
        <v>860</v>
      </c>
      <c r="F122" s="55">
        <f t="shared" ref="F122:H122" si="53">680+180</f>
        <v>860</v>
      </c>
      <c r="G122" s="55">
        <f t="shared" si="53"/>
        <v>860</v>
      </c>
      <c r="H122" s="55">
        <f t="shared" si="53"/>
        <v>860</v>
      </c>
      <c r="I122" s="55">
        <v>313</v>
      </c>
      <c r="J122" s="659">
        <f t="shared" si="21"/>
        <v>0.36395348837209301</v>
      </c>
      <c r="K122" s="1"/>
    </row>
    <row r="123" spans="1:16" x14ac:dyDescent="0.25">
      <c r="A123" s="112" t="s">
        <v>136</v>
      </c>
      <c r="B123" s="111" t="s">
        <v>137</v>
      </c>
      <c r="C123" s="60">
        <v>14100</v>
      </c>
      <c r="D123" s="60">
        <v>14100</v>
      </c>
      <c r="E123" s="60">
        <v>14100</v>
      </c>
      <c r="F123" s="60">
        <v>14100</v>
      </c>
      <c r="G123" s="60">
        <v>14100</v>
      </c>
      <c r="H123" s="604">
        <f>14100+1600</f>
        <v>15700</v>
      </c>
      <c r="I123" s="60">
        <v>3175</v>
      </c>
      <c r="J123" s="659">
        <f t="shared" si="21"/>
        <v>0.20222929936305734</v>
      </c>
      <c r="K123" s="1"/>
    </row>
    <row r="124" spans="1:16" x14ac:dyDescent="0.25">
      <c r="A124" s="112" t="s">
        <v>138</v>
      </c>
      <c r="B124" s="111" t="s">
        <v>139</v>
      </c>
      <c r="C124" s="60">
        <v>500</v>
      </c>
      <c r="D124" s="60">
        <v>500</v>
      </c>
      <c r="E124" s="60">
        <v>500</v>
      </c>
      <c r="F124" s="60">
        <v>500</v>
      </c>
      <c r="G124" s="60">
        <v>500</v>
      </c>
      <c r="H124" s="60">
        <v>500</v>
      </c>
      <c r="I124" s="60">
        <v>0</v>
      </c>
      <c r="J124" s="659">
        <f t="shared" si="21"/>
        <v>0</v>
      </c>
      <c r="K124" s="1"/>
    </row>
    <row r="125" spans="1:16" ht="15.75" thickBot="1" x14ac:dyDescent="0.3">
      <c r="A125" s="134" t="s">
        <v>140</v>
      </c>
      <c r="B125" s="135" t="s">
        <v>141</v>
      </c>
      <c r="C125" s="145">
        <v>500</v>
      </c>
      <c r="D125" s="145">
        <v>500</v>
      </c>
      <c r="E125" s="145">
        <v>500</v>
      </c>
      <c r="F125" s="145">
        <v>500</v>
      </c>
      <c r="G125" s="145">
        <v>500</v>
      </c>
      <c r="H125" s="145">
        <v>500</v>
      </c>
      <c r="I125" s="145">
        <v>0</v>
      </c>
      <c r="J125" s="659">
        <f t="shared" si="21"/>
        <v>0</v>
      </c>
      <c r="K125" s="1"/>
      <c r="L125" s="27"/>
      <c r="M125" s="27"/>
    </row>
    <row r="126" spans="1:16" ht="24.75" customHeight="1" thickBot="1" x14ac:dyDescent="0.3">
      <c r="A126" s="158" t="s">
        <v>142</v>
      </c>
      <c r="B126" s="140"/>
      <c r="C126" s="159">
        <f>SUM(C77+C83+C85+C88+C92+C97+C101+C105+C111+C120)</f>
        <v>1801231</v>
      </c>
      <c r="D126" s="159">
        <f>SUM(D77+D83+D85+D88+D92+D97+D101+D105+D111+D120)</f>
        <v>1812299</v>
      </c>
      <c r="E126" s="159">
        <f>SUM(E77+E83+E85+E88+E92+E97+E101+E105+E111+E120)</f>
        <v>1819999</v>
      </c>
      <c r="F126" s="159">
        <f t="shared" ref="F126:I126" si="54">SUM(F77+F83+F85+F88+F92+F97+F101+F105+F111+F120)</f>
        <v>1872099</v>
      </c>
      <c r="G126" s="159">
        <f t="shared" si="54"/>
        <v>1883519</v>
      </c>
      <c r="H126" s="159">
        <f t="shared" si="54"/>
        <v>1884219</v>
      </c>
      <c r="I126" s="159">
        <f t="shared" si="54"/>
        <v>354917</v>
      </c>
      <c r="J126" s="659">
        <f t="shared" si="21"/>
        <v>0.1883629238427168</v>
      </c>
      <c r="K126" s="1"/>
      <c r="L126" s="27">
        <f t="shared" ref="L126:N127" si="55">D126-C126</f>
        <v>11068</v>
      </c>
      <c r="M126" s="27">
        <f t="shared" si="55"/>
        <v>7700</v>
      </c>
      <c r="N126" s="27">
        <f t="shared" si="55"/>
        <v>52100</v>
      </c>
      <c r="O126" s="27">
        <f t="shared" ref="O126:O127" si="56">G126-F126</f>
        <v>11420</v>
      </c>
      <c r="P126" s="27">
        <f t="shared" ref="P126:P127" si="57">H126-G126</f>
        <v>700</v>
      </c>
    </row>
    <row r="127" spans="1:16" x14ac:dyDescent="0.25">
      <c r="A127" s="446" t="s">
        <v>123</v>
      </c>
      <c r="B127" s="160" t="s">
        <v>143</v>
      </c>
      <c r="C127" s="161">
        <f>C64+C175</f>
        <v>643550</v>
      </c>
      <c r="D127" s="613">
        <f>D64+D175</f>
        <v>690283</v>
      </c>
      <c r="E127" s="161">
        <f>E64+E175</f>
        <v>690283</v>
      </c>
      <c r="F127" s="161">
        <f>F64+F175</f>
        <v>690283</v>
      </c>
      <c r="G127" s="161">
        <f>G64+G175</f>
        <v>690283</v>
      </c>
      <c r="H127" s="613">
        <f>H64+H175</f>
        <v>692715</v>
      </c>
      <c r="I127" s="161">
        <f>I64+I175</f>
        <v>199615</v>
      </c>
      <c r="J127" s="659">
        <f t="shared" si="21"/>
        <v>0.28816324173722235</v>
      </c>
      <c r="K127" s="1"/>
      <c r="L127" s="27">
        <f t="shared" si="55"/>
        <v>46733</v>
      </c>
      <c r="M127" s="27">
        <f t="shared" si="55"/>
        <v>0</v>
      </c>
      <c r="N127" s="27">
        <f t="shared" si="55"/>
        <v>0</v>
      </c>
      <c r="O127" s="27">
        <f t="shared" si="56"/>
        <v>0</v>
      </c>
      <c r="P127" s="27">
        <f t="shared" si="57"/>
        <v>2432</v>
      </c>
    </row>
    <row r="128" spans="1:16" x14ac:dyDescent="0.25">
      <c r="A128" s="447" t="s">
        <v>123</v>
      </c>
      <c r="B128" s="168" t="s">
        <v>328</v>
      </c>
      <c r="C128" s="169">
        <f>C63</f>
        <v>19272</v>
      </c>
      <c r="D128" s="169">
        <f>D63</f>
        <v>19272</v>
      </c>
      <c r="E128" s="169">
        <f>E63</f>
        <v>19272</v>
      </c>
      <c r="F128" s="169">
        <f>F63</f>
        <v>19272</v>
      </c>
      <c r="G128" s="169">
        <f t="shared" ref="G128:H128" si="58">G63</f>
        <v>19272</v>
      </c>
      <c r="H128" s="169">
        <f t="shared" si="58"/>
        <v>19272</v>
      </c>
      <c r="I128" s="169">
        <f>I63</f>
        <v>3224</v>
      </c>
      <c r="J128" s="659">
        <f t="shared" si="21"/>
        <v>0.16728933167289331</v>
      </c>
      <c r="K128" s="27">
        <f>SUM(I127:I128)</f>
        <v>202839</v>
      </c>
      <c r="L128" s="27"/>
      <c r="M128" s="27"/>
      <c r="N128" s="27"/>
      <c r="O128" s="27"/>
      <c r="P128" s="27"/>
    </row>
    <row r="129" spans="1:17" x14ac:dyDescent="0.25">
      <c r="A129" s="448" t="s">
        <v>123</v>
      </c>
      <c r="B129" s="163" t="s">
        <v>144</v>
      </c>
      <c r="C129" s="164">
        <f>C66</f>
        <v>1550</v>
      </c>
      <c r="D129" s="164">
        <f>D66</f>
        <v>1550</v>
      </c>
      <c r="E129" s="164">
        <f>E66</f>
        <v>1550</v>
      </c>
      <c r="F129" s="164">
        <f>F66</f>
        <v>1550</v>
      </c>
      <c r="G129" s="164">
        <f t="shared" ref="G129:H129" si="59">G66</f>
        <v>1550</v>
      </c>
      <c r="H129" s="164">
        <f t="shared" si="59"/>
        <v>1550</v>
      </c>
      <c r="I129" s="164">
        <f>I66</f>
        <v>0</v>
      </c>
      <c r="J129" s="659">
        <f t="shared" si="21"/>
        <v>0</v>
      </c>
      <c r="K129" s="1"/>
      <c r="L129" s="27"/>
      <c r="M129" s="27"/>
      <c r="N129" s="27"/>
      <c r="O129" s="27"/>
      <c r="P129" s="27"/>
    </row>
    <row r="130" spans="1:17" ht="15.75" thickBot="1" x14ac:dyDescent="0.3">
      <c r="A130" s="449" t="s">
        <v>123</v>
      </c>
      <c r="B130" s="165" t="s">
        <v>145</v>
      </c>
      <c r="C130" s="166">
        <v>1700</v>
      </c>
      <c r="D130" s="166">
        <v>1700</v>
      </c>
      <c r="E130" s="166">
        <v>1700</v>
      </c>
      <c r="F130" s="166">
        <v>1700</v>
      </c>
      <c r="G130" s="166">
        <v>1700</v>
      </c>
      <c r="H130" s="166">
        <v>1700</v>
      </c>
      <c r="I130" s="166">
        <v>0</v>
      </c>
      <c r="J130" s="659">
        <f t="shared" si="21"/>
        <v>0</v>
      </c>
      <c r="K130" s="27">
        <f>SUM(I129:I130)</f>
        <v>0</v>
      </c>
      <c r="L130" s="27"/>
      <c r="M130" s="27"/>
      <c r="N130" s="27"/>
      <c r="O130" s="27"/>
      <c r="P130" s="27"/>
    </row>
    <row r="131" spans="1:17" x14ac:dyDescent="0.25">
      <c r="A131" s="167" t="s">
        <v>124</v>
      </c>
      <c r="B131" s="168" t="s">
        <v>146</v>
      </c>
      <c r="C131" s="169">
        <v>34400</v>
      </c>
      <c r="D131" s="169">
        <v>34400</v>
      </c>
      <c r="E131" s="169">
        <v>34400</v>
      </c>
      <c r="F131" s="169">
        <v>34400</v>
      </c>
      <c r="G131" s="169">
        <v>34400</v>
      </c>
      <c r="H131" s="169">
        <v>34400</v>
      </c>
      <c r="I131" s="169">
        <v>8601</v>
      </c>
      <c r="J131" s="659">
        <f t="shared" si="21"/>
        <v>0.25002906976744188</v>
      </c>
      <c r="K131" s="27"/>
      <c r="L131" s="27"/>
      <c r="M131" s="27"/>
      <c r="N131" s="27"/>
      <c r="O131" s="27"/>
      <c r="P131" s="27"/>
    </row>
    <row r="132" spans="1:17" ht="15.75" thickBot="1" x14ac:dyDescent="0.3">
      <c r="A132" s="162" t="s">
        <v>124</v>
      </c>
      <c r="B132" s="163" t="s">
        <v>147</v>
      </c>
      <c r="C132" s="164">
        <f>C67</f>
        <v>3600</v>
      </c>
      <c r="D132" s="164">
        <f>D67</f>
        <v>3600</v>
      </c>
      <c r="E132" s="164">
        <f>E67</f>
        <v>3600</v>
      </c>
      <c r="F132" s="164">
        <f>F67</f>
        <v>3600</v>
      </c>
      <c r="G132" s="164">
        <f t="shared" ref="G132:I132" si="60">G67</f>
        <v>3600</v>
      </c>
      <c r="H132" s="164">
        <f t="shared" si="60"/>
        <v>3600</v>
      </c>
      <c r="I132" s="164">
        <f t="shared" si="60"/>
        <v>707</v>
      </c>
      <c r="J132" s="659">
        <f t="shared" si="21"/>
        <v>0.19638888888888889</v>
      </c>
      <c r="K132" s="27">
        <f>SUM(H131:H132)</f>
        <v>38000</v>
      </c>
      <c r="L132" s="27">
        <f>SUM(I131:I132)</f>
        <v>9308</v>
      </c>
      <c r="M132" s="27"/>
      <c r="N132" s="27"/>
      <c r="O132" s="27"/>
      <c r="P132" s="27"/>
    </row>
    <row r="133" spans="1:17" ht="15.75" thickBot="1" x14ac:dyDescent="0.3">
      <c r="A133" s="691" t="s">
        <v>148</v>
      </c>
      <c r="B133" s="692"/>
      <c r="C133" s="170">
        <f>SUM(C127:C132)</f>
        <v>704072</v>
      </c>
      <c r="D133" s="170">
        <f>SUM(D127:D132)</f>
        <v>750805</v>
      </c>
      <c r="E133" s="170">
        <f>SUM(E127:E132)</f>
        <v>750805</v>
      </c>
      <c r="F133" s="170">
        <f t="shared" ref="F133:I133" si="61">SUM(F127:F132)</f>
        <v>750805</v>
      </c>
      <c r="G133" s="170">
        <f t="shared" si="61"/>
        <v>750805</v>
      </c>
      <c r="H133" s="170">
        <f t="shared" si="61"/>
        <v>753237</v>
      </c>
      <c r="I133" s="170">
        <f t="shared" si="61"/>
        <v>212147</v>
      </c>
      <c r="J133" s="659">
        <f t="shared" ref="J133:J195" si="62">I133/H133</f>
        <v>0.28164707787854287</v>
      </c>
      <c r="K133" s="27"/>
      <c r="L133" s="27">
        <f>D133-C133</f>
        <v>46733</v>
      </c>
      <c r="M133" s="27">
        <f>E133-D133</f>
        <v>0</v>
      </c>
      <c r="N133" s="27">
        <f>F133-E133</f>
        <v>0</v>
      </c>
      <c r="O133" s="27">
        <f t="shared" ref="O133:P133" si="63">G133-F133</f>
        <v>0</v>
      </c>
      <c r="P133" s="27">
        <f t="shared" si="63"/>
        <v>2432</v>
      </c>
    </row>
    <row r="134" spans="1:17" x14ac:dyDescent="0.25">
      <c r="A134" s="171" t="s">
        <v>124</v>
      </c>
      <c r="B134" s="172" t="s">
        <v>149</v>
      </c>
      <c r="C134" s="173">
        <v>294050</v>
      </c>
      <c r="D134" s="173">
        <v>294050</v>
      </c>
      <c r="E134" s="173">
        <v>294050</v>
      </c>
      <c r="F134" s="173">
        <v>294050</v>
      </c>
      <c r="G134" s="173">
        <v>294050</v>
      </c>
      <c r="H134" s="173">
        <v>294050</v>
      </c>
      <c r="I134" s="173">
        <v>73512</v>
      </c>
      <c r="J134" s="659">
        <f t="shared" si="62"/>
        <v>0.24999829960891004</v>
      </c>
      <c r="K134" s="1"/>
      <c r="L134" s="27"/>
      <c r="M134" s="27"/>
      <c r="N134" s="27"/>
      <c r="O134" s="27"/>
      <c r="P134" s="27"/>
    </row>
    <row r="135" spans="1:17" ht="15.75" thickBot="1" x14ac:dyDescent="0.3">
      <c r="A135" s="174" t="s">
        <v>124</v>
      </c>
      <c r="B135" s="175" t="s">
        <v>150</v>
      </c>
      <c r="C135" s="89">
        <f>C69</f>
        <v>12350</v>
      </c>
      <c r="D135" s="89">
        <f>D69</f>
        <v>12350</v>
      </c>
      <c r="E135" s="89">
        <f>E69</f>
        <v>12350</v>
      </c>
      <c r="F135" s="89">
        <f>F69</f>
        <v>12350</v>
      </c>
      <c r="G135" s="89">
        <f t="shared" ref="G135:H135" si="64">G69</f>
        <v>12350</v>
      </c>
      <c r="H135" s="89">
        <f t="shared" si="64"/>
        <v>12350</v>
      </c>
      <c r="I135" s="89">
        <f>I69</f>
        <v>5585</v>
      </c>
      <c r="J135" s="659">
        <f t="shared" si="62"/>
        <v>0.45222672064777331</v>
      </c>
      <c r="K135" s="1"/>
      <c r="L135" s="27"/>
      <c r="M135" s="27"/>
      <c r="N135" s="27"/>
      <c r="O135" s="27"/>
      <c r="P135" s="27"/>
    </row>
    <row r="136" spans="1:17" ht="15.75" thickBot="1" x14ac:dyDescent="0.3">
      <c r="A136" s="693" t="s">
        <v>151</v>
      </c>
      <c r="B136" s="694"/>
      <c r="C136" s="176">
        <f>SUM(C134:C135)</f>
        <v>306400</v>
      </c>
      <c r="D136" s="176">
        <f>SUM(D134:D135)</f>
        <v>306400</v>
      </c>
      <c r="E136" s="176">
        <f>SUM(E134:E135)</f>
        <v>306400</v>
      </c>
      <c r="F136" s="176">
        <f t="shared" ref="F136:I136" si="65">SUM(F134:F135)</f>
        <v>306400</v>
      </c>
      <c r="G136" s="176">
        <f t="shared" si="65"/>
        <v>306400</v>
      </c>
      <c r="H136" s="176">
        <f t="shared" si="65"/>
        <v>306400</v>
      </c>
      <c r="I136" s="176">
        <f t="shared" si="65"/>
        <v>79097</v>
      </c>
      <c r="J136" s="659">
        <f t="shared" si="62"/>
        <v>0.25814947780678849</v>
      </c>
      <c r="K136" s="1"/>
      <c r="L136" s="27">
        <f t="shared" ref="L136:N138" si="66">D136-C136</f>
        <v>0</v>
      </c>
      <c r="M136" s="27">
        <f t="shared" si="66"/>
        <v>0</v>
      </c>
      <c r="N136" s="27">
        <f t="shared" si="66"/>
        <v>0</v>
      </c>
      <c r="O136" s="27">
        <f t="shared" ref="O136:P138" si="67">G136-F136</f>
        <v>0</v>
      </c>
      <c r="P136" s="27">
        <f t="shared" si="67"/>
        <v>0</v>
      </c>
    </row>
    <row r="137" spans="1:17" ht="22.5" customHeight="1" thickBot="1" x14ac:dyDescent="0.3">
      <c r="A137" s="695" t="s">
        <v>152</v>
      </c>
      <c r="B137" s="696"/>
      <c r="C137" s="177">
        <f>C133+C136</f>
        <v>1010472</v>
      </c>
      <c r="D137" s="177">
        <f>D133+D136</f>
        <v>1057205</v>
      </c>
      <c r="E137" s="177">
        <f>E133+E136</f>
        <v>1057205</v>
      </c>
      <c r="F137" s="177">
        <f t="shared" ref="F137:I137" si="68">F133+F136</f>
        <v>1057205</v>
      </c>
      <c r="G137" s="177">
        <f t="shared" si="68"/>
        <v>1057205</v>
      </c>
      <c r="H137" s="177">
        <f t="shared" si="68"/>
        <v>1059637</v>
      </c>
      <c r="I137" s="177">
        <f t="shared" si="68"/>
        <v>291244</v>
      </c>
      <c r="J137" s="659">
        <f t="shared" si="62"/>
        <v>0.27485261462179972</v>
      </c>
      <c r="K137" s="1"/>
      <c r="L137" s="27">
        <f t="shared" si="66"/>
        <v>46733</v>
      </c>
      <c r="M137" s="27">
        <f t="shared" si="66"/>
        <v>0</v>
      </c>
      <c r="N137" s="27">
        <f t="shared" si="66"/>
        <v>0</v>
      </c>
      <c r="O137" s="27">
        <f t="shared" si="67"/>
        <v>0</v>
      </c>
      <c r="P137" s="27">
        <f t="shared" si="67"/>
        <v>2432</v>
      </c>
    </row>
    <row r="138" spans="1:17" ht="27.75" customHeight="1" thickBot="1" x14ac:dyDescent="0.3">
      <c r="A138" s="178" t="s">
        <v>153</v>
      </c>
      <c r="B138" s="125"/>
      <c r="C138" s="179">
        <f>C126+C137</f>
        <v>2811703</v>
      </c>
      <c r="D138" s="179">
        <f>D126+D137</f>
        <v>2869504</v>
      </c>
      <c r="E138" s="179">
        <f>E126+E137</f>
        <v>2877204</v>
      </c>
      <c r="F138" s="179">
        <f t="shared" ref="F138:I138" si="69">F126+F137</f>
        <v>2929304</v>
      </c>
      <c r="G138" s="179">
        <f t="shared" si="69"/>
        <v>2940724</v>
      </c>
      <c r="H138" s="179">
        <f t="shared" si="69"/>
        <v>2943856</v>
      </c>
      <c r="I138" s="179">
        <f t="shared" si="69"/>
        <v>646161</v>
      </c>
      <c r="J138" s="659">
        <f t="shared" si="62"/>
        <v>0.21949477148338778</v>
      </c>
      <c r="K138" s="1"/>
      <c r="L138" s="27">
        <f t="shared" si="66"/>
        <v>57801</v>
      </c>
      <c r="M138" s="27">
        <f t="shared" si="66"/>
        <v>7700</v>
      </c>
      <c r="N138" s="27">
        <f t="shared" si="66"/>
        <v>52100</v>
      </c>
      <c r="O138" s="27">
        <f t="shared" si="67"/>
        <v>11420</v>
      </c>
      <c r="P138" s="27">
        <f t="shared" si="67"/>
        <v>3132</v>
      </c>
      <c r="Q138" s="310">
        <f>SUM(O138:P138)</f>
        <v>14552</v>
      </c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659"/>
      <c r="K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659"/>
      <c r="K140" s="1"/>
    </row>
    <row r="141" spans="1:17" ht="18.75" thickBot="1" x14ac:dyDescent="0.3">
      <c r="A141" s="697" t="s">
        <v>154</v>
      </c>
      <c r="B141" s="698"/>
      <c r="C141" s="698"/>
      <c r="D141" s="698"/>
      <c r="E141" s="698"/>
      <c r="F141" s="653"/>
      <c r="G141" s="653"/>
      <c r="H141" s="653"/>
      <c r="I141" s="653"/>
      <c r="J141" s="659"/>
      <c r="K141" s="1"/>
    </row>
    <row r="142" spans="1:17" ht="38.25" customHeight="1" thickBot="1" x14ac:dyDescent="0.3">
      <c r="A142" s="687" t="s">
        <v>1</v>
      </c>
      <c r="B142" s="699"/>
      <c r="C142" s="289" t="s">
        <v>455</v>
      </c>
      <c r="D142" s="289" t="s">
        <v>454</v>
      </c>
      <c r="E142" s="289" t="s">
        <v>372</v>
      </c>
      <c r="F142" s="289" t="s">
        <v>516</v>
      </c>
      <c r="G142" s="289" t="s">
        <v>532</v>
      </c>
      <c r="H142" s="289" t="s">
        <v>517</v>
      </c>
      <c r="I142" s="289" t="s">
        <v>569</v>
      </c>
      <c r="J142" s="659"/>
      <c r="K142" s="1"/>
    </row>
    <row r="143" spans="1:17" ht="16.5" thickBot="1" x14ac:dyDescent="0.3">
      <c r="A143" s="700" t="s">
        <v>155</v>
      </c>
      <c r="B143" s="701"/>
      <c r="C143" s="180">
        <f>SUM(C144:C151)</f>
        <v>1143050</v>
      </c>
      <c r="D143" s="180">
        <f>SUM(D144:D151)</f>
        <v>1143050</v>
      </c>
      <c r="E143" s="180">
        <f>SUM(E144:E151)</f>
        <v>1334050</v>
      </c>
      <c r="F143" s="180">
        <f>SUM(F144:F151)</f>
        <v>1334050</v>
      </c>
      <c r="G143" s="180">
        <f>SUM(G144:G151)</f>
        <v>2501730</v>
      </c>
      <c r="H143" s="180">
        <f>SUM(H144:H151)</f>
        <v>2501730</v>
      </c>
      <c r="I143" s="180">
        <f>SUM(I144:I151)</f>
        <v>0</v>
      </c>
      <c r="J143" s="659">
        <f t="shared" si="62"/>
        <v>0</v>
      </c>
      <c r="K143" s="27">
        <f>E143-D143</f>
        <v>191000</v>
      </c>
      <c r="L143" s="27">
        <f t="shared" ref="L143:N143" si="70">F143-E143</f>
        <v>0</v>
      </c>
      <c r="M143" s="27">
        <f t="shared" si="70"/>
        <v>1167680</v>
      </c>
      <c r="N143" s="27">
        <f t="shared" si="70"/>
        <v>0</v>
      </c>
      <c r="O143" s="27"/>
    </row>
    <row r="144" spans="1:17" ht="15.75" thickBot="1" x14ac:dyDescent="0.3">
      <c r="A144" s="750">
        <v>233</v>
      </c>
      <c r="B144" s="751" t="s">
        <v>156</v>
      </c>
      <c r="C144" s="752">
        <v>5000</v>
      </c>
      <c r="D144" s="752">
        <v>5000</v>
      </c>
      <c r="E144" s="752">
        <v>5000</v>
      </c>
      <c r="F144" s="752">
        <v>5000</v>
      </c>
      <c r="G144" s="752">
        <v>5000</v>
      </c>
      <c r="H144" s="752">
        <v>5000</v>
      </c>
      <c r="I144" s="752">
        <v>0</v>
      </c>
      <c r="J144" s="659">
        <f t="shared" si="62"/>
        <v>0</v>
      </c>
      <c r="K144" s="1"/>
    </row>
    <row r="145" spans="1:22" x14ac:dyDescent="0.25">
      <c r="A145" s="185">
        <v>322</v>
      </c>
      <c r="B145" s="76" t="s">
        <v>310</v>
      </c>
      <c r="C145" s="186">
        <v>434700</v>
      </c>
      <c r="D145" s="186">
        <v>434700</v>
      </c>
      <c r="E145" s="186">
        <v>434700</v>
      </c>
      <c r="F145" s="186">
        <v>434700</v>
      </c>
      <c r="G145" s="186">
        <v>434700</v>
      </c>
      <c r="H145" s="186">
        <v>434700</v>
      </c>
      <c r="I145" s="186">
        <v>0</v>
      </c>
      <c r="J145" s="659">
        <f t="shared" si="62"/>
        <v>0</v>
      </c>
      <c r="K145" s="27"/>
    </row>
    <row r="146" spans="1:22" x14ac:dyDescent="0.25">
      <c r="A146" s="185">
        <v>322</v>
      </c>
      <c r="B146" s="84" t="s">
        <v>530</v>
      </c>
      <c r="C146" s="186">
        <v>0</v>
      </c>
      <c r="D146" s="186">
        <v>0</v>
      </c>
      <c r="E146" s="638">
        <v>191000</v>
      </c>
      <c r="F146" s="186">
        <v>191000</v>
      </c>
      <c r="G146" s="638">
        <f>191000-52700</f>
        <v>138300</v>
      </c>
      <c r="H146" s="186">
        <f>191000-52700</f>
        <v>138300</v>
      </c>
      <c r="I146" s="186">
        <v>0</v>
      </c>
      <c r="J146" s="659">
        <f t="shared" si="62"/>
        <v>0</v>
      </c>
      <c r="K146" s="27"/>
    </row>
    <row r="147" spans="1:22" x14ac:dyDescent="0.25">
      <c r="A147" s="185">
        <v>322</v>
      </c>
      <c r="B147" s="84" t="s">
        <v>531</v>
      </c>
      <c r="C147" s="186">
        <v>0</v>
      </c>
      <c r="D147" s="186">
        <v>0</v>
      </c>
      <c r="E147" s="186">
        <v>0</v>
      </c>
      <c r="F147" s="186">
        <v>0</v>
      </c>
      <c r="G147" s="638">
        <v>1220380</v>
      </c>
      <c r="H147" s="186">
        <v>1220380</v>
      </c>
      <c r="I147" s="186">
        <v>0</v>
      </c>
      <c r="J147" s="659">
        <f>I147/H147</f>
        <v>0</v>
      </c>
      <c r="K147" s="27"/>
    </row>
    <row r="148" spans="1:22" x14ac:dyDescent="0.25">
      <c r="A148" s="183">
        <v>322</v>
      </c>
      <c r="B148" s="72" t="s">
        <v>157</v>
      </c>
      <c r="C148" s="184">
        <v>300000</v>
      </c>
      <c r="D148" s="184">
        <v>300000</v>
      </c>
      <c r="E148" s="184">
        <v>300000</v>
      </c>
      <c r="F148" s="184">
        <v>300000</v>
      </c>
      <c r="G148" s="184">
        <v>300000</v>
      </c>
      <c r="H148" s="184">
        <v>300000</v>
      </c>
      <c r="I148" s="184">
        <v>0</v>
      </c>
      <c r="J148" s="659">
        <f>I148/H148</f>
        <v>0</v>
      </c>
      <c r="K148" s="27"/>
    </row>
    <row r="149" spans="1:22" x14ac:dyDescent="0.25">
      <c r="A149" s="185">
        <v>322</v>
      </c>
      <c r="B149" s="187" t="s">
        <v>355</v>
      </c>
      <c r="C149" s="184">
        <v>178000</v>
      </c>
      <c r="D149" s="184">
        <v>178000</v>
      </c>
      <c r="E149" s="184">
        <v>178000</v>
      </c>
      <c r="F149" s="184">
        <v>178000</v>
      </c>
      <c r="G149" s="184">
        <v>178000</v>
      </c>
      <c r="H149" s="184">
        <v>178000</v>
      </c>
      <c r="I149" s="184">
        <v>0</v>
      </c>
      <c r="J149" s="659">
        <f t="shared" si="62"/>
        <v>0</v>
      </c>
      <c r="K149" s="1"/>
    </row>
    <row r="150" spans="1:22" x14ac:dyDescent="0.25">
      <c r="A150" s="450">
        <v>322</v>
      </c>
      <c r="B150" s="467" t="s">
        <v>330</v>
      </c>
      <c r="C150" s="182">
        <v>35350</v>
      </c>
      <c r="D150" s="182">
        <v>35350</v>
      </c>
      <c r="E150" s="182">
        <v>35350</v>
      </c>
      <c r="F150" s="182">
        <v>35350</v>
      </c>
      <c r="G150" s="182">
        <v>35350</v>
      </c>
      <c r="H150" s="182">
        <v>35350</v>
      </c>
      <c r="I150" s="182">
        <v>0</v>
      </c>
      <c r="J150" s="659">
        <f>I150/H150</f>
        <v>0</v>
      </c>
      <c r="K150" s="1"/>
    </row>
    <row r="151" spans="1:22" x14ac:dyDescent="0.25">
      <c r="A151" s="185">
        <v>322</v>
      </c>
      <c r="B151" s="84" t="s">
        <v>340</v>
      </c>
      <c r="C151" s="186">
        <v>190000</v>
      </c>
      <c r="D151" s="186">
        <v>190000</v>
      </c>
      <c r="E151" s="186">
        <v>190000</v>
      </c>
      <c r="F151" s="186">
        <v>190000</v>
      </c>
      <c r="G151" s="186">
        <v>190000</v>
      </c>
      <c r="H151" s="186">
        <v>190000</v>
      </c>
      <c r="I151" s="186">
        <v>0</v>
      </c>
      <c r="J151" s="659">
        <f t="shared" si="62"/>
        <v>0</v>
      </c>
      <c r="K151" s="27">
        <f>SUM(H145:H151)</f>
        <v>2496730</v>
      </c>
      <c r="L151" s="27">
        <f>SUM(I145:I151)</f>
        <v>0</v>
      </c>
      <c r="M151" s="27"/>
      <c r="N151" s="27"/>
      <c r="U151" s="310"/>
      <c r="V151" s="310"/>
    </row>
    <row r="152" spans="1:22" ht="15.75" thickBot="1" x14ac:dyDescent="0.3">
      <c r="K152" s="27">
        <f>C153-C143</f>
        <v>890996</v>
      </c>
      <c r="L152" s="27">
        <f t="shared" ref="L152:N152" si="71">D153-D143</f>
        <v>890996</v>
      </c>
      <c r="M152" s="27">
        <f t="shared" si="71"/>
        <v>771296</v>
      </c>
      <c r="N152" s="27">
        <f t="shared" si="71"/>
        <v>771296</v>
      </c>
      <c r="O152" s="27">
        <f>G153-G143</f>
        <v>771296</v>
      </c>
      <c r="P152" s="27">
        <f t="shared" ref="P152" si="72">H153-H143</f>
        <v>771296</v>
      </c>
      <c r="Q152" s="27">
        <f t="shared" ref="Q152" si="73">I153-I143</f>
        <v>169547</v>
      </c>
    </row>
    <row r="153" spans="1:22" ht="16.5" thickBot="1" x14ac:dyDescent="0.3">
      <c r="A153" s="700" t="s">
        <v>158</v>
      </c>
      <c r="B153" s="701"/>
      <c r="C153" s="180">
        <f>SUM(C154:C168)</f>
        <v>2034046</v>
      </c>
      <c r="D153" s="180">
        <f>SUM(D154:D168)</f>
        <v>2034046</v>
      </c>
      <c r="E153" s="180">
        <f>SUM(E154:E168)</f>
        <v>2105346</v>
      </c>
      <c r="F153" s="180">
        <f t="shared" ref="F153:I153" si="74">SUM(F154:F168)</f>
        <v>2105346</v>
      </c>
      <c r="G153" s="180">
        <f t="shared" si="74"/>
        <v>3273026</v>
      </c>
      <c r="H153" s="180">
        <f t="shared" si="74"/>
        <v>3273026</v>
      </c>
      <c r="I153" s="180">
        <f t="shared" si="74"/>
        <v>169547</v>
      </c>
      <c r="J153" s="659">
        <f t="shared" si="62"/>
        <v>5.1801299470276133E-2</v>
      </c>
      <c r="K153" s="646">
        <f>E153-D153</f>
        <v>71300</v>
      </c>
      <c r="L153" s="646">
        <f t="shared" ref="L153:N153" si="75">F153-E153</f>
        <v>0</v>
      </c>
      <c r="M153" s="646">
        <f t="shared" si="75"/>
        <v>1167680</v>
      </c>
      <c r="N153" s="646">
        <f t="shared" si="75"/>
        <v>0</v>
      </c>
      <c r="O153" s="646"/>
    </row>
    <row r="154" spans="1:22" x14ac:dyDescent="0.25">
      <c r="A154" s="194" t="s">
        <v>82</v>
      </c>
      <c r="B154" s="188" t="s">
        <v>159</v>
      </c>
      <c r="C154" s="195">
        <v>1500</v>
      </c>
      <c r="D154" s="195">
        <v>1500</v>
      </c>
      <c r="E154" s="195">
        <v>1500</v>
      </c>
      <c r="F154" s="195">
        <v>1500</v>
      </c>
      <c r="G154" s="195">
        <v>1500</v>
      </c>
      <c r="H154" s="195">
        <v>1500</v>
      </c>
      <c r="I154" s="195">
        <v>0</v>
      </c>
      <c r="J154" s="659">
        <f t="shared" si="62"/>
        <v>0</v>
      </c>
      <c r="K154" s="1"/>
    </row>
    <row r="155" spans="1:22" x14ac:dyDescent="0.25">
      <c r="A155" s="194" t="s">
        <v>87</v>
      </c>
      <c r="B155" s="188" t="s">
        <v>533</v>
      </c>
      <c r="C155" s="195">
        <v>0</v>
      </c>
      <c r="D155" s="195">
        <v>0</v>
      </c>
      <c r="E155" s="639">
        <v>206300</v>
      </c>
      <c r="F155" s="195">
        <v>206300</v>
      </c>
      <c r="G155" s="639">
        <f>206300-52700</f>
        <v>153600</v>
      </c>
      <c r="H155" s="195">
        <f>206300-52700</f>
        <v>153600</v>
      </c>
      <c r="I155" s="195">
        <v>0</v>
      </c>
      <c r="J155" s="659">
        <f t="shared" si="62"/>
        <v>0</v>
      </c>
      <c r="K155" s="27"/>
    </row>
    <row r="156" spans="1:22" x14ac:dyDescent="0.25">
      <c r="A156" s="190" t="s">
        <v>89</v>
      </c>
      <c r="B156" s="200" t="s">
        <v>193</v>
      </c>
      <c r="C156" s="191">
        <v>390000</v>
      </c>
      <c r="D156" s="191">
        <v>390000</v>
      </c>
      <c r="E156" s="627">
        <f>390000-20000</f>
        <v>370000</v>
      </c>
      <c r="F156" s="191">
        <f t="shared" ref="F156:H156" si="76">390000-20000</f>
        <v>370000</v>
      </c>
      <c r="G156" s="191">
        <f t="shared" si="76"/>
        <v>370000</v>
      </c>
      <c r="H156" s="191">
        <f t="shared" si="76"/>
        <v>370000</v>
      </c>
      <c r="I156" s="191">
        <v>0</v>
      </c>
      <c r="J156" s="659">
        <f t="shared" si="62"/>
        <v>0</v>
      </c>
      <c r="K156" s="1"/>
    </row>
    <row r="157" spans="1:22" x14ac:dyDescent="0.25">
      <c r="A157" s="196" t="s">
        <v>160</v>
      </c>
      <c r="B157" s="197" t="s">
        <v>161</v>
      </c>
      <c r="C157" s="198">
        <v>25000</v>
      </c>
      <c r="D157" s="198">
        <v>25000</v>
      </c>
      <c r="E157" s="198">
        <v>25000</v>
      </c>
      <c r="F157" s="198">
        <v>25000</v>
      </c>
      <c r="G157" s="198">
        <v>25000</v>
      </c>
      <c r="H157" s="198">
        <v>25000</v>
      </c>
      <c r="I157" s="198">
        <v>0</v>
      </c>
      <c r="J157" s="659">
        <f t="shared" si="62"/>
        <v>0</v>
      </c>
      <c r="K157" s="1"/>
    </row>
    <row r="158" spans="1:22" x14ac:dyDescent="0.25">
      <c r="A158" s="201" t="s">
        <v>160</v>
      </c>
      <c r="B158" s="200" t="s">
        <v>194</v>
      </c>
      <c r="C158" s="191">
        <v>30000</v>
      </c>
      <c r="D158" s="191">
        <v>30000</v>
      </c>
      <c r="E158" s="191">
        <v>30000</v>
      </c>
      <c r="F158" s="191">
        <v>30000</v>
      </c>
      <c r="G158" s="191">
        <v>30000</v>
      </c>
      <c r="H158" s="191">
        <v>30000</v>
      </c>
      <c r="I158" s="191">
        <v>370</v>
      </c>
      <c r="J158" s="659">
        <f t="shared" si="62"/>
        <v>1.2333333333333333E-2</v>
      </c>
      <c r="K158" s="27"/>
    </row>
    <row r="159" spans="1:22" x14ac:dyDescent="0.25">
      <c r="A159" s="203" t="s">
        <v>96</v>
      </c>
      <c r="B159" s="202" t="s">
        <v>198</v>
      </c>
      <c r="C159" s="191">
        <v>10000</v>
      </c>
      <c r="D159" s="191">
        <v>10000</v>
      </c>
      <c r="E159" s="191">
        <v>10000</v>
      </c>
      <c r="F159" s="191">
        <v>10000</v>
      </c>
      <c r="G159" s="191">
        <v>10000</v>
      </c>
      <c r="H159" s="191">
        <v>10000</v>
      </c>
      <c r="I159" s="191">
        <v>0</v>
      </c>
      <c r="J159" s="659">
        <f t="shared" si="62"/>
        <v>0</v>
      </c>
      <c r="K159" s="1"/>
    </row>
    <row r="160" spans="1:22" x14ac:dyDescent="0.25">
      <c r="A160" s="201" t="s">
        <v>96</v>
      </c>
      <c r="B160" s="441" t="s">
        <v>570</v>
      </c>
      <c r="C160" s="191">
        <v>100000</v>
      </c>
      <c r="D160" s="191">
        <v>100000</v>
      </c>
      <c r="E160" s="627">
        <f>100000-50000</f>
        <v>50000</v>
      </c>
      <c r="F160" s="191">
        <f t="shared" ref="F160:H160" si="77">100000-50000</f>
        <v>50000</v>
      </c>
      <c r="G160" s="191">
        <f t="shared" si="77"/>
        <v>50000</v>
      </c>
      <c r="H160" s="191">
        <f t="shared" si="77"/>
        <v>50000</v>
      </c>
      <c r="I160" s="191">
        <v>0</v>
      </c>
      <c r="J160" s="659">
        <f t="shared" si="62"/>
        <v>0</v>
      </c>
      <c r="K160" s="1"/>
    </row>
    <row r="161" spans="1:15" x14ac:dyDescent="0.25">
      <c r="A161" s="203" t="s">
        <v>356</v>
      </c>
      <c r="B161" s="479" t="s">
        <v>342</v>
      </c>
      <c r="C161" s="195">
        <v>218000</v>
      </c>
      <c r="D161" s="195">
        <v>218000</v>
      </c>
      <c r="E161" s="639">
        <f>218000-15000</f>
        <v>203000</v>
      </c>
      <c r="F161" s="195">
        <f t="shared" ref="F161:H161" si="78">218000-15000</f>
        <v>203000</v>
      </c>
      <c r="G161" s="195">
        <f t="shared" si="78"/>
        <v>203000</v>
      </c>
      <c r="H161" s="195">
        <f t="shared" si="78"/>
        <v>203000</v>
      </c>
      <c r="I161" s="195">
        <v>0</v>
      </c>
      <c r="J161" s="659">
        <f t="shared" si="62"/>
        <v>0</v>
      </c>
      <c r="K161" s="1"/>
    </row>
    <row r="162" spans="1:15" x14ac:dyDescent="0.25">
      <c r="A162" s="203" t="s">
        <v>98</v>
      </c>
      <c r="B162" s="440" t="s">
        <v>319</v>
      </c>
      <c r="C162" s="195">
        <v>85000</v>
      </c>
      <c r="D162" s="195">
        <v>85000</v>
      </c>
      <c r="E162" s="195">
        <v>85000</v>
      </c>
      <c r="F162" s="195">
        <v>85000</v>
      </c>
      <c r="G162" s="195">
        <v>85000</v>
      </c>
      <c r="H162" s="195">
        <v>85000</v>
      </c>
      <c r="I162" s="195">
        <v>4196</v>
      </c>
      <c r="J162" s="659">
        <f t="shared" si="62"/>
        <v>4.9364705882352942E-2</v>
      </c>
      <c r="K162" s="1"/>
    </row>
    <row r="163" spans="1:15" x14ac:dyDescent="0.25">
      <c r="A163" s="204" t="s">
        <v>110</v>
      </c>
      <c r="B163" s="205" t="s">
        <v>320</v>
      </c>
      <c r="C163" s="199">
        <v>202000</v>
      </c>
      <c r="D163" s="199">
        <v>202000</v>
      </c>
      <c r="E163" s="199">
        <v>202000</v>
      </c>
      <c r="F163" s="199">
        <v>202000</v>
      </c>
      <c r="G163" s="199">
        <v>202000</v>
      </c>
      <c r="H163" s="199">
        <v>202000</v>
      </c>
      <c r="I163" s="199">
        <v>0</v>
      </c>
      <c r="J163" s="659">
        <f t="shared" si="62"/>
        <v>0</v>
      </c>
      <c r="K163" s="1"/>
    </row>
    <row r="164" spans="1:15" x14ac:dyDescent="0.25">
      <c r="A164" s="204" t="s">
        <v>112</v>
      </c>
      <c r="B164" s="200" t="s">
        <v>357</v>
      </c>
      <c r="C164" s="199">
        <v>200000</v>
      </c>
      <c r="D164" s="199">
        <v>200000</v>
      </c>
      <c r="E164" s="199">
        <v>200000</v>
      </c>
      <c r="F164" s="199">
        <v>200000</v>
      </c>
      <c r="G164" s="199">
        <v>200000</v>
      </c>
      <c r="H164" s="199">
        <v>200000</v>
      </c>
      <c r="I164" s="199">
        <v>0</v>
      </c>
      <c r="J164" s="659">
        <f t="shared" si="62"/>
        <v>0</v>
      </c>
      <c r="K164" s="27"/>
    </row>
    <row r="165" spans="1:15" ht="15.75" customHeight="1" x14ac:dyDescent="0.25">
      <c r="A165" s="201" t="s">
        <v>112</v>
      </c>
      <c r="B165" s="200" t="s">
        <v>191</v>
      </c>
      <c r="C165" s="191">
        <v>100886</v>
      </c>
      <c r="D165" s="191">
        <v>100886</v>
      </c>
      <c r="E165" s="627">
        <f>100886-50000</f>
        <v>50886</v>
      </c>
      <c r="F165" s="191">
        <f t="shared" ref="F165:H165" si="79">100886-50000</f>
        <v>50886</v>
      </c>
      <c r="G165" s="191">
        <f t="shared" si="79"/>
        <v>50886</v>
      </c>
      <c r="H165" s="191">
        <f t="shared" si="79"/>
        <v>50886</v>
      </c>
      <c r="I165" s="191">
        <v>0</v>
      </c>
      <c r="J165" s="659">
        <f t="shared" si="62"/>
        <v>0</v>
      </c>
      <c r="K165" s="1"/>
    </row>
    <row r="166" spans="1:15" x14ac:dyDescent="0.25">
      <c r="A166" s="207" t="s">
        <v>121</v>
      </c>
      <c r="B166" s="188" t="s">
        <v>200</v>
      </c>
      <c r="C166" s="195">
        <v>656010</v>
      </c>
      <c r="D166" s="195">
        <v>656010</v>
      </c>
      <c r="E166" s="195">
        <v>656010</v>
      </c>
      <c r="F166" s="195">
        <v>656010</v>
      </c>
      <c r="G166" s="195">
        <v>656010</v>
      </c>
      <c r="H166" s="195">
        <v>656010</v>
      </c>
      <c r="I166" s="195">
        <v>164981</v>
      </c>
      <c r="J166" s="659">
        <f t="shared" si="62"/>
        <v>0.25149159311595859</v>
      </c>
      <c r="K166" s="1"/>
    </row>
    <row r="167" spans="1:15" x14ac:dyDescent="0.25">
      <c r="A167" s="201" t="s">
        <v>123</v>
      </c>
      <c r="B167" s="300" t="s">
        <v>338</v>
      </c>
      <c r="C167" s="191">
        <v>8200</v>
      </c>
      <c r="D167" s="191">
        <v>8200</v>
      </c>
      <c r="E167" s="191">
        <v>8200</v>
      </c>
      <c r="F167" s="191">
        <v>8200</v>
      </c>
      <c r="G167" s="627">
        <f>8200+1220380</f>
        <v>1228580</v>
      </c>
      <c r="H167" s="191">
        <f>8200+1220380</f>
        <v>1228580</v>
      </c>
      <c r="I167" s="191">
        <v>0</v>
      </c>
      <c r="J167" s="659">
        <f t="shared" si="62"/>
        <v>0</v>
      </c>
      <c r="K167" s="27"/>
    </row>
    <row r="168" spans="1:15" ht="15" customHeight="1" thickBot="1" x14ac:dyDescent="0.3">
      <c r="A168" s="206" t="s">
        <v>124</v>
      </c>
      <c r="B168" s="480" t="s">
        <v>470</v>
      </c>
      <c r="C168" s="193">
        <v>7450</v>
      </c>
      <c r="D168" s="193">
        <v>7450</v>
      </c>
      <c r="E168" s="193">
        <v>7450</v>
      </c>
      <c r="F168" s="193">
        <v>7450</v>
      </c>
      <c r="G168" s="193">
        <v>7450</v>
      </c>
      <c r="H168" s="193">
        <v>7450</v>
      </c>
      <c r="I168" s="193">
        <v>0</v>
      </c>
      <c r="J168" s="659">
        <f t="shared" si="62"/>
        <v>0</v>
      </c>
      <c r="K168" s="210"/>
    </row>
    <row r="169" spans="1:15" x14ac:dyDescent="0.25">
      <c r="A169" s="208"/>
      <c r="B169" s="209"/>
      <c r="C169" s="210"/>
      <c r="D169" s="210"/>
      <c r="E169" s="210"/>
      <c r="F169" s="210"/>
      <c r="G169" s="210"/>
      <c r="H169" s="210"/>
      <c r="I169" s="210"/>
      <c r="J169" s="659"/>
      <c r="K169" s="1"/>
    </row>
    <row r="170" spans="1:15" x14ac:dyDescent="0.25">
      <c r="A170" s="211"/>
      <c r="B170" s="212"/>
      <c r="C170" s="213"/>
      <c r="D170" s="213"/>
      <c r="E170" s="213"/>
      <c r="F170" s="213"/>
      <c r="G170" s="213"/>
      <c r="H170" s="213"/>
      <c r="I170" s="213"/>
      <c r="J170" s="659"/>
      <c r="K170" s="1"/>
    </row>
    <row r="171" spans="1:15" ht="18.75" thickBot="1" x14ac:dyDescent="0.3">
      <c r="A171" s="681" t="s">
        <v>162</v>
      </c>
      <c r="B171" s="682"/>
      <c r="C171" s="682"/>
      <c r="D171" s="682"/>
      <c r="E171" s="682"/>
      <c r="F171" s="654"/>
      <c r="G171" s="654"/>
      <c r="H171" s="654"/>
      <c r="I171" s="654"/>
      <c r="J171" s="659"/>
      <c r="K171" s="27"/>
    </row>
    <row r="172" spans="1:15" ht="38.25" customHeight="1" thickBot="1" x14ac:dyDescent="0.3">
      <c r="A172" s="687" t="s">
        <v>1</v>
      </c>
      <c r="B172" s="699"/>
      <c r="C172" s="289" t="s">
        <v>455</v>
      </c>
      <c r="D172" s="289" t="s">
        <v>454</v>
      </c>
      <c r="E172" s="289" t="s">
        <v>372</v>
      </c>
      <c r="F172" s="289" t="s">
        <v>516</v>
      </c>
      <c r="G172" s="289" t="s">
        <v>532</v>
      </c>
      <c r="H172" s="289" t="s">
        <v>517</v>
      </c>
      <c r="I172" s="289" t="s">
        <v>569</v>
      </c>
      <c r="J172" s="659"/>
      <c r="K172" s="27">
        <f>E173-D173</f>
        <v>-119700</v>
      </c>
      <c r="L172" s="27">
        <f t="shared" ref="L172:N172" si="80">F173-E173</f>
        <v>0</v>
      </c>
      <c r="M172" s="27">
        <f t="shared" si="80"/>
        <v>0</v>
      </c>
      <c r="N172" s="27">
        <f t="shared" si="80"/>
        <v>0</v>
      </c>
      <c r="O172" s="27"/>
    </row>
    <row r="173" spans="1:15" ht="19.5" customHeight="1" thickBot="1" x14ac:dyDescent="0.3">
      <c r="A173" s="706" t="s">
        <v>163</v>
      </c>
      <c r="B173" s="707"/>
      <c r="C173" s="303">
        <f>SUM(C174:C190)</f>
        <v>931297</v>
      </c>
      <c r="D173" s="303">
        <f>SUM(D174:D190)</f>
        <v>931297</v>
      </c>
      <c r="E173" s="303">
        <f>SUM(E174:E190)</f>
        <v>811597</v>
      </c>
      <c r="F173" s="303">
        <f t="shared" ref="F173:I173" si="81">SUM(F174:F190)</f>
        <v>811597</v>
      </c>
      <c r="G173" s="303">
        <f t="shared" si="81"/>
        <v>811597</v>
      </c>
      <c r="H173" s="303">
        <f t="shared" si="81"/>
        <v>811597</v>
      </c>
      <c r="I173" s="303">
        <f t="shared" si="81"/>
        <v>200409</v>
      </c>
      <c r="J173" s="659">
        <f t="shared" si="62"/>
        <v>0.24693166682479112</v>
      </c>
      <c r="K173" s="27"/>
    </row>
    <row r="174" spans="1:15" x14ac:dyDescent="0.25">
      <c r="A174" s="301">
        <v>453</v>
      </c>
      <c r="B174" s="302" t="s">
        <v>251</v>
      </c>
      <c r="C174" s="64">
        <f>20000+4000</f>
        <v>24000</v>
      </c>
      <c r="D174" s="64">
        <f t="shared" ref="D174:H174" si="82">20000+4000</f>
        <v>24000</v>
      </c>
      <c r="E174" s="64">
        <f t="shared" si="82"/>
        <v>24000</v>
      </c>
      <c r="F174" s="64">
        <f t="shared" si="82"/>
        <v>24000</v>
      </c>
      <c r="G174" s="64">
        <f t="shared" si="82"/>
        <v>24000</v>
      </c>
      <c r="H174" s="64">
        <f t="shared" si="82"/>
        <v>24000</v>
      </c>
      <c r="I174" s="64">
        <v>20460</v>
      </c>
      <c r="J174" s="659">
        <f t="shared" si="62"/>
        <v>0.85250000000000004</v>
      </c>
      <c r="K174" s="27"/>
    </row>
    <row r="175" spans="1:15" x14ac:dyDescent="0.25">
      <c r="A175" s="301">
        <v>453</v>
      </c>
      <c r="B175" s="302" t="s">
        <v>349</v>
      </c>
      <c r="C175" s="64">
        <v>8740</v>
      </c>
      <c r="D175" s="64">
        <v>8740</v>
      </c>
      <c r="E175" s="64">
        <v>8740</v>
      </c>
      <c r="F175" s="64">
        <v>8740</v>
      </c>
      <c r="G175" s="64">
        <v>8740</v>
      </c>
      <c r="H175" s="64">
        <v>8740</v>
      </c>
      <c r="I175" s="64">
        <v>8740</v>
      </c>
      <c r="J175" s="659">
        <f t="shared" si="62"/>
        <v>1</v>
      </c>
      <c r="K175" s="27"/>
    </row>
    <row r="176" spans="1:15" x14ac:dyDescent="0.25">
      <c r="A176" s="301">
        <v>453</v>
      </c>
      <c r="B176" s="302" t="s">
        <v>332</v>
      </c>
      <c r="C176" s="64">
        <v>1000</v>
      </c>
      <c r="D176" s="605">
        <f>1000-400</f>
        <v>600</v>
      </c>
      <c r="E176" s="64">
        <f>1000-400</f>
        <v>600</v>
      </c>
      <c r="F176" s="64">
        <f>1000-400</f>
        <v>600</v>
      </c>
      <c r="G176" s="64">
        <f t="shared" ref="G176:H176" si="83">1000-400</f>
        <v>600</v>
      </c>
      <c r="H176" s="64">
        <f t="shared" si="83"/>
        <v>600</v>
      </c>
      <c r="I176" s="64">
        <v>589</v>
      </c>
      <c r="J176" s="659">
        <f t="shared" si="62"/>
        <v>0.98166666666666669</v>
      </c>
      <c r="K176" s="27"/>
    </row>
    <row r="177" spans="1:15" x14ac:dyDescent="0.25">
      <c r="A177" s="615">
        <v>453</v>
      </c>
      <c r="B177" s="284" t="s">
        <v>252</v>
      </c>
      <c r="C177" s="64">
        <v>1000</v>
      </c>
      <c r="D177" s="64">
        <v>1000</v>
      </c>
      <c r="E177" s="64">
        <v>1000</v>
      </c>
      <c r="F177" s="64">
        <v>1000</v>
      </c>
      <c r="G177" s="64">
        <v>1000</v>
      </c>
      <c r="H177" s="64">
        <v>1000</v>
      </c>
      <c r="I177" s="64">
        <v>754</v>
      </c>
      <c r="J177" s="659">
        <f t="shared" si="62"/>
        <v>0.754</v>
      </c>
      <c r="K177" s="27"/>
    </row>
    <row r="178" spans="1:15" x14ac:dyDescent="0.25">
      <c r="A178" s="615">
        <v>453</v>
      </c>
      <c r="B178" s="284" t="s">
        <v>514</v>
      </c>
      <c r="C178" s="64">
        <v>0</v>
      </c>
      <c r="D178" s="605">
        <v>400</v>
      </c>
      <c r="E178" s="64">
        <v>400</v>
      </c>
      <c r="F178" s="64">
        <v>400</v>
      </c>
      <c r="G178" s="64">
        <v>400</v>
      </c>
      <c r="H178" s="64">
        <v>400</v>
      </c>
      <c r="I178" s="64">
        <v>319</v>
      </c>
      <c r="J178" s="659">
        <f t="shared" si="62"/>
        <v>0.79749999999999999</v>
      </c>
      <c r="K178" s="27">
        <f>SUM(C174:C179)</f>
        <v>36740</v>
      </c>
      <c r="L178" s="27">
        <f>SUM(D174:D179)</f>
        <v>36740</v>
      </c>
      <c r="M178" s="27">
        <f>SUM(E174:E179)</f>
        <v>36740</v>
      </c>
    </row>
    <row r="179" spans="1:15" ht="15.75" thickBot="1" x14ac:dyDescent="0.3">
      <c r="A179" s="640">
        <v>453</v>
      </c>
      <c r="B179" s="641" t="s">
        <v>250</v>
      </c>
      <c r="C179" s="642">
        <v>2000</v>
      </c>
      <c r="D179" s="642">
        <v>2000</v>
      </c>
      <c r="E179" s="642">
        <v>2000</v>
      </c>
      <c r="F179" s="642">
        <v>2000</v>
      </c>
      <c r="G179" s="642">
        <v>2000</v>
      </c>
      <c r="H179" s="642">
        <v>2000</v>
      </c>
      <c r="I179" s="642">
        <v>0</v>
      </c>
      <c r="J179" s="659">
        <f t="shared" si="62"/>
        <v>0</v>
      </c>
    </row>
    <row r="180" spans="1:15" x14ac:dyDescent="0.25">
      <c r="A180" s="376">
        <v>453</v>
      </c>
      <c r="B180" s="432" t="s">
        <v>337</v>
      </c>
      <c r="C180" s="377">
        <v>105400</v>
      </c>
      <c r="D180" s="377">
        <v>105400</v>
      </c>
      <c r="E180" s="377">
        <v>105400</v>
      </c>
      <c r="F180" s="377">
        <v>105400</v>
      </c>
      <c r="G180" s="377">
        <v>105400</v>
      </c>
      <c r="H180" s="377">
        <v>105400</v>
      </c>
      <c r="I180" s="377">
        <v>0</v>
      </c>
      <c r="J180" s="659">
        <f t="shared" si="62"/>
        <v>0</v>
      </c>
      <c r="K180" s="27"/>
      <c r="L180" s="27"/>
      <c r="M180" s="27"/>
    </row>
    <row r="181" spans="1:15" x14ac:dyDescent="0.25">
      <c r="A181" s="214">
        <v>453</v>
      </c>
      <c r="B181" s="215" t="s">
        <v>348</v>
      </c>
      <c r="C181" s="216">
        <v>91310</v>
      </c>
      <c r="D181" s="216">
        <v>91310</v>
      </c>
      <c r="E181" s="216">
        <v>91310</v>
      </c>
      <c r="F181" s="216">
        <v>91310</v>
      </c>
      <c r="G181" s="216">
        <v>91310</v>
      </c>
      <c r="H181" s="216">
        <v>91310</v>
      </c>
      <c r="I181" s="216">
        <v>91304</v>
      </c>
      <c r="J181" s="659">
        <f t="shared" si="62"/>
        <v>0.99993428978206111</v>
      </c>
      <c r="K181" s="27"/>
      <c r="L181" s="27"/>
      <c r="M181" s="27"/>
    </row>
    <row r="182" spans="1:15" x14ac:dyDescent="0.25">
      <c r="A182" s="301">
        <v>453</v>
      </c>
      <c r="B182" s="302" t="s">
        <v>339</v>
      </c>
      <c r="C182" s="64">
        <v>79700</v>
      </c>
      <c r="D182" s="64">
        <v>79700</v>
      </c>
      <c r="E182" s="64">
        <v>79700</v>
      </c>
      <c r="F182" s="64">
        <v>79700</v>
      </c>
      <c r="G182" s="64">
        <v>79700</v>
      </c>
      <c r="H182" s="64">
        <v>79700</v>
      </c>
      <c r="I182" s="64">
        <v>0</v>
      </c>
      <c r="J182" s="659">
        <f t="shared" si="62"/>
        <v>0</v>
      </c>
      <c r="K182" s="27"/>
    </row>
    <row r="183" spans="1:15" x14ac:dyDescent="0.25">
      <c r="A183" s="433">
        <v>453</v>
      </c>
      <c r="B183" s="284" t="s">
        <v>358</v>
      </c>
      <c r="C183" s="434">
        <v>70000</v>
      </c>
      <c r="D183" s="434">
        <v>70000</v>
      </c>
      <c r="E183" s="434">
        <v>70000</v>
      </c>
      <c r="F183" s="434">
        <v>70000</v>
      </c>
      <c r="G183" s="434">
        <v>70000</v>
      </c>
      <c r="H183" s="434">
        <v>70000</v>
      </c>
      <c r="I183" s="434">
        <v>0</v>
      </c>
      <c r="J183" s="659">
        <f t="shared" si="62"/>
        <v>0</v>
      </c>
      <c r="K183" s="27">
        <f>SUM(H180:H184)</f>
        <v>347296</v>
      </c>
      <c r="L183" s="27">
        <f>SUM(I180:I184)</f>
        <v>91304</v>
      </c>
      <c r="M183" s="27"/>
      <c r="O183" s="310">
        <f>M152</f>
        <v>771296</v>
      </c>
    </row>
    <row r="184" spans="1:15" ht="15.75" thickBot="1" x14ac:dyDescent="0.3">
      <c r="A184" s="376">
        <v>453</v>
      </c>
      <c r="B184" s="432" t="s">
        <v>232</v>
      </c>
      <c r="C184" s="377">
        <v>886</v>
      </c>
      <c r="D184" s="377">
        <v>886</v>
      </c>
      <c r="E184" s="377">
        <v>886</v>
      </c>
      <c r="F184" s="377">
        <v>886</v>
      </c>
      <c r="G184" s="377">
        <v>886</v>
      </c>
      <c r="H184" s="377">
        <v>886</v>
      </c>
      <c r="I184" s="377">
        <v>0</v>
      </c>
      <c r="J184" s="659">
        <f t="shared" si="62"/>
        <v>0</v>
      </c>
      <c r="K184" s="310">
        <f>SUM(H174:H184)</f>
        <v>384036</v>
      </c>
      <c r="L184" s="310">
        <f>SUM(I174:I184)</f>
        <v>122166</v>
      </c>
      <c r="O184" s="310">
        <f>O183-M183-M186</f>
        <v>771296</v>
      </c>
    </row>
    <row r="185" spans="1:15" x14ac:dyDescent="0.25">
      <c r="A185" s="285">
        <v>454</v>
      </c>
      <c r="B185" s="286" t="s">
        <v>350</v>
      </c>
      <c r="C185" s="287">
        <v>0</v>
      </c>
      <c r="D185" s="287">
        <v>0</v>
      </c>
      <c r="E185" s="287">
        <v>0</v>
      </c>
      <c r="F185" s="287">
        <v>0</v>
      </c>
      <c r="G185" s="287">
        <v>0</v>
      </c>
      <c r="H185" s="287">
        <v>0</v>
      </c>
      <c r="I185" s="287">
        <v>0</v>
      </c>
      <c r="J185" s="659">
        <v>0</v>
      </c>
      <c r="K185" s="310"/>
      <c r="L185" s="310"/>
      <c r="O185" s="310"/>
    </row>
    <row r="186" spans="1:15" ht="15.75" thickBot="1" x14ac:dyDescent="0.3">
      <c r="A186" s="217">
        <v>454</v>
      </c>
      <c r="B186" s="218" t="s">
        <v>311</v>
      </c>
      <c r="C186" s="219">
        <v>543700</v>
      </c>
      <c r="D186" s="219">
        <v>543700</v>
      </c>
      <c r="E186" s="643">
        <f>543700-119700</f>
        <v>424000</v>
      </c>
      <c r="F186" s="219">
        <f t="shared" ref="F186:H186" si="84">543700-119700</f>
        <v>424000</v>
      </c>
      <c r="G186" s="219">
        <f t="shared" si="84"/>
        <v>424000</v>
      </c>
      <c r="H186" s="219">
        <f t="shared" si="84"/>
        <v>424000</v>
      </c>
      <c r="I186" s="219">
        <v>78243</v>
      </c>
      <c r="J186" s="659">
        <f t="shared" si="62"/>
        <v>0.18453537735849057</v>
      </c>
      <c r="K186" s="27">
        <f>SUM(H185:H186)</f>
        <v>424000</v>
      </c>
      <c r="L186" s="27">
        <f>SUM(I185:I186)</f>
        <v>78243</v>
      </c>
      <c r="M186" s="27"/>
      <c r="O186" s="310"/>
    </row>
    <row r="187" spans="1:15" ht="15" customHeight="1" x14ac:dyDescent="0.25">
      <c r="A187" s="376">
        <v>456</v>
      </c>
      <c r="B187" s="284" t="s">
        <v>233</v>
      </c>
      <c r="C187" s="377">
        <v>3421</v>
      </c>
      <c r="D187" s="377">
        <v>3421</v>
      </c>
      <c r="E187" s="377">
        <v>3421</v>
      </c>
      <c r="F187" s="377">
        <v>3421</v>
      </c>
      <c r="G187" s="377">
        <v>3421</v>
      </c>
      <c r="H187" s="377">
        <v>3421</v>
      </c>
      <c r="I187" s="377">
        <v>0</v>
      </c>
      <c r="J187" s="659">
        <f t="shared" si="62"/>
        <v>0</v>
      </c>
      <c r="K187" s="27"/>
      <c r="L187" s="27"/>
      <c r="M187" s="27"/>
    </row>
    <row r="188" spans="1:15" ht="14.25" customHeight="1" x14ac:dyDescent="0.25">
      <c r="A188" s="301">
        <v>456</v>
      </c>
      <c r="B188" s="302" t="s">
        <v>234</v>
      </c>
      <c r="C188" s="64">
        <v>40</v>
      </c>
      <c r="D188" s="64">
        <v>40</v>
      </c>
      <c r="E188" s="64">
        <v>40</v>
      </c>
      <c r="F188" s="64">
        <v>40</v>
      </c>
      <c r="G188" s="64">
        <v>40</v>
      </c>
      <c r="H188" s="64">
        <v>40</v>
      </c>
      <c r="I188" s="64">
        <v>0</v>
      </c>
      <c r="J188" s="659">
        <f t="shared" si="62"/>
        <v>0</v>
      </c>
      <c r="K188" s="1"/>
    </row>
    <row r="189" spans="1:15" ht="15.75" thickBot="1" x14ac:dyDescent="0.3">
      <c r="A189" s="433">
        <v>456</v>
      </c>
      <c r="B189" s="284" t="s">
        <v>253</v>
      </c>
      <c r="C189" s="434">
        <v>100</v>
      </c>
      <c r="D189" s="434">
        <v>100</v>
      </c>
      <c r="E189" s="434">
        <v>100</v>
      </c>
      <c r="F189" s="434">
        <v>100</v>
      </c>
      <c r="G189" s="434">
        <v>100</v>
      </c>
      <c r="H189" s="434">
        <v>100</v>
      </c>
      <c r="I189" s="434">
        <v>0</v>
      </c>
      <c r="J189" s="659">
        <f t="shared" si="62"/>
        <v>0</v>
      </c>
      <c r="K189" s="27">
        <f>SUM(H187:H189)</f>
        <v>3561</v>
      </c>
      <c r="L189" s="27">
        <f>SUM(I187:I189)</f>
        <v>0</v>
      </c>
      <c r="M189" s="27"/>
    </row>
    <row r="190" spans="1:15" ht="15.75" thickBot="1" x14ac:dyDescent="0.3">
      <c r="A190" s="285">
        <v>513</v>
      </c>
      <c r="B190" s="286" t="s">
        <v>164</v>
      </c>
      <c r="C190" s="287">
        <v>0</v>
      </c>
      <c r="D190" s="287">
        <v>0</v>
      </c>
      <c r="E190" s="287">
        <v>0</v>
      </c>
      <c r="F190" s="287">
        <v>0</v>
      </c>
      <c r="G190" s="287">
        <v>0</v>
      </c>
      <c r="H190" s="287">
        <v>0</v>
      </c>
      <c r="I190" s="287">
        <v>0</v>
      </c>
      <c r="J190" s="659">
        <v>0</v>
      </c>
      <c r="K190" s="27"/>
    </row>
    <row r="191" spans="1:15" ht="16.5" thickBot="1" x14ac:dyDescent="0.3">
      <c r="A191" s="706" t="s">
        <v>165</v>
      </c>
      <c r="B191" s="707"/>
      <c r="C191" s="303">
        <f>SUM(C192:C195)</f>
        <v>4601</v>
      </c>
      <c r="D191" s="303">
        <f>SUM(D192:D195)</f>
        <v>4601</v>
      </c>
      <c r="E191" s="303">
        <f>SUM(E192:E195)</f>
        <v>4601</v>
      </c>
      <c r="F191" s="303">
        <f>SUM(F192:F195)</f>
        <v>4601</v>
      </c>
      <c r="G191" s="303">
        <f>SUM(G192:G195)</f>
        <v>4601</v>
      </c>
      <c r="H191" s="303">
        <f>SUM(H192:H195)</f>
        <v>4601</v>
      </c>
      <c r="I191" s="303">
        <f>SUM(I192:I195)</f>
        <v>256</v>
      </c>
      <c r="J191" s="659">
        <f t="shared" si="62"/>
        <v>5.5640078243860032E-2</v>
      </c>
      <c r="K191" s="27">
        <f>E191-D191</f>
        <v>0</v>
      </c>
      <c r="L191" s="27">
        <f t="shared" ref="L191:N191" si="85">F191-E191</f>
        <v>0</v>
      </c>
      <c r="M191" s="27">
        <f t="shared" si="85"/>
        <v>0</v>
      </c>
      <c r="N191" s="27">
        <f t="shared" si="85"/>
        <v>0</v>
      </c>
    </row>
    <row r="192" spans="1:15" ht="17.25" customHeight="1" x14ac:dyDescent="0.25">
      <c r="A192" s="220">
        <v>819</v>
      </c>
      <c r="B192" s="221" t="s">
        <v>166</v>
      </c>
      <c r="C192" s="153">
        <v>100</v>
      </c>
      <c r="D192" s="153">
        <v>100</v>
      </c>
      <c r="E192" s="153">
        <v>100</v>
      </c>
      <c r="F192" s="153">
        <v>100</v>
      </c>
      <c r="G192" s="153">
        <v>100</v>
      </c>
      <c r="H192" s="153">
        <v>100</v>
      </c>
      <c r="I192" s="153">
        <v>0</v>
      </c>
      <c r="J192" s="659">
        <f t="shared" si="62"/>
        <v>0</v>
      </c>
      <c r="K192" s="1"/>
    </row>
    <row r="193" spans="1:13" x14ac:dyDescent="0.25">
      <c r="A193" s="222">
        <v>819</v>
      </c>
      <c r="B193" s="223" t="s">
        <v>235</v>
      </c>
      <c r="C193" s="56">
        <v>40</v>
      </c>
      <c r="D193" s="56">
        <v>40</v>
      </c>
      <c r="E193" s="56">
        <v>40</v>
      </c>
      <c r="F193" s="56">
        <v>40</v>
      </c>
      <c r="G193" s="56">
        <v>40</v>
      </c>
      <c r="H193" s="56">
        <v>40</v>
      </c>
      <c r="I193" s="56">
        <v>0</v>
      </c>
      <c r="J193" s="659">
        <f t="shared" si="62"/>
        <v>0</v>
      </c>
      <c r="K193" s="1"/>
    </row>
    <row r="194" spans="1:13" x14ac:dyDescent="0.25">
      <c r="A194" s="222">
        <v>819</v>
      </c>
      <c r="B194" s="360" t="s">
        <v>236</v>
      </c>
      <c r="C194" s="56">
        <v>3421</v>
      </c>
      <c r="D194" s="56">
        <v>3421</v>
      </c>
      <c r="E194" s="56">
        <v>3421</v>
      </c>
      <c r="F194" s="56">
        <v>3421</v>
      </c>
      <c r="G194" s="56">
        <v>3421</v>
      </c>
      <c r="H194" s="56">
        <v>3421</v>
      </c>
      <c r="I194" s="56">
        <v>0</v>
      </c>
      <c r="J194" s="659">
        <f t="shared" si="62"/>
        <v>0</v>
      </c>
      <c r="K194" s="132"/>
    </row>
    <row r="195" spans="1:13" ht="15.75" thickBot="1" x14ac:dyDescent="0.3">
      <c r="A195" s="224">
        <v>821</v>
      </c>
      <c r="B195" s="225" t="s">
        <v>167</v>
      </c>
      <c r="C195" s="115">
        <v>1040</v>
      </c>
      <c r="D195" s="115">
        <v>1040</v>
      </c>
      <c r="E195" s="115">
        <v>1040</v>
      </c>
      <c r="F195" s="115">
        <v>1040</v>
      </c>
      <c r="G195" s="115">
        <v>1040</v>
      </c>
      <c r="H195" s="115">
        <v>1040</v>
      </c>
      <c r="I195" s="115">
        <v>256</v>
      </c>
      <c r="J195" s="659">
        <f t="shared" si="62"/>
        <v>0.24615384615384617</v>
      </c>
      <c r="K195" s="209"/>
    </row>
    <row r="196" spans="1:13" x14ac:dyDescent="0.25">
      <c r="A196" s="211"/>
      <c r="B196" s="226"/>
      <c r="C196" s="132"/>
      <c r="D196" s="132"/>
      <c r="E196" s="132"/>
      <c r="F196" s="132"/>
      <c r="G196" s="132"/>
      <c r="H196" s="132"/>
      <c r="I196" s="132"/>
      <c r="J196" s="659"/>
      <c r="K196" s="1"/>
    </row>
    <row r="197" spans="1:13" ht="15.75" x14ac:dyDescent="0.25">
      <c r="A197" s="101"/>
      <c r="B197" s="209"/>
      <c r="C197" s="209"/>
      <c r="D197" s="209"/>
      <c r="E197" s="209"/>
      <c r="F197" s="209"/>
      <c r="G197" s="209"/>
      <c r="H197" s="209"/>
      <c r="I197" s="209"/>
      <c r="J197" s="659"/>
    </row>
    <row r="198" spans="1:13" ht="25.5" customHeight="1" thickBot="1" x14ac:dyDescent="0.3">
      <c r="A198" s="708" t="s">
        <v>168</v>
      </c>
      <c r="B198" s="709"/>
      <c r="C198" s="709"/>
      <c r="D198" s="709"/>
      <c r="E198" s="709"/>
      <c r="F198" s="655"/>
      <c r="G198" s="655"/>
      <c r="H198" s="655"/>
      <c r="I198" s="655"/>
      <c r="J198" s="659"/>
      <c r="K198" s="1"/>
    </row>
    <row r="199" spans="1:13" ht="59.25" customHeight="1" thickBot="1" x14ac:dyDescent="0.3">
      <c r="A199" s="687" t="s">
        <v>1</v>
      </c>
      <c r="B199" s="699"/>
      <c r="C199" s="289" t="s">
        <v>455</v>
      </c>
      <c r="D199" s="289" t="s">
        <v>454</v>
      </c>
      <c r="E199" s="289" t="s">
        <v>372</v>
      </c>
      <c r="F199" s="289" t="s">
        <v>516</v>
      </c>
      <c r="G199" s="289" t="s">
        <v>532</v>
      </c>
      <c r="H199" s="289" t="s">
        <v>517</v>
      </c>
      <c r="I199" s="289" t="s">
        <v>569</v>
      </c>
      <c r="J199" s="659"/>
      <c r="K199" s="1"/>
    </row>
    <row r="200" spans="1:13" ht="15.75" x14ac:dyDescent="0.25">
      <c r="A200" s="227" t="s">
        <v>169</v>
      </c>
      <c r="B200" s="29"/>
      <c r="C200" s="228">
        <f>C72</f>
        <v>2776003</v>
      </c>
      <c r="D200" s="228">
        <f>D72</f>
        <v>2833804</v>
      </c>
      <c r="E200" s="228">
        <f>E72</f>
        <v>2841504</v>
      </c>
      <c r="F200" s="228">
        <f>F72</f>
        <v>2893604</v>
      </c>
      <c r="G200" s="228">
        <f>G72</f>
        <v>2905024</v>
      </c>
      <c r="H200" s="228">
        <f>H72</f>
        <v>2908156</v>
      </c>
      <c r="I200" s="228">
        <f>I72</f>
        <v>816202</v>
      </c>
      <c r="J200" s="659"/>
      <c r="K200" s="1"/>
    </row>
    <row r="201" spans="1:13" ht="15.75" x14ac:dyDescent="0.25">
      <c r="A201" s="229" t="s">
        <v>170</v>
      </c>
      <c r="B201" s="230"/>
      <c r="C201" s="231">
        <f>C138</f>
        <v>2811703</v>
      </c>
      <c r="D201" s="231">
        <f>D138</f>
        <v>2869504</v>
      </c>
      <c r="E201" s="231">
        <f>E138</f>
        <v>2877204</v>
      </c>
      <c r="F201" s="231">
        <f>F138</f>
        <v>2929304</v>
      </c>
      <c r="G201" s="231">
        <f>G138</f>
        <v>2940724</v>
      </c>
      <c r="H201" s="231">
        <f>H138</f>
        <v>2943856</v>
      </c>
      <c r="I201" s="231">
        <f>I138</f>
        <v>646161</v>
      </c>
      <c r="J201" s="659"/>
      <c r="K201" s="1"/>
    </row>
    <row r="202" spans="1:13" ht="15.75" x14ac:dyDescent="0.25">
      <c r="A202" s="702" t="s">
        <v>171</v>
      </c>
      <c r="B202" s="703"/>
      <c r="C202" s="232">
        <f t="shared" ref="C202:I202" si="86">C200-C201</f>
        <v>-35700</v>
      </c>
      <c r="D202" s="232">
        <f t="shared" si="86"/>
        <v>-35700</v>
      </c>
      <c r="E202" s="232">
        <f t="shared" si="86"/>
        <v>-35700</v>
      </c>
      <c r="F202" s="232">
        <f t="shared" si="86"/>
        <v>-35700</v>
      </c>
      <c r="G202" s="232">
        <f t="shared" si="86"/>
        <v>-35700</v>
      </c>
      <c r="H202" s="232">
        <f t="shared" si="86"/>
        <v>-35700</v>
      </c>
      <c r="I202" s="232">
        <f t="shared" si="86"/>
        <v>170041</v>
      </c>
      <c r="J202" s="659"/>
      <c r="K202" s="27">
        <f>C202-C195</f>
        <v>-36740</v>
      </c>
      <c r="L202" s="310">
        <f>D202-D195</f>
        <v>-36740</v>
      </c>
      <c r="M202" s="310">
        <f>E202-E195</f>
        <v>-36740</v>
      </c>
    </row>
    <row r="203" spans="1:13" ht="15.75" x14ac:dyDescent="0.25">
      <c r="A203" s="229" t="s">
        <v>172</v>
      </c>
      <c r="B203" s="18"/>
      <c r="C203" s="231">
        <f>C143</f>
        <v>1143050</v>
      </c>
      <c r="D203" s="231">
        <f>D143</f>
        <v>1143050</v>
      </c>
      <c r="E203" s="231">
        <f>E143</f>
        <v>1334050</v>
      </c>
      <c r="F203" s="231">
        <f>F143</f>
        <v>1334050</v>
      </c>
      <c r="G203" s="231">
        <f>G143</f>
        <v>2501730</v>
      </c>
      <c r="H203" s="231">
        <f>H143</f>
        <v>2501730</v>
      </c>
      <c r="I203" s="231">
        <f>I143</f>
        <v>0</v>
      </c>
      <c r="J203" s="659"/>
      <c r="K203" s="1"/>
    </row>
    <row r="204" spans="1:13" ht="15.75" x14ac:dyDescent="0.25">
      <c r="A204" s="229" t="s">
        <v>173</v>
      </c>
      <c r="B204" s="18"/>
      <c r="C204" s="20">
        <f>C153</f>
        <v>2034046</v>
      </c>
      <c r="D204" s="20">
        <f>D153</f>
        <v>2034046</v>
      </c>
      <c r="E204" s="20">
        <f>E153</f>
        <v>2105346</v>
      </c>
      <c r="F204" s="20">
        <f>F153</f>
        <v>2105346</v>
      </c>
      <c r="G204" s="20">
        <f>G153</f>
        <v>3273026</v>
      </c>
      <c r="H204" s="20">
        <f>H153</f>
        <v>3273026</v>
      </c>
      <c r="I204" s="20">
        <f>I153</f>
        <v>169547</v>
      </c>
      <c r="J204" s="659"/>
      <c r="K204" s="1"/>
    </row>
    <row r="205" spans="1:13" ht="15.75" x14ac:dyDescent="0.25">
      <c r="A205" s="702" t="s">
        <v>174</v>
      </c>
      <c r="B205" s="703"/>
      <c r="C205" s="232">
        <f t="shared" ref="C205:I205" si="87">C203-C204</f>
        <v>-890996</v>
      </c>
      <c r="D205" s="232">
        <f t="shared" si="87"/>
        <v>-890996</v>
      </c>
      <c r="E205" s="232">
        <f t="shared" si="87"/>
        <v>-771296</v>
      </c>
      <c r="F205" s="232">
        <f t="shared" si="87"/>
        <v>-771296</v>
      </c>
      <c r="G205" s="232">
        <f t="shared" si="87"/>
        <v>-771296</v>
      </c>
      <c r="H205" s="232">
        <f t="shared" si="87"/>
        <v>-771296</v>
      </c>
      <c r="I205" s="232">
        <f t="shared" si="87"/>
        <v>-169547</v>
      </c>
      <c r="J205" s="659"/>
      <c r="K205" s="1"/>
    </row>
    <row r="206" spans="1:13" ht="15.75" x14ac:dyDescent="0.25">
      <c r="A206" s="233" t="s">
        <v>175</v>
      </c>
      <c r="B206" s="234"/>
      <c r="C206" s="235">
        <f>C173</f>
        <v>931297</v>
      </c>
      <c r="D206" s="235">
        <f>D173</f>
        <v>931297</v>
      </c>
      <c r="E206" s="235">
        <f>E173</f>
        <v>811597</v>
      </c>
      <c r="F206" s="235">
        <f>F173</f>
        <v>811597</v>
      </c>
      <c r="G206" s="235">
        <f>G173</f>
        <v>811597</v>
      </c>
      <c r="H206" s="235">
        <f>H173</f>
        <v>811597</v>
      </c>
      <c r="I206" s="235">
        <f>I173</f>
        <v>200409</v>
      </c>
      <c r="J206" s="659"/>
      <c r="K206" s="1"/>
    </row>
    <row r="207" spans="1:13" ht="15.75" x14ac:dyDescent="0.25">
      <c r="A207" s="233" t="s">
        <v>176</v>
      </c>
      <c r="B207" s="234"/>
      <c r="C207" s="235">
        <f>C191</f>
        <v>4601</v>
      </c>
      <c r="D207" s="235">
        <f>D191</f>
        <v>4601</v>
      </c>
      <c r="E207" s="235">
        <f>E191</f>
        <v>4601</v>
      </c>
      <c r="F207" s="235">
        <f>F191</f>
        <v>4601</v>
      </c>
      <c r="G207" s="235">
        <f>G191</f>
        <v>4601</v>
      </c>
      <c r="H207" s="235">
        <f>H191</f>
        <v>4601</v>
      </c>
      <c r="I207" s="235">
        <f>I191</f>
        <v>256</v>
      </c>
      <c r="J207" s="659"/>
      <c r="K207" s="1"/>
    </row>
    <row r="208" spans="1:13" ht="16.5" thickBot="1" x14ac:dyDescent="0.3">
      <c r="A208" s="704" t="s">
        <v>177</v>
      </c>
      <c r="B208" s="705"/>
      <c r="C208" s="236">
        <f t="shared" ref="C208:I208" si="88">C206-C207</f>
        <v>926696</v>
      </c>
      <c r="D208" s="236">
        <f t="shared" si="88"/>
        <v>926696</v>
      </c>
      <c r="E208" s="236">
        <f t="shared" si="88"/>
        <v>806996</v>
      </c>
      <c r="F208" s="236">
        <f t="shared" si="88"/>
        <v>806996</v>
      </c>
      <c r="G208" s="236">
        <f t="shared" si="88"/>
        <v>806996</v>
      </c>
      <c r="H208" s="236">
        <f t="shared" si="88"/>
        <v>806996</v>
      </c>
      <c r="I208" s="236">
        <f t="shared" si="88"/>
        <v>200153</v>
      </c>
      <c r="J208" s="659"/>
      <c r="K208" s="1"/>
    </row>
    <row r="209" spans="1:17" ht="32.25" customHeight="1" thickBot="1" x14ac:dyDescent="0.3">
      <c r="A209" s="237" t="s">
        <v>178</v>
      </c>
      <c r="B209" s="238"/>
      <c r="C209" s="239">
        <f t="shared" ref="C209:I209" si="89">C202+C205+C208</f>
        <v>0</v>
      </c>
      <c r="D209" s="239">
        <f t="shared" si="89"/>
        <v>0</v>
      </c>
      <c r="E209" s="239">
        <f t="shared" si="89"/>
        <v>0</v>
      </c>
      <c r="F209" s="239">
        <f t="shared" si="89"/>
        <v>0</v>
      </c>
      <c r="G209" s="239">
        <f t="shared" si="89"/>
        <v>0</v>
      </c>
      <c r="H209" s="239">
        <f t="shared" si="89"/>
        <v>0</v>
      </c>
      <c r="I209" s="239">
        <f t="shared" si="89"/>
        <v>200647</v>
      </c>
      <c r="J209" s="659"/>
      <c r="K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7" x14ac:dyDescent="0.25">
      <c r="A211" s="1"/>
      <c r="B211" s="437" t="s">
        <v>312</v>
      </c>
      <c r="C211" s="438">
        <f t="shared" ref="C211:I212" si="90">C200+C203+C206</f>
        <v>4850350</v>
      </c>
      <c r="D211" s="438">
        <f t="shared" si="90"/>
        <v>4908151</v>
      </c>
      <c r="E211" s="438">
        <f t="shared" si="90"/>
        <v>4987151</v>
      </c>
      <c r="F211" s="438">
        <f t="shared" si="90"/>
        <v>5039251</v>
      </c>
      <c r="G211" s="438">
        <f t="shared" si="90"/>
        <v>6218351</v>
      </c>
      <c r="H211" s="438">
        <f t="shared" si="90"/>
        <v>6221483</v>
      </c>
      <c r="I211" s="438">
        <f t="shared" si="90"/>
        <v>1016611</v>
      </c>
      <c r="J211" s="438"/>
      <c r="K211" s="1"/>
      <c r="L211" s="310">
        <f t="shared" ref="L211:P219" si="91">D211-C211</f>
        <v>57801</v>
      </c>
      <c r="M211" s="310">
        <f t="shared" si="91"/>
        <v>79000</v>
      </c>
      <c r="N211" s="310">
        <f t="shared" si="91"/>
        <v>52100</v>
      </c>
      <c r="O211" s="310">
        <f t="shared" si="91"/>
        <v>1179100</v>
      </c>
      <c r="P211" s="310">
        <f t="shared" si="91"/>
        <v>3132</v>
      </c>
    </row>
    <row r="212" spans="1:17" x14ac:dyDescent="0.25">
      <c r="A212" s="1"/>
      <c r="B212" s="437" t="s">
        <v>313</v>
      </c>
      <c r="C212" s="438">
        <f t="shared" si="90"/>
        <v>4850350</v>
      </c>
      <c r="D212" s="438">
        <f t="shared" si="90"/>
        <v>4908151</v>
      </c>
      <c r="E212" s="438">
        <f t="shared" si="90"/>
        <v>4987151</v>
      </c>
      <c r="F212" s="438">
        <f t="shared" si="90"/>
        <v>5039251</v>
      </c>
      <c r="G212" s="438">
        <f t="shared" si="90"/>
        <v>6218351</v>
      </c>
      <c r="H212" s="438">
        <f t="shared" si="90"/>
        <v>6221483</v>
      </c>
      <c r="I212" s="438">
        <f t="shared" si="90"/>
        <v>815964</v>
      </c>
      <c r="J212" s="438"/>
      <c r="K212" s="1"/>
      <c r="L212" s="310">
        <f t="shared" si="91"/>
        <v>57801</v>
      </c>
      <c r="M212" s="310">
        <f t="shared" si="91"/>
        <v>79000</v>
      </c>
      <c r="N212" s="310">
        <f t="shared" si="91"/>
        <v>52100</v>
      </c>
      <c r="O212" s="310">
        <f t="shared" si="91"/>
        <v>1179100</v>
      </c>
      <c r="P212" s="310">
        <f t="shared" si="91"/>
        <v>3132</v>
      </c>
      <c r="Q212" s="310"/>
    </row>
    <row r="213" spans="1:17" x14ac:dyDescent="0.25">
      <c r="A213" s="1"/>
      <c r="B213" s="437"/>
      <c r="C213" s="438"/>
      <c r="D213" s="438"/>
      <c r="E213" s="438"/>
      <c r="F213" s="438"/>
      <c r="G213" s="438"/>
      <c r="H213" s="438"/>
      <c r="I213" s="438"/>
      <c r="J213" s="438"/>
      <c r="K213" s="1"/>
      <c r="L213" s="310"/>
      <c r="M213" s="310"/>
      <c r="N213" s="310"/>
      <c r="O213" s="310"/>
      <c r="P213" s="310"/>
    </row>
    <row r="214" spans="1:17" x14ac:dyDescent="0.25">
      <c r="A214" s="1"/>
      <c r="B214" s="437" t="s">
        <v>314</v>
      </c>
      <c r="C214" s="438">
        <f>C211-C71</f>
        <v>4832850</v>
      </c>
      <c r="D214" s="438">
        <f>D211-D71</f>
        <v>4890651</v>
      </c>
      <c r="E214" s="438">
        <f>E211-E71</f>
        <v>4969651</v>
      </c>
      <c r="F214" s="438">
        <f>F211-F71</f>
        <v>5021751</v>
      </c>
      <c r="G214" s="438">
        <f>G211-G71</f>
        <v>6200851</v>
      </c>
      <c r="H214" s="438">
        <f>H211-H71</f>
        <v>6203983</v>
      </c>
      <c r="I214" s="438">
        <f>I211-I71</f>
        <v>1010319</v>
      </c>
      <c r="J214" s="438"/>
      <c r="K214" s="1"/>
      <c r="L214" s="310">
        <f t="shared" si="91"/>
        <v>57801</v>
      </c>
      <c r="M214" s="310">
        <f t="shared" si="91"/>
        <v>79000</v>
      </c>
      <c r="N214" s="310">
        <f t="shared" si="91"/>
        <v>52100</v>
      </c>
      <c r="O214" s="310">
        <f t="shared" si="91"/>
        <v>1179100</v>
      </c>
      <c r="P214" s="310">
        <f t="shared" si="91"/>
        <v>3132</v>
      </c>
      <c r="Q214" s="310">
        <f>SUM(O214:P214)</f>
        <v>1182232</v>
      </c>
    </row>
    <row r="215" spans="1:17" x14ac:dyDescent="0.25">
      <c r="A215" s="1"/>
      <c r="B215" s="437" t="s">
        <v>315</v>
      </c>
      <c r="C215" s="438">
        <f>C212-C137</f>
        <v>3839878</v>
      </c>
      <c r="D215" s="438">
        <f>D212-D137</f>
        <v>3850946</v>
      </c>
      <c r="E215" s="438">
        <f>E212-E137</f>
        <v>3929946</v>
      </c>
      <c r="F215" s="438">
        <f>F212-F137</f>
        <v>3982046</v>
      </c>
      <c r="G215" s="438">
        <f>G212-G137</f>
        <v>5161146</v>
      </c>
      <c r="H215" s="438">
        <f>H212-H137</f>
        <v>5161846</v>
      </c>
      <c r="I215" s="438">
        <f>I212-I137</f>
        <v>524720</v>
      </c>
      <c r="J215" s="438"/>
      <c r="K215" s="1"/>
      <c r="L215" s="310">
        <f t="shared" si="91"/>
        <v>11068</v>
      </c>
      <c r="M215" s="310">
        <f t="shared" si="91"/>
        <v>79000</v>
      </c>
      <c r="N215" s="310">
        <f t="shared" si="91"/>
        <v>52100</v>
      </c>
      <c r="O215" s="310">
        <f t="shared" si="91"/>
        <v>1179100</v>
      </c>
      <c r="P215" s="310">
        <f t="shared" si="91"/>
        <v>700</v>
      </c>
      <c r="Q215" s="310">
        <f>SUM(O215:P215)</f>
        <v>1179800</v>
      </c>
    </row>
    <row r="216" spans="1:17" x14ac:dyDescent="0.25">
      <c r="A216" s="1"/>
      <c r="B216" s="437"/>
      <c r="C216" s="438"/>
      <c r="D216" s="438"/>
      <c r="E216" s="438"/>
      <c r="F216" s="438"/>
      <c r="G216" s="438"/>
      <c r="H216" s="438"/>
      <c r="I216" s="438"/>
      <c r="J216" s="438"/>
      <c r="K216" s="1"/>
      <c r="L216" s="310"/>
      <c r="M216" s="310"/>
      <c r="N216" s="310"/>
      <c r="O216" s="310"/>
      <c r="P216" s="310"/>
    </row>
    <row r="217" spans="1:17" x14ac:dyDescent="0.25">
      <c r="A217" s="1"/>
      <c r="B217" s="435" t="s">
        <v>316</v>
      </c>
      <c r="C217" s="436">
        <f t="shared" ref="C217:I218" si="92">C211-C214</f>
        <v>17500</v>
      </c>
      <c r="D217" s="436">
        <f t="shared" si="92"/>
        <v>17500</v>
      </c>
      <c r="E217" s="436">
        <f t="shared" si="92"/>
        <v>17500</v>
      </c>
      <c r="F217" s="436">
        <f t="shared" si="92"/>
        <v>17500</v>
      </c>
      <c r="G217" s="436">
        <f t="shared" si="92"/>
        <v>17500</v>
      </c>
      <c r="H217" s="436">
        <f t="shared" si="92"/>
        <v>17500</v>
      </c>
      <c r="I217" s="436">
        <f t="shared" si="92"/>
        <v>6292</v>
      </c>
      <c r="J217" s="436"/>
      <c r="K217" s="1"/>
      <c r="L217" s="310">
        <f t="shared" si="91"/>
        <v>0</v>
      </c>
      <c r="M217" s="310">
        <f t="shared" si="91"/>
        <v>0</v>
      </c>
      <c r="N217" s="310">
        <f t="shared" si="91"/>
        <v>0</v>
      </c>
      <c r="O217" s="310">
        <f t="shared" si="91"/>
        <v>0</v>
      </c>
      <c r="P217" s="310">
        <f t="shared" si="91"/>
        <v>0</v>
      </c>
    </row>
    <row r="218" spans="1:17" x14ac:dyDescent="0.25">
      <c r="A218" s="100"/>
      <c r="B218" s="435" t="s">
        <v>317</v>
      </c>
      <c r="C218" s="436">
        <f t="shared" si="92"/>
        <v>1010472</v>
      </c>
      <c r="D218" s="436">
        <f t="shared" si="92"/>
        <v>1057205</v>
      </c>
      <c r="E218" s="436">
        <f t="shared" si="92"/>
        <v>1057205</v>
      </c>
      <c r="F218" s="436">
        <f t="shared" si="92"/>
        <v>1057205</v>
      </c>
      <c r="G218" s="436">
        <f t="shared" si="92"/>
        <v>1057205</v>
      </c>
      <c r="H218" s="436">
        <f t="shared" si="92"/>
        <v>1059637</v>
      </c>
      <c r="I218" s="436">
        <f t="shared" si="92"/>
        <v>291244</v>
      </c>
      <c r="J218" s="436"/>
      <c r="K218" s="1"/>
      <c r="L218" s="310">
        <f t="shared" si="91"/>
        <v>46733</v>
      </c>
      <c r="M218" s="310">
        <f t="shared" si="91"/>
        <v>0</v>
      </c>
      <c r="N218" s="310">
        <f t="shared" si="91"/>
        <v>0</v>
      </c>
      <c r="O218" s="310">
        <f t="shared" si="91"/>
        <v>0</v>
      </c>
      <c r="P218" s="310">
        <f t="shared" si="91"/>
        <v>2432</v>
      </c>
    </row>
    <row r="219" spans="1:17" x14ac:dyDescent="0.25">
      <c r="A219" s="1"/>
      <c r="B219" s="439"/>
      <c r="C219" s="616">
        <f t="shared" ref="C219:I219" si="93">C218-C217+C209</f>
        <v>992972</v>
      </c>
      <c r="D219" s="616">
        <f t="shared" si="93"/>
        <v>1039705</v>
      </c>
      <c r="E219" s="616">
        <f t="shared" si="93"/>
        <v>1039705</v>
      </c>
      <c r="F219" s="616">
        <f t="shared" si="93"/>
        <v>1039705</v>
      </c>
      <c r="G219" s="616">
        <f t="shared" si="93"/>
        <v>1039705</v>
      </c>
      <c r="H219" s="616">
        <f t="shared" si="93"/>
        <v>1042137</v>
      </c>
      <c r="I219" s="616">
        <f t="shared" si="93"/>
        <v>485599</v>
      </c>
      <c r="J219" s="616"/>
      <c r="K219" s="1"/>
      <c r="L219" s="310">
        <f t="shared" si="91"/>
        <v>46733</v>
      </c>
      <c r="M219" s="310">
        <f t="shared" si="91"/>
        <v>0</v>
      </c>
      <c r="N219" s="310">
        <f t="shared" si="91"/>
        <v>0</v>
      </c>
      <c r="O219" s="310">
        <f t="shared" si="91"/>
        <v>0</v>
      </c>
      <c r="P219" s="310">
        <f t="shared" si="91"/>
        <v>2432</v>
      </c>
    </row>
    <row r="220" spans="1:17" x14ac:dyDescent="0.25">
      <c r="A220" s="1"/>
      <c r="B220" s="439"/>
      <c r="C220" s="616"/>
      <c r="D220" s="616"/>
      <c r="E220" s="616"/>
      <c r="F220" s="616"/>
      <c r="G220" s="616"/>
      <c r="H220" s="616"/>
      <c r="I220" s="616"/>
      <c r="J220" s="616"/>
      <c r="K220" s="1"/>
      <c r="L220" s="310"/>
      <c r="M220" s="310"/>
    </row>
    <row r="221" spans="1:17" x14ac:dyDescent="0.25">
      <c r="A221" s="1"/>
      <c r="B221" s="241" t="s">
        <v>345</v>
      </c>
      <c r="C221" s="240"/>
      <c r="D221" s="240"/>
      <c r="E221" s="240"/>
      <c r="F221" s="240"/>
      <c r="G221" s="240"/>
      <c r="H221" s="240"/>
      <c r="I221" s="240"/>
      <c r="J221" s="240"/>
      <c r="K221" s="1"/>
    </row>
    <row r="222" spans="1:17" x14ac:dyDescent="0.25">
      <c r="A222" s="1"/>
      <c r="B222" s="241" t="s">
        <v>354</v>
      </c>
      <c r="C222" s="240"/>
      <c r="D222" s="240"/>
      <c r="E222" s="240"/>
      <c r="F222" s="240"/>
      <c r="G222" s="240"/>
      <c r="H222" s="240"/>
      <c r="I222" s="240"/>
      <c r="J222" s="240"/>
      <c r="K222" s="1"/>
    </row>
    <row r="223" spans="1:17" x14ac:dyDescent="0.25">
      <c r="A223" s="1"/>
      <c r="B223" s="241"/>
      <c r="C223" s="240"/>
      <c r="D223" s="240"/>
      <c r="E223" s="240"/>
      <c r="F223" s="240"/>
      <c r="G223" s="240"/>
      <c r="H223" s="240"/>
      <c r="I223" s="240"/>
      <c r="J223" s="240"/>
      <c r="K223" s="1"/>
    </row>
    <row r="224" spans="1:17" x14ac:dyDescent="0.25">
      <c r="A224" s="1"/>
      <c r="B224" s="240" t="s">
        <v>535</v>
      </c>
      <c r="C224" s="240"/>
      <c r="D224" s="240"/>
      <c r="E224" s="240"/>
      <c r="F224" s="240"/>
      <c r="G224" s="240"/>
      <c r="H224" s="240"/>
      <c r="I224" s="240"/>
      <c r="J224" s="240"/>
      <c r="K224" s="1"/>
    </row>
    <row r="225" spans="1:11" x14ac:dyDescent="0.25">
      <c r="A225" s="1"/>
      <c r="B225" s="240" t="s">
        <v>561</v>
      </c>
      <c r="C225" s="240"/>
      <c r="D225" s="240"/>
      <c r="E225" s="240"/>
      <c r="F225" s="240"/>
      <c r="G225" s="240"/>
      <c r="H225" s="240"/>
      <c r="I225" s="240"/>
      <c r="J225" s="240"/>
      <c r="K225" s="1"/>
    </row>
    <row r="226" spans="1:11" x14ac:dyDescent="0.25">
      <c r="A226" s="1"/>
      <c r="B226" s="240"/>
      <c r="C226" s="240"/>
      <c r="D226" s="240"/>
      <c r="E226" s="240"/>
      <c r="F226" s="240"/>
      <c r="G226" s="240"/>
      <c r="H226" s="240"/>
      <c r="I226" s="240"/>
      <c r="J226" s="240"/>
      <c r="K226" s="1"/>
    </row>
    <row r="227" spans="1:11" x14ac:dyDescent="0.25">
      <c r="B227" s="241" t="s">
        <v>501</v>
      </c>
    </row>
    <row r="228" spans="1:11" x14ac:dyDescent="0.25">
      <c r="B228" s="241" t="s">
        <v>560</v>
      </c>
    </row>
    <row r="231" spans="1:11" x14ac:dyDescent="0.25">
      <c r="B231" s="240" t="s">
        <v>181</v>
      </c>
    </row>
    <row r="232" spans="1:11" x14ac:dyDescent="0.25">
      <c r="B232" s="240" t="s">
        <v>341</v>
      </c>
    </row>
  </sheetData>
  <mergeCells count="26">
    <mergeCell ref="A205:B205"/>
    <mergeCell ref="A208:B208"/>
    <mergeCell ref="A172:B172"/>
    <mergeCell ref="A173:B173"/>
    <mergeCell ref="A191:B191"/>
    <mergeCell ref="A198:E198"/>
    <mergeCell ref="A199:B199"/>
    <mergeCell ref="A202:B202"/>
    <mergeCell ref="A171:E171"/>
    <mergeCell ref="A71:B71"/>
    <mergeCell ref="A75:E75"/>
    <mergeCell ref="A76:B76"/>
    <mergeCell ref="A92:B92"/>
    <mergeCell ref="A133:B133"/>
    <mergeCell ref="A136:B136"/>
    <mergeCell ref="A137:B137"/>
    <mergeCell ref="A141:E141"/>
    <mergeCell ref="A142:B142"/>
    <mergeCell ref="A143:B143"/>
    <mergeCell ref="A153:B153"/>
    <mergeCell ref="A70:B70"/>
    <mergeCell ref="A1:E1"/>
    <mergeCell ref="A2:B2"/>
    <mergeCell ref="A3:B3"/>
    <mergeCell ref="A11:B11"/>
    <mergeCell ref="A68:B68"/>
  </mergeCells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>
    <oddHeader>&amp;CRozpočet na rok 2024
2.zmena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zoomScale="124" zoomScaleNormal="124" workbookViewId="0">
      <selection sqref="A1:E1"/>
    </sheetView>
  </sheetViews>
  <sheetFormatPr defaultRowHeight="15" x14ac:dyDescent="0.25"/>
  <cols>
    <col min="1" max="1" width="6.42578125" customWidth="1"/>
    <col min="2" max="2" width="55.42578125" customWidth="1"/>
    <col min="3" max="3" width="13.28515625" customWidth="1"/>
    <col min="4" max="4" width="12.7109375" customWidth="1"/>
    <col min="5" max="7" width="12.85546875" customWidth="1"/>
    <col min="8" max="8" width="8.7109375" customWidth="1"/>
    <col min="9" max="9" width="14.42578125" customWidth="1"/>
    <col min="10" max="10" width="9.5703125" customWidth="1"/>
    <col min="11" max="11" width="10.140625" customWidth="1"/>
    <col min="12" max="12" width="11" customWidth="1"/>
  </cols>
  <sheetData>
    <row r="1" spans="1:17" ht="18.75" thickBot="1" x14ac:dyDescent="0.3">
      <c r="A1" s="675" t="s">
        <v>0</v>
      </c>
      <c r="B1" s="676"/>
      <c r="C1" s="676"/>
      <c r="D1" s="676"/>
      <c r="E1" s="676"/>
      <c r="F1" s="650"/>
      <c r="G1" s="650"/>
      <c r="H1" s="650"/>
      <c r="I1" s="1"/>
    </row>
    <row r="2" spans="1:17" ht="46.5" customHeight="1" thickBot="1" x14ac:dyDescent="0.3">
      <c r="A2" s="677" t="s">
        <v>1</v>
      </c>
      <c r="B2" s="678"/>
      <c r="C2" s="289" t="s">
        <v>455</v>
      </c>
      <c r="D2" s="289" t="s">
        <v>454</v>
      </c>
      <c r="E2" s="289" t="s">
        <v>372</v>
      </c>
      <c r="F2" s="289" t="s">
        <v>516</v>
      </c>
      <c r="G2" s="289" t="s">
        <v>502</v>
      </c>
      <c r="H2" s="651" t="s">
        <v>515</v>
      </c>
      <c r="I2" s="1"/>
    </row>
    <row r="3" spans="1:17" ht="15.75" thickBot="1" x14ac:dyDescent="0.3">
      <c r="A3" s="679" t="s">
        <v>4</v>
      </c>
      <c r="B3" s="680"/>
      <c r="C3" s="2">
        <f t="shared" ref="C3" si="0">SUM(C4:C10)</f>
        <v>1485800</v>
      </c>
      <c r="D3" s="2">
        <f t="shared" ref="D3:E3" si="1">SUM(D4:D10)</f>
        <v>1485800</v>
      </c>
      <c r="E3" s="2">
        <f t="shared" si="1"/>
        <v>1485800</v>
      </c>
      <c r="F3" s="2">
        <f t="shared" ref="F3:G3" si="2">SUM(F4:F10)</f>
        <v>1485800</v>
      </c>
      <c r="G3" s="2">
        <f t="shared" si="2"/>
        <v>308380</v>
      </c>
      <c r="H3" s="659">
        <f t="shared" ref="H3:H15" si="3">G3/F3</f>
        <v>0.20755148741418764</v>
      </c>
      <c r="I3" s="1"/>
    </row>
    <row r="4" spans="1:17" ht="15.75" thickBot="1" x14ac:dyDescent="0.3">
      <c r="A4" s="3">
        <v>111</v>
      </c>
      <c r="B4" s="114" t="s">
        <v>5</v>
      </c>
      <c r="C4" s="6">
        <v>1373000</v>
      </c>
      <c r="D4" s="6">
        <v>1373000</v>
      </c>
      <c r="E4" s="6">
        <v>1373000</v>
      </c>
      <c r="F4" s="6">
        <v>1373000</v>
      </c>
      <c r="G4" s="6">
        <v>282257</v>
      </c>
      <c r="H4" s="659">
        <f t="shared" si="3"/>
        <v>0.20557683903860161</v>
      </c>
      <c r="I4" s="1"/>
    </row>
    <row r="5" spans="1:17" ht="15.75" thickBot="1" x14ac:dyDescent="0.3">
      <c r="A5" s="7">
        <v>121</v>
      </c>
      <c r="B5" s="244" t="s">
        <v>6</v>
      </c>
      <c r="C5" s="11">
        <v>60400</v>
      </c>
      <c r="D5" s="11">
        <v>60400</v>
      </c>
      <c r="E5" s="11">
        <v>60400</v>
      </c>
      <c r="F5" s="11">
        <v>60400</v>
      </c>
      <c r="G5" s="11">
        <v>13192</v>
      </c>
      <c r="H5" s="659">
        <f t="shared" si="3"/>
        <v>0.21841059602649007</v>
      </c>
      <c r="I5" s="1"/>
    </row>
    <row r="6" spans="1:17" x14ac:dyDescent="0.25">
      <c r="A6" s="12">
        <v>133</v>
      </c>
      <c r="B6" s="245" t="s">
        <v>7</v>
      </c>
      <c r="C6" s="16">
        <v>2000</v>
      </c>
      <c r="D6" s="16">
        <v>2000</v>
      </c>
      <c r="E6" s="16">
        <v>2000</v>
      </c>
      <c r="F6" s="16">
        <v>2000</v>
      </c>
      <c r="G6" s="16">
        <v>1200</v>
      </c>
      <c r="H6" s="659">
        <f t="shared" si="3"/>
        <v>0.6</v>
      </c>
      <c r="I6" s="1"/>
    </row>
    <row r="7" spans="1:17" x14ac:dyDescent="0.25">
      <c r="A7" s="17">
        <v>133</v>
      </c>
      <c r="B7" s="246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0</v>
      </c>
      <c r="H7" s="659">
        <f t="shared" si="3"/>
        <v>0</v>
      </c>
      <c r="I7" s="1"/>
    </row>
    <row r="8" spans="1:17" x14ac:dyDescent="0.25">
      <c r="A8" s="17">
        <v>133</v>
      </c>
      <c r="B8" s="246" t="s">
        <v>9</v>
      </c>
      <c r="C8" s="21">
        <v>5000</v>
      </c>
      <c r="D8" s="21">
        <v>5000</v>
      </c>
      <c r="E8" s="21">
        <v>5000</v>
      </c>
      <c r="F8" s="21">
        <v>5000</v>
      </c>
      <c r="G8" s="21">
        <v>524</v>
      </c>
      <c r="H8" s="659">
        <f t="shared" si="3"/>
        <v>0.1048</v>
      </c>
      <c r="I8" s="1"/>
    </row>
    <row r="9" spans="1:17" x14ac:dyDescent="0.25">
      <c r="A9" s="17">
        <v>133</v>
      </c>
      <c r="B9" s="246" t="s">
        <v>10</v>
      </c>
      <c r="C9" s="21">
        <v>7000</v>
      </c>
      <c r="D9" s="21">
        <v>7000</v>
      </c>
      <c r="E9" s="21">
        <v>7000</v>
      </c>
      <c r="F9" s="21">
        <v>7000</v>
      </c>
      <c r="G9" s="21">
        <v>206</v>
      </c>
      <c r="H9" s="659">
        <f t="shared" si="3"/>
        <v>2.9428571428571429E-2</v>
      </c>
      <c r="I9" s="1"/>
    </row>
    <row r="10" spans="1:17" ht="15.75" thickBot="1" x14ac:dyDescent="0.3">
      <c r="A10" s="22">
        <v>133</v>
      </c>
      <c r="B10" s="247" t="s">
        <v>11</v>
      </c>
      <c r="C10" s="26">
        <v>38000</v>
      </c>
      <c r="D10" s="26">
        <v>38000</v>
      </c>
      <c r="E10" s="26">
        <v>38000</v>
      </c>
      <c r="F10" s="26">
        <v>38000</v>
      </c>
      <c r="G10" s="26">
        <v>11001</v>
      </c>
      <c r="H10" s="659">
        <f t="shared" si="3"/>
        <v>0.28949999999999998</v>
      </c>
      <c r="I10" s="27">
        <f>SUM(C6:C10)</f>
        <v>52400</v>
      </c>
      <c r="J10" s="27">
        <f>SUM(D6:D10)</f>
        <v>52400</v>
      </c>
      <c r="K10" s="27">
        <f>SUM(E6:E10)</f>
        <v>52400</v>
      </c>
    </row>
    <row r="11" spans="1:17" ht="15.75" thickBot="1" x14ac:dyDescent="0.3">
      <c r="A11" s="679" t="s">
        <v>12</v>
      </c>
      <c r="B11" s="680"/>
      <c r="C11" s="248">
        <f t="shared" ref="C11" si="4">SUM(C12:C31)</f>
        <v>246161</v>
      </c>
      <c r="D11" s="248">
        <f t="shared" ref="D11:E11" si="5">SUM(D12:D31)</f>
        <v>246161</v>
      </c>
      <c r="E11" s="248">
        <f t="shared" si="5"/>
        <v>246161</v>
      </c>
      <c r="F11" s="248">
        <f t="shared" ref="F11:G11" si="6">SUM(F12:F31)</f>
        <v>246161</v>
      </c>
      <c r="G11" s="248">
        <f t="shared" si="6"/>
        <v>36149</v>
      </c>
      <c r="H11" s="659">
        <f t="shared" si="3"/>
        <v>0.1468510446415151</v>
      </c>
      <c r="I11" s="1"/>
    </row>
    <row r="12" spans="1:17" x14ac:dyDescent="0.25">
      <c r="A12" s="28">
        <v>212</v>
      </c>
      <c r="B12" s="29" t="s">
        <v>13</v>
      </c>
      <c r="C12" s="32">
        <v>2913</v>
      </c>
      <c r="D12" s="32">
        <v>2913</v>
      </c>
      <c r="E12" s="32">
        <v>2913</v>
      </c>
      <c r="F12" s="32">
        <v>2913</v>
      </c>
      <c r="G12" s="32">
        <v>331</v>
      </c>
      <c r="H12" s="659">
        <f t="shared" si="3"/>
        <v>0.11362856162032269</v>
      </c>
      <c r="I12" s="1"/>
    </row>
    <row r="13" spans="1:17" ht="15.75" thickBot="1" x14ac:dyDescent="0.3">
      <c r="A13" s="22">
        <v>212</v>
      </c>
      <c r="B13" s="23" t="s">
        <v>14</v>
      </c>
      <c r="C13" s="79">
        <v>1000</v>
      </c>
      <c r="D13" s="79">
        <v>1000</v>
      </c>
      <c r="E13" s="79">
        <v>1000</v>
      </c>
      <c r="F13" s="79">
        <v>1000</v>
      </c>
      <c r="G13" s="79">
        <v>20</v>
      </c>
      <c r="H13" s="659">
        <f t="shared" si="3"/>
        <v>0.02</v>
      </c>
      <c r="I13" s="27">
        <f>SUM(C12:C13)</f>
        <v>3913</v>
      </c>
    </row>
    <row r="14" spans="1:17" x14ac:dyDescent="0.25">
      <c r="A14" s="12">
        <v>212</v>
      </c>
      <c r="B14" s="13" t="s">
        <v>15</v>
      </c>
      <c r="C14" s="82">
        <v>3425</v>
      </c>
      <c r="D14" s="82">
        <v>3425</v>
      </c>
      <c r="E14" s="82">
        <v>3425</v>
      </c>
      <c r="F14" s="82">
        <v>3425</v>
      </c>
      <c r="G14" s="82">
        <v>572</v>
      </c>
      <c r="H14" s="659">
        <f t="shared" si="3"/>
        <v>0.16700729927007299</v>
      </c>
      <c r="I14" s="1"/>
    </row>
    <row r="15" spans="1:17" x14ac:dyDescent="0.25">
      <c r="A15" s="17">
        <v>212</v>
      </c>
      <c r="B15" s="18" t="s">
        <v>16</v>
      </c>
      <c r="C15" s="21">
        <v>19813</v>
      </c>
      <c r="D15" s="21">
        <v>19813</v>
      </c>
      <c r="E15" s="21">
        <v>19813</v>
      </c>
      <c r="F15" s="21">
        <v>19813</v>
      </c>
      <c r="G15" s="21">
        <v>3274</v>
      </c>
      <c r="H15" s="659">
        <f t="shared" si="3"/>
        <v>0.16524504113460858</v>
      </c>
      <c r="I15" s="27"/>
    </row>
    <row r="16" spans="1:17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/>
      <c r="H16" s="659">
        <v>0</v>
      </c>
      <c r="I16" s="310">
        <f>SUM(C12:C16)</f>
        <v>27151</v>
      </c>
      <c r="J16" s="310">
        <f>SUM(D12:D16)</f>
        <v>27151</v>
      </c>
      <c r="K16" s="310">
        <f>SUM(E12:E16)</f>
        <v>27151</v>
      </c>
      <c r="L16" s="310">
        <f>SUM(F12:F16)</f>
        <v>27151</v>
      </c>
      <c r="M16" s="310">
        <f t="shared" ref="M16" si="7">SUM(G12:G16)</f>
        <v>4197</v>
      </c>
      <c r="P16" s="27"/>
      <c r="Q16" s="310"/>
    </row>
    <row r="17" spans="1:17" ht="15.75" thickBot="1" x14ac:dyDescent="0.3">
      <c r="A17" s="7">
        <v>221</v>
      </c>
      <c r="B17" s="8" t="s">
        <v>18</v>
      </c>
      <c r="C17" s="41">
        <v>7200</v>
      </c>
      <c r="D17" s="41">
        <v>7200</v>
      </c>
      <c r="E17" s="41">
        <v>7200</v>
      </c>
      <c r="F17" s="41">
        <v>7200</v>
      </c>
      <c r="G17" s="41">
        <v>740</v>
      </c>
      <c r="H17" s="659">
        <f>G17/F17</f>
        <v>0.10277777777777777</v>
      </c>
      <c r="I17" s="1"/>
    </row>
    <row r="18" spans="1:17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/>
      <c r="H18" s="659">
        <v>0</v>
      </c>
      <c r="I18" s="1"/>
    </row>
    <row r="19" spans="1:17" x14ac:dyDescent="0.25">
      <c r="A19" s="12">
        <v>223</v>
      </c>
      <c r="B19" s="13" t="s">
        <v>20</v>
      </c>
      <c r="C19" s="16">
        <v>1000</v>
      </c>
      <c r="D19" s="16">
        <v>1000</v>
      </c>
      <c r="E19" s="16">
        <v>1000</v>
      </c>
      <c r="F19" s="16">
        <v>1000</v>
      </c>
      <c r="G19" s="16">
        <v>23</v>
      </c>
      <c r="H19" s="659">
        <f t="shared" ref="H19:H40" si="8">G19/F19</f>
        <v>2.3E-2</v>
      </c>
      <c r="I19" s="1"/>
    </row>
    <row r="20" spans="1:17" x14ac:dyDescent="0.25">
      <c r="A20" s="17">
        <v>223</v>
      </c>
      <c r="B20" s="18" t="s">
        <v>21</v>
      </c>
      <c r="C20" s="21">
        <v>21000</v>
      </c>
      <c r="D20" s="21">
        <v>21000</v>
      </c>
      <c r="E20" s="21">
        <v>21000</v>
      </c>
      <c r="F20" s="21">
        <v>21000</v>
      </c>
      <c r="G20" s="21">
        <v>3023</v>
      </c>
      <c r="H20" s="659">
        <f t="shared" si="8"/>
        <v>0.14395238095238094</v>
      </c>
      <c r="I20" s="1"/>
    </row>
    <row r="21" spans="1:17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8</v>
      </c>
      <c r="H21" s="659">
        <f t="shared" si="8"/>
        <v>0.16</v>
      </c>
      <c r="I21" s="1"/>
    </row>
    <row r="22" spans="1:17" x14ac:dyDescent="0.25">
      <c r="A22" s="17">
        <v>223</v>
      </c>
      <c r="B22" s="18" t="s">
        <v>333</v>
      </c>
      <c r="C22" s="21">
        <v>4000</v>
      </c>
      <c r="D22" s="21">
        <v>4000</v>
      </c>
      <c r="E22" s="21">
        <v>4000</v>
      </c>
      <c r="F22" s="21">
        <v>4000</v>
      </c>
      <c r="G22" s="21">
        <v>618</v>
      </c>
      <c r="H22" s="659">
        <f t="shared" si="8"/>
        <v>0.1545</v>
      </c>
      <c r="I22" s="1"/>
    </row>
    <row r="23" spans="1:17" x14ac:dyDescent="0.25">
      <c r="A23" s="17">
        <v>223</v>
      </c>
      <c r="B23" s="18" t="s">
        <v>23</v>
      </c>
      <c r="C23" s="21">
        <v>1000</v>
      </c>
      <c r="D23" s="21">
        <v>1000</v>
      </c>
      <c r="E23" s="21">
        <v>1000</v>
      </c>
      <c r="F23" s="21">
        <v>1000</v>
      </c>
      <c r="G23" s="21"/>
      <c r="H23" s="659">
        <f t="shared" si="8"/>
        <v>0</v>
      </c>
      <c r="I23" s="1"/>
    </row>
    <row r="24" spans="1:17" x14ac:dyDescent="0.25">
      <c r="A24" s="17">
        <v>223</v>
      </c>
      <c r="B24" s="18" t="s">
        <v>24</v>
      </c>
      <c r="C24" s="21">
        <v>1000</v>
      </c>
      <c r="D24" s="21">
        <v>1000</v>
      </c>
      <c r="E24" s="21">
        <v>1000</v>
      </c>
      <c r="F24" s="21">
        <v>1000</v>
      </c>
      <c r="G24" s="21">
        <v>40</v>
      </c>
      <c r="H24" s="659">
        <f t="shared" si="8"/>
        <v>0.04</v>
      </c>
      <c r="I24" s="1"/>
    </row>
    <row r="25" spans="1:17" x14ac:dyDescent="0.25">
      <c r="A25" s="17">
        <v>223</v>
      </c>
      <c r="B25" s="18" t="s">
        <v>25</v>
      </c>
      <c r="C25" s="21">
        <v>46000</v>
      </c>
      <c r="D25" s="21">
        <v>46000</v>
      </c>
      <c r="E25" s="21">
        <v>46000</v>
      </c>
      <c r="F25" s="21">
        <v>46000</v>
      </c>
      <c r="G25" s="21">
        <v>7634</v>
      </c>
      <c r="H25" s="659">
        <f t="shared" si="8"/>
        <v>0.16595652173913045</v>
      </c>
      <c r="I25" s="1"/>
    </row>
    <row r="26" spans="1:17" x14ac:dyDescent="0.25">
      <c r="A26" s="17">
        <v>223</v>
      </c>
      <c r="B26" s="18" t="s">
        <v>26</v>
      </c>
      <c r="C26" s="21">
        <v>45000</v>
      </c>
      <c r="D26" s="21">
        <v>45000</v>
      </c>
      <c r="E26" s="21">
        <v>45000</v>
      </c>
      <c r="F26" s="21">
        <v>45000</v>
      </c>
      <c r="G26" s="21">
        <v>11012</v>
      </c>
      <c r="H26" s="659">
        <f t="shared" si="8"/>
        <v>0.2447111111111111</v>
      </c>
      <c r="I26" s="1"/>
    </row>
    <row r="27" spans="1:17" x14ac:dyDescent="0.25">
      <c r="A27" s="17">
        <v>223</v>
      </c>
      <c r="B27" s="18" t="s">
        <v>27</v>
      </c>
      <c r="C27" s="21">
        <v>60</v>
      </c>
      <c r="D27" s="21">
        <v>60</v>
      </c>
      <c r="E27" s="21">
        <v>60</v>
      </c>
      <c r="F27" s="21">
        <v>60</v>
      </c>
      <c r="G27" s="21"/>
      <c r="H27" s="659">
        <f t="shared" si="8"/>
        <v>0</v>
      </c>
      <c r="I27" s="27"/>
    </row>
    <row r="28" spans="1:17" x14ac:dyDescent="0.25">
      <c r="A28" s="17">
        <v>223</v>
      </c>
      <c r="B28" s="18" t="s">
        <v>28</v>
      </c>
      <c r="C28" s="21">
        <v>2100</v>
      </c>
      <c r="D28" s="21">
        <v>2100</v>
      </c>
      <c r="E28" s="21">
        <v>2100</v>
      </c>
      <c r="F28" s="21">
        <v>2100</v>
      </c>
      <c r="G28" s="21">
        <v>644</v>
      </c>
      <c r="H28" s="659">
        <f t="shared" si="8"/>
        <v>0.30666666666666664</v>
      </c>
      <c r="I28" s="1"/>
    </row>
    <row r="29" spans="1:17" x14ac:dyDescent="0.25">
      <c r="A29" s="17">
        <v>223</v>
      </c>
      <c r="B29" s="18" t="s">
        <v>201</v>
      </c>
      <c r="C29" s="21">
        <v>1300</v>
      </c>
      <c r="D29" s="21">
        <v>1300</v>
      </c>
      <c r="E29" s="21">
        <v>1300</v>
      </c>
      <c r="F29" s="21">
        <v>1300</v>
      </c>
      <c r="G29" s="21">
        <v>280</v>
      </c>
      <c r="H29" s="659">
        <f t="shared" si="8"/>
        <v>0.2153846153846154</v>
      </c>
      <c r="I29" s="1"/>
    </row>
    <row r="30" spans="1:17" x14ac:dyDescent="0.25">
      <c r="A30" s="43">
        <v>223</v>
      </c>
      <c r="B30" s="44" t="s">
        <v>29</v>
      </c>
      <c r="C30" s="46">
        <v>85900</v>
      </c>
      <c r="D30" s="46">
        <v>85900</v>
      </c>
      <c r="E30" s="46">
        <v>85900</v>
      </c>
      <c r="F30" s="46">
        <v>85900</v>
      </c>
      <c r="G30" s="46">
        <v>7930</v>
      </c>
      <c r="H30" s="659">
        <f t="shared" si="8"/>
        <v>9.2316647264260768E-2</v>
      </c>
      <c r="I30" s="27"/>
    </row>
    <row r="31" spans="1:17" ht="15.75" thickBot="1" x14ac:dyDescent="0.3">
      <c r="A31" s="22">
        <v>223</v>
      </c>
      <c r="B31" s="23" t="s">
        <v>30</v>
      </c>
      <c r="C31" s="79">
        <v>3400</v>
      </c>
      <c r="D31" s="79">
        <v>3400</v>
      </c>
      <c r="E31" s="79">
        <v>3400</v>
      </c>
      <c r="F31" s="79">
        <v>3400</v>
      </c>
      <c r="G31" s="79"/>
      <c r="H31" s="659">
        <f t="shared" si="8"/>
        <v>0</v>
      </c>
      <c r="I31" s="27">
        <f>SUM(C19:C31)</f>
        <v>211810</v>
      </c>
      <c r="J31" s="27">
        <f>SUM(D19:D31)</f>
        <v>211810</v>
      </c>
      <c r="K31" s="27">
        <f>SUM(E19:E31)</f>
        <v>211810</v>
      </c>
      <c r="L31" s="27">
        <f>SUM(F19:F31)</f>
        <v>211810</v>
      </c>
      <c r="M31" s="27">
        <f t="shared" ref="M31" si="9">SUM(G19:G31)</f>
        <v>31212</v>
      </c>
      <c r="P31" s="310"/>
      <c r="Q31" s="310"/>
    </row>
    <row r="32" spans="1:17" ht="15.75" thickBot="1" x14ac:dyDescent="0.3">
      <c r="A32" s="49" t="s">
        <v>31</v>
      </c>
      <c r="B32" s="50"/>
      <c r="C32" s="2">
        <f t="shared" ref="C32:G32" si="10">SUM(C33)</f>
        <v>50</v>
      </c>
      <c r="D32" s="2">
        <f t="shared" si="10"/>
        <v>50</v>
      </c>
      <c r="E32" s="2">
        <f t="shared" si="10"/>
        <v>50</v>
      </c>
      <c r="F32" s="2">
        <f t="shared" si="10"/>
        <v>50</v>
      </c>
      <c r="G32" s="2">
        <f t="shared" si="10"/>
        <v>1</v>
      </c>
      <c r="H32" s="659">
        <f t="shared" si="8"/>
        <v>0.02</v>
      </c>
      <c r="I32" s="1"/>
    </row>
    <row r="33" spans="1:11" ht="15.75" thickBot="1" x14ac:dyDescent="0.3">
      <c r="A33" s="51">
        <v>240</v>
      </c>
      <c r="B33" s="47" t="s">
        <v>32</v>
      </c>
      <c r="C33" s="38">
        <v>50</v>
      </c>
      <c r="D33" s="38">
        <v>50</v>
      </c>
      <c r="E33" s="38">
        <v>50</v>
      </c>
      <c r="F33" s="38">
        <v>50</v>
      </c>
      <c r="G33" s="38">
        <v>1</v>
      </c>
      <c r="H33" s="659">
        <f t="shared" si="8"/>
        <v>0.02</v>
      </c>
      <c r="I33" s="1"/>
    </row>
    <row r="34" spans="1:11" ht="15.75" thickBot="1" x14ac:dyDescent="0.3">
      <c r="A34" s="49" t="s">
        <v>33</v>
      </c>
      <c r="B34" s="50"/>
      <c r="C34" s="248">
        <f>SUM(C35:C39)</f>
        <v>71070</v>
      </c>
      <c r="D34" s="248">
        <f>SUM(D35:D39)</f>
        <v>71085</v>
      </c>
      <c r="E34" s="248">
        <f>SUM(E35:E39)</f>
        <v>78785</v>
      </c>
      <c r="F34" s="248">
        <f t="shared" ref="F34:G34" si="11">SUM(F35:F39)</f>
        <v>78785</v>
      </c>
      <c r="G34" s="248">
        <f t="shared" si="11"/>
        <v>17504</v>
      </c>
      <c r="H34" s="659">
        <f t="shared" si="8"/>
        <v>0.22217427175223711</v>
      </c>
      <c r="I34" s="1"/>
    </row>
    <row r="35" spans="1:11" x14ac:dyDescent="0.25">
      <c r="A35" s="57">
        <v>292</v>
      </c>
      <c r="B35" s="58" t="s">
        <v>36</v>
      </c>
      <c r="C35" s="61">
        <v>1000</v>
      </c>
      <c r="D35" s="603">
        <f>1000+7000</f>
        <v>8000</v>
      </c>
      <c r="E35" s="603">
        <f>1000+7000-7000+7000</f>
        <v>8000</v>
      </c>
      <c r="F35" s="603">
        <f>1000+7000-7000+7000</f>
        <v>8000</v>
      </c>
      <c r="G35" s="61">
        <v>7874</v>
      </c>
      <c r="H35" s="659">
        <f t="shared" si="8"/>
        <v>0.98424999999999996</v>
      </c>
      <c r="I35" s="1"/>
    </row>
    <row r="36" spans="1:11" x14ac:dyDescent="0.25">
      <c r="A36" s="57">
        <v>292</v>
      </c>
      <c r="B36" s="58" t="s">
        <v>37</v>
      </c>
      <c r="C36" s="60">
        <v>500</v>
      </c>
      <c r="D36" s="60">
        <v>500</v>
      </c>
      <c r="E36" s="60">
        <v>500</v>
      </c>
      <c r="F36" s="60">
        <v>500</v>
      </c>
      <c r="G36" s="60">
        <v>149</v>
      </c>
      <c r="H36" s="659">
        <f t="shared" si="8"/>
        <v>0.29799999999999999</v>
      </c>
      <c r="I36" s="1"/>
    </row>
    <row r="37" spans="1:11" x14ac:dyDescent="0.25">
      <c r="A37" s="57">
        <v>292</v>
      </c>
      <c r="B37" s="18" t="s">
        <v>38</v>
      </c>
      <c r="C37" s="64">
        <v>350</v>
      </c>
      <c r="D37" s="605">
        <f>350+15</f>
        <v>365</v>
      </c>
      <c r="E37" s="64">
        <f>350+15</f>
        <v>365</v>
      </c>
      <c r="F37" s="64">
        <f t="shared" ref="F37" si="12">350+15</f>
        <v>365</v>
      </c>
      <c r="G37" s="64">
        <v>0</v>
      </c>
      <c r="H37" s="659">
        <f t="shared" si="8"/>
        <v>0</v>
      </c>
      <c r="I37" s="1"/>
    </row>
    <row r="38" spans="1:11" x14ac:dyDescent="0.25">
      <c r="A38" s="57">
        <v>292</v>
      </c>
      <c r="B38" s="58" t="s">
        <v>183</v>
      </c>
      <c r="C38" s="60">
        <v>69200</v>
      </c>
      <c r="D38" s="604">
        <f>69200-7000</f>
        <v>62200</v>
      </c>
      <c r="E38" s="604">
        <f>69200-7000+7000+700</f>
        <v>69900</v>
      </c>
      <c r="F38" s="604">
        <f t="shared" ref="F38" si="13">69200-7000+7000+700</f>
        <v>69900</v>
      </c>
      <c r="G38" s="60">
        <v>9481</v>
      </c>
      <c r="H38" s="659">
        <f t="shared" si="8"/>
        <v>0.13563662374821173</v>
      </c>
      <c r="I38" s="27">
        <f>F37+F38</f>
        <v>70265</v>
      </c>
      <c r="J38" s="27">
        <f>G37+G38</f>
        <v>9481</v>
      </c>
      <c r="K38" s="27"/>
    </row>
    <row r="39" spans="1:11" ht="15.75" thickBot="1" x14ac:dyDescent="0.3">
      <c r="A39" s="57">
        <v>292</v>
      </c>
      <c r="B39" s="58" t="s">
        <v>254</v>
      </c>
      <c r="C39" s="60">
        <v>20</v>
      </c>
      <c r="D39" s="60">
        <v>20</v>
      </c>
      <c r="E39" s="60">
        <v>20</v>
      </c>
      <c r="F39" s="60">
        <v>20</v>
      </c>
      <c r="G39" s="60">
        <v>0</v>
      </c>
      <c r="H39" s="659">
        <f t="shared" si="8"/>
        <v>0</v>
      </c>
      <c r="I39" s="1"/>
    </row>
    <row r="40" spans="1:11" ht="15.75" thickBot="1" x14ac:dyDescent="0.3">
      <c r="A40" s="65" t="s">
        <v>39</v>
      </c>
      <c r="B40" s="252"/>
      <c r="C40" s="248">
        <f>SUM(C41:C62)</f>
        <v>955422</v>
      </c>
      <c r="D40" s="248">
        <f>SUM(D41:D62)</f>
        <v>1013208</v>
      </c>
      <c r="E40" s="248">
        <f>SUM(E41:E62)</f>
        <v>1013208</v>
      </c>
      <c r="F40" s="248">
        <f t="shared" ref="F40:G40" si="14">SUM(F41:F62)</f>
        <v>1065308</v>
      </c>
      <c r="G40" s="248">
        <f t="shared" si="14"/>
        <v>234618</v>
      </c>
      <c r="H40" s="659">
        <f t="shared" si="8"/>
        <v>0.22023489920285963</v>
      </c>
      <c r="I40" s="1"/>
    </row>
    <row r="41" spans="1:11" x14ac:dyDescent="0.25">
      <c r="A41" s="67">
        <v>311</v>
      </c>
      <c r="B41" s="253" t="s">
        <v>40</v>
      </c>
      <c r="C41" s="68">
        <v>0</v>
      </c>
      <c r="D41" s="68">
        <v>0</v>
      </c>
      <c r="E41" s="68">
        <v>0</v>
      </c>
      <c r="F41" s="68">
        <v>0</v>
      </c>
      <c r="G41" s="68"/>
      <c r="H41" s="659">
        <v>0</v>
      </c>
      <c r="I41" s="1"/>
    </row>
    <row r="42" spans="1:11" x14ac:dyDescent="0.25">
      <c r="A42" s="67">
        <v>312</v>
      </c>
      <c r="B42" s="246" t="s">
        <v>510</v>
      </c>
      <c r="C42" s="70">
        <v>0</v>
      </c>
      <c r="D42" s="70">
        <v>0</v>
      </c>
      <c r="E42" s="70">
        <v>0</v>
      </c>
      <c r="F42" s="658">
        <f>40885+7215</f>
        <v>48100</v>
      </c>
      <c r="G42" s="70">
        <v>0</v>
      </c>
      <c r="H42" s="659">
        <f t="shared" ref="H42:H50" si="15">G42/F42</f>
        <v>0</v>
      </c>
      <c r="I42" s="1"/>
    </row>
    <row r="43" spans="1:11" x14ac:dyDescent="0.25">
      <c r="A43" s="67">
        <v>312</v>
      </c>
      <c r="B43" s="253" t="s">
        <v>458</v>
      </c>
      <c r="C43" s="70">
        <v>28000</v>
      </c>
      <c r="D43" s="70">
        <v>28000</v>
      </c>
      <c r="E43" s="70">
        <v>28000</v>
      </c>
      <c r="F43" s="70">
        <v>28000</v>
      </c>
      <c r="G43" s="70">
        <v>47</v>
      </c>
      <c r="H43" s="659">
        <f t="shared" si="15"/>
        <v>1.6785714285714286E-3</v>
      </c>
      <c r="I43" s="1"/>
    </row>
    <row r="44" spans="1:11" x14ac:dyDescent="0.25">
      <c r="A44" s="71">
        <v>312</v>
      </c>
      <c r="B44" s="246" t="s">
        <v>185</v>
      </c>
      <c r="C44" s="16">
        <v>55000</v>
      </c>
      <c r="D44" s="606">
        <f>55000+2600</f>
        <v>57600</v>
      </c>
      <c r="E44" s="16">
        <f>55000+2600</f>
        <v>57600</v>
      </c>
      <c r="F44" s="16">
        <f t="shared" ref="F44" si="16">55000+2600</f>
        <v>57600</v>
      </c>
      <c r="G44" s="16">
        <v>57188</v>
      </c>
      <c r="H44" s="659">
        <f t="shared" si="15"/>
        <v>0.99284722222222221</v>
      </c>
      <c r="I44" s="1"/>
    </row>
    <row r="45" spans="1:11" x14ac:dyDescent="0.25">
      <c r="A45" s="71">
        <v>312</v>
      </c>
      <c r="B45" s="246" t="s">
        <v>186</v>
      </c>
      <c r="C45" s="16">
        <v>180</v>
      </c>
      <c r="D45" s="606">
        <f>180+180</f>
        <v>360</v>
      </c>
      <c r="E45" s="16">
        <f>180+180</f>
        <v>360</v>
      </c>
      <c r="F45" s="16">
        <f t="shared" ref="F45" si="17">180+180</f>
        <v>360</v>
      </c>
      <c r="G45" s="16">
        <v>120</v>
      </c>
      <c r="H45" s="659">
        <f t="shared" si="15"/>
        <v>0.33333333333333331</v>
      </c>
      <c r="I45" s="27"/>
    </row>
    <row r="46" spans="1:11" x14ac:dyDescent="0.25">
      <c r="A46" s="71">
        <v>312</v>
      </c>
      <c r="B46" s="111" t="s">
        <v>41</v>
      </c>
      <c r="C46" s="73">
        <v>600</v>
      </c>
      <c r="D46" s="73">
        <v>600</v>
      </c>
      <c r="E46" s="73">
        <v>600</v>
      </c>
      <c r="F46" s="73">
        <v>600</v>
      </c>
      <c r="G46" s="73">
        <v>151</v>
      </c>
      <c r="H46" s="659">
        <f t="shared" si="15"/>
        <v>0.25166666666666665</v>
      </c>
      <c r="I46" s="27"/>
    </row>
    <row r="47" spans="1:11" ht="15.75" thickBot="1" x14ac:dyDescent="0.3">
      <c r="A47" s="74">
        <v>312</v>
      </c>
      <c r="B47" s="81" t="s">
        <v>43</v>
      </c>
      <c r="C47" s="75">
        <v>50</v>
      </c>
      <c r="D47" s="75">
        <v>50</v>
      </c>
      <c r="E47" s="75">
        <v>50</v>
      </c>
      <c r="F47" s="75">
        <v>50</v>
      </c>
      <c r="G47" s="75">
        <v>43</v>
      </c>
      <c r="H47" s="659">
        <f t="shared" si="15"/>
        <v>0.86</v>
      </c>
      <c r="I47" s="1"/>
    </row>
    <row r="48" spans="1:11" ht="15.75" thickBot="1" x14ac:dyDescent="0.3">
      <c r="A48" s="242">
        <v>312</v>
      </c>
      <c r="B48" s="254" t="s">
        <v>318</v>
      </c>
      <c r="C48" s="243">
        <v>5000</v>
      </c>
      <c r="D48" s="243">
        <v>5000</v>
      </c>
      <c r="E48" s="243">
        <v>5000</v>
      </c>
      <c r="F48" s="243">
        <v>5000</v>
      </c>
      <c r="G48" s="243">
        <v>0</v>
      </c>
      <c r="H48" s="659">
        <f t="shared" si="15"/>
        <v>0</v>
      </c>
      <c r="I48" s="27"/>
    </row>
    <row r="49" spans="1:13" x14ac:dyDescent="0.25">
      <c r="A49" s="71">
        <v>312</v>
      </c>
      <c r="B49" s="84" t="s">
        <v>44</v>
      </c>
      <c r="C49" s="16">
        <v>21500</v>
      </c>
      <c r="D49" s="16">
        <v>21500</v>
      </c>
      <c r="E49" s="16">
        <v>21500</v>
      </c>
      <c r="F49" s="16">
        <v>21500</v>
      </c>
      <c r="G49" s="16">
        <v>0</v>
      </c>
      <c r="H49" s="659">
        <f t="shared" si="15"/>
        <v>0</v>
      </c>
      <c r="I49" s="1"/>
    </row>
    <row r="50" spans="1:13" ht="15.75" thickBot="1" x14ac:dyDescent="0.3">
      <c r="A50" s="77">
        <v>312</v>
      </c>
      <c r="B50" s="135" t="s">
        <v>46</v>
      </c>
      <c r="C50" s="79">
        <f>3350+5600</f>
        <v>8950</v>
      </c>
      <c r="D50" s="607">
        <f>3350+5600+90</f>
        <v>9040</v>
      </c>
      <c r="E50" s="79">
        <f>3350+5600+90</f>
        <v>9040</v>
      </c>
      <c r="F50" s="79">
        <f t="shared" ref="F50" si="18">3350+5600+90</f>
        <v>9040</v>
      </c>
      <c r="G50" s="79">
        <v>0</v>
      </c>
      <c r="H50" s="659">
        <f t="shared" si="15"/>
        <v>0</v>
      </c>
      <c r="I50" s="1"/>
    </row>
    <row r="51" spans="1:13" x14ac:dyDescent="0.25">
      <c r="A51" s="71">
        <v>312</v>
      </c>
      <c r="B51" s="84" t="s">
        <v>190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659">
        <v>0</v>
      </c>
      <c r="I51" s="1"/>
    </row>
    <row r="52" spans="1:13" ht="15.75" thickBot="1" x14ac:dyDescent="0.3">
      <c r="A52" s="74">
        <v>312</v>
      </c>
      <c r="B52" s="81" t="s">
        <v>48</v>
      </c>
      <c r="C52" s="75">
        <v>0</v>
      </c>
      <c r="D52" s="75">
        <v>0</v>
      </c>
      <c r="E52" s="75">
        <v>0</v>
      </c>
      <c r="F52" s="75">
        <v>4000</v>
      </c>
      <c r="G52" s="75">
        <v>3000</v>
      </c>
      <c r="H52" s="659">
        <f t="shared" ref="H52:H70" si="19">G52/F52</f>
        <v>0.75</v>
      </c>
      <c r="I52" s="1"/>
    </row>
    <row r="53" spans="1:13" x14ac:dyDescent="0.25">
      <c r="A53" s="71">
        <v>312</v>
      </c>
      <c r="B53" s="245" t="s">
        <v>49</v>
      </c>
      <c r="C53" s="82">
        <v>5310</v>
      </c>
      <c r="D53" s="608">
        <f>5310+400</f>
        <v>5710</v>
      </c>
      <c r="E53" s="82">
        <f>5310+400</f>
        <v>5710</v>
      </c>
      <c r="F53" s="82">
        <f t="shared" ref="F53" si="20">5310+400</f>
        <v>5710</v>
      </c>
      <c r="G53" s="82">
        <v>5569</v>
      </c>
      <c r="H53" s="659">
        <f t="shared" si="19"/>
        <v>0.97530647985989494</v>
      </c>
      <c r="I53" s="27"/>
      <c r="J53" s="27"/>
      <c r="K53" s="27"/>
    </row>
    <row r="54" spans="1:13" x14ac:dyDescent="0.25">
      <c r="A54" s="83">
        <v>312</v>
      </c>
      <c r="B54" s="255" t="s">
        <v>50</v>
      </c>
      <c r="C54" s="21">
        <v>4250</v>
      </c>
      <c r="D54" s="602">
        <f>4250+210</f>
        <v>4460</v>
      </c>
      <c r="E54" s="21">
        <f>4250+210</f>
        <v>4460</v>
      </c>
      <c r="F54" s="21">
        <f t="shared" ref="F54" si="21">4250+210</f>
        <v>4460</v>
      </c>
      <c r="G54" s="21">
        <v>0</v>
      </c>
      <c r="H54" s="659">
        <f t="shared" si="19"/>
        <v>0</v>
      </c>
      <c r="I54" s="27"/>
      <c r="J54" s="27"/>
      <c r="K54" s="27"/>
    </row>
    <row r="55" spans="1:13" x14ac:dyDescent="0.25">
      <c r="A55" s="83">
        <v>312</v>
      </c>
      <c r="B55" s="256" t="s">
        <v>457</v>
      </c>
      <c r="C55" s="33">
        <v>13200</v>
      </c>
      <c r="D55" s="609">
        <f>13200+7573</f>
        <v>20773</v>
      </c>
      <c r="E55" s="33">
        <f>13200+7573</f>
        <v>20773</v>
      </c>
      <c r="F55" s="33">
        <f t="shared" ref="F55" si="22">13200+7573</f>
        <v>20773</v>
      </c>
      <c r="G55" s="33">
        <v>13849</v>
      </c>
      <c r="H55" s="659">
        <f t="shared" si="19"/>
        <v>0.66668271313724548</v>
      </c>
      <c r="I55" s="27"/>
      <c r="J55" s="27"/>
      <c r="K55" s="27"/>
    </row>
    <row r="56" spans="1:13" x14ac:dyDescent="0.25">
      <c r="A56" s="71">
        <v>312</v>
      </c>
      <c r="B56" s="111" t="s">
        <v>459</v>
      </c>
      <c r="C56" s="16">
        <v>90000</v>
      </c>
      <c r="D56" s="16">
        <v>90000</v>
      </c>
      <c r="E56" s="16">
        <v>90000</v>
      </c>
      <c r="F56" s="16">
        <v>90000</v>
      </c>
      <c r="G56" s="16">
        <v>0</v>
      </c>
      <c r="H56" s="659">
        <f t="shared" si="19"/>
        <v>0</v>
      </c>
      <c r="I56" s="27"/>
    </row>
    <row r="57" spans="1:13" x14ac:dyDescent="0.25">
      <c r="A57" s="83">
        <v>312</v>
      </c>
      <c r="B57" s="111" t="s">
        <v>51</v>
      </c>
      <c r="C57" s="21">
        <v>55400</v>
      </c>
      <c r="D57" s="21">
        <v>55400</v>
      </c>
      <c r="E57" s="21">
        <v>55400</v>
      </c>
      <c r="F57" s="21">
        <v>55400</v>
      </c>
      <c r="G57" s="21">
        <v>13897</v>
      </c>
      <c r="H57" s="659">
        <f t="shared" si="19"/>
        <v>0.25084837545126354</v>
      </c>
      <c r="I57" s="27"/>
    </row>
    <row r="58" spans="1:13" ht="15.75" thickBot="1" x14ac:dyDescent="0.3">
      <c r="A58" s="74">
        <v>312</v>
      </c>
      <c r="B58" s="81" t="s">
        <v>308</v>
      </c>
      <c r="C58" s="79">
        <v>10600</v>
      </c>
      <c r="D58" s="79">
        <v>10600</v>
      </c>
      <c r="E58" s="79">
        <v>10600</v>
      </c>
      <c r="F58" s="79">
        <v>10600</v>
      </c>
      <c r="G58" s="79">
        <v>980</v>
      </c>
      <c r="H58" s="659">
        <f t="shared" si="19"/>
        <v>9.2452830188679239E-2</v>
      </c>
      <c r="I58" s="27"/>
      <c r="J58" s="27"/>
      <c r="K58" s="27"/>
    </row>
    <row r="59" spans="1:13" x14ac:dyDescent="0.25">
      <c r="A59" s="71">
        <v>315</v>
      </c>
      <c r="B59" s="76" t="s">
        <v>47</v>
      </c>
      <c r="C59" s="16">
        <v>3000</v>
      </c>
      <c r="D59" s="16">
        <v>3000</v>
      </c>
      <c r="E59" s="16">
        <v>3000</v>
      </c>
      <c r="F59" s="16">
        <v>3000</v>
      </c>
      <c r="G59" s="16">
        <v>0</v>
      </c>
      <c r="H59" s="659">
        <f t="shared" si="19"/>
        <v>0</v>
      </c>
      <c r="I59" s="1"/>
    </row>
    <row r="60" spans="1:13" ht="15.75" thickBot="1" x14ac:dyDescent="0.3">
      <c r="A60" s="77">
        <v>315</v>
      </c>
      <c r="B60" s="78" t="s">
        <v>227</v>
      </c>
      <c r="C60" s="79">
        <v>300</v>
      </c>
      <c r="D60" s="79">
        <v>300</v>
      </c>
      <c r="E60" s="79">
        <v>300</v>
      </c>
      <c r="F60" s="79">
        <v>300</v>
      </c>
      <c r="G60" s="79">
        <v>100</v>
      </c>
      <c r="H60" s="659">
        <f t="shared" si="19"/>
        <v>0.33333333333333331</v>
      </c>
      <c r="I60" s="1"/>
    </row>
    <row r="61" spans="1:13" x14ac:dyDescent="0.25">
      <c r="A61" s="451">
        <v>312</v>
      </c>
      <c r="B61" s="452" t="s">
        <v>327</v>
      </c>
      <c r="C61" s="457">
        <f>16381+2891</f>
        <v>19272</v>
      </c>
      <c r="D61" s="457">
        <f t="shared" ref="D61:F61" si="23">16381+2891</f>
        <v>19272</v>
      </c>
      <c r="E61" s="457">
        <f t="shared" si="23"/>
        <v>19272</v>
      </c>
      <c r="F61" s="457">
        <f t="shared" si="23"/>
        <v>19272</v>
      </c>
      <c r="G61" s="457">
        <v>1606</v>
      </c>
      <c r="H61" s="659">
        <f t="shared" si="19"/>
        <v>8.3333333333333329E-2</v>
      </c>
      <c r="I61" s="1"/>
    </row>
    <row r="62" spans="1:13" ht="15.75" thickBot="1" x14ac:dyDescent="0.3">
      <c r="A62" s="458">
        <v>312</v>
      </c>
      <c r="B62" s="459" t="s">
        <v>460</v>
      </c>
      <c r="C62" s="463">
        <v>634810</v>
      </c>
      <c r="D62" s="610">
        <f>634810+46733</f>
        <v>681543</v>
      </c>
      <c r="E62" s="463">
        <f>634810+46733</f>
        <v>681543</v>
      </c>
      <c r="F62" s="463">
        <f>634810+46733</f>
        <v>681543</v>
      </c>
      <c r="G62" s="463">
        <f>138068</f>
        <v>138068</v>
      </c>
      <c r="H62" s="659">
        <f t="shared" si="19"/>
        <v>0.20258149522480606</v>
      </c>
      <c r="I62" s="27">
        <f>SUM(C42:C58)+C61+C62</f>
        <v>952122</v>
      </c>
      <c r="J62" s="27">
        <f>SUM(D42:D58)+D61+D62</f>
        <v>1009908</v>
      </c>
      <c r="K62" s="27">
        <f>SUM(E42:E58)+E61+E62</f>
        <v>1009908</v>
      </c>
      <c r="L62" s="27">
        <f>SUM(F42:F58)+F61+F62</f>
        <v>1062008</v>
      </c>
      <c r="M62" s="27">
        <f t="shared" ref="M62" si="24">SUM(G42:G58)+G61+G62</f>
        <v>234518</v>
      </c>
    </row>
    <row r="63" spans="1:13" ht="21" customHeight="1" thickBot="1" x14ac:dyDescent="0.3">
      <c r="A63" s="85" t="s">
        <v>53</v>
      </c>
      <c r="B63" s="257"/>
      <c r="C63" s="270">
        <f>SUM(C3+C11+C32+C34+C40)</f>
        <v>2758503</v>
      </c>
      <c r="D63" s="270">
        <f>SUM(D3+D11+D32+D34+D40)</f>
        <v>2816304</v>
      </c>
      <c r="E63" s="270">
        <f>SUM(E3+E11+E32+E34+E40)</f>
        <v>2824004</v>
      </c>
      <c r="F63" s="270">
        <f t="shared" ref="F63:G63" si="25">SUM(F3+F11+F32+F34+F40)</f>
        <v>2876104</v>
      </c>
      <c r="G63" s="270">
        <f t="shared" si="25"/>
        <v>596652</v>
      </c>
      <c r="H63" s="659">
        <f t="shared" si="19"/>
        <v>0.20745146907065948</v>
      </c>
      <c r="I63" s="1"/>
      <c r="J63" s="310">
        <f>D63-C63</f>
        <v>57801</v>
      </c>
      <c r="K63" s="310">
        <f>E63-D63</f>
        <v>7700</v>
      </c>
      <c r="L63" s="310">
        <f>F63-E63</f>
        <v>52100</v>
      </c>
    </row>
    <row r="64" spans="1:13" x14ac:dyDescent="0.25">
      <c r="A64" s="87" t="s">
        <v>54</v>
      </c>
      <c r="B64" s="88" t="s">
        <v>55</v>
      </c>
      <c r="C64" s="89">
        <v>1550</v>
      </c>
      <c r="D64" s="89">
        <v>1550</v>
      </c>
      <c r="E64" s="89">
        <v>1550</v>
      </c>
      <c r="F64" s="89">
        <v>1550</v>
      </c>
      <c r="G64" s="89">
        <v>0</v>
      </c>
      <c r="H64" s="659">
        <f t="shared" si="19"/>
        <v>0</v>
      </c>
      <c r="I64" s="1"/>
      <c r="J64" s="310"/>
      <c r="K64" s="310"/>
      <c r="L64" s="310"/>
    </row>
    <row r="65" spans="1:12" ht="15.75" thickBot="1" x14ac:dyDescent="0.3">
      <c r="A65" s="90" t="s">
        <v>54</v>
      </c>
      <c r="B65" s="88" t="s">
        <v>56</v>
      </c>
      <c r="C65" s="91">
        <v>3600</v>
      </c>
      <c r="D65" s="91">
        <v>3600</v>
      </c>
      <c r="E65" s="91">
        <v>3600</v>
      </c>
      <c r="F65" s="91">
        <v>3600</v>
      </c>
      <c r="G65" s="91">
        <v>0</v>
      </c>
      <c r="H65" s="659">
        <f t="shared" si="19"/>
        <v>0</v>
      </c>
      <c r="I65" s="1"/>
      <c r="J65" s="310"/>
      <c r="K65" s="310"/>
      <c r="L65" s="310"/>
    </row>
    <row r="66" spans="1:12" ht="15.75" thickBot="1" x14ac:dyDescent="0.3">
      <c r="A66" s="673" t="s">
        <v>58</v>
      </c>
      <c r="B66" s="674"/>
      <c r="C66" s="95">
        <f>SUM(C64:C65)</f>
        <v>5150</v>
      </c>
      <c r="D66" s="95">
        <f>SUM(D64:D65)</f>
        <v>5150</v>
      </c>
      <c r="E66" s="95">
        <f>SUM(E64:E65)</f>
        <v>5150</v>
      </c>
      <c r="F66" s="95">
        <f t="shared" ref="F66:G66" si="26">SUM(F64:F65)</f>
        <v>5150</v>
      </c>
      <c r="G66" s="95">
        <f t="shared" si="26"/>
        <v>0</v>
      </c>
      <c r="H66" s="659">
        <f t="shared" si="19"/>
        <v>0</v>
      </c>
      <c r="I66" s="1"/>
      <c r="J66" s="310">
        <f>D66-C66</f>
        <v>0</v>
      </c>
      <c r="K66" s="310">
        <f>E66-D66</f>
        <v>0</v>
      </c>
      <c r="L66" s="310">
        <f>F66-E66</f>
        <v>0</v>
      </c>
    </row>
    <row r="67" spans="1:12" ht="16.5" thickBot="1" x14ac:dyDescent="0.3">
      <c r="A67" s="96" t="s">
        <v>54</v>
      </c>
      <c r="B67" s="97" t="s">
        <v>59</v>
      </c>
      <c r="C67" s="309">
        <v>12350</v>
      </c>
      <c r="D67" s="309">
        <v>12350</v>
      </c>
      <c r="E67" s="309">
        <v>12350</v>
      </c>
      <c r="F67" s="309">
        <v>12350</v>
      </c>
      <c r="G67" s="309">
        <v>3140</v>
      </c>
      <c r="H67" s="659">
        <f t="shared" si="19"/>
        <v>0.25425101214574897</v>
      </c>
      <c r="I67" s="103"/>
      <c r="J67" s="310"/>
      <c r="K67" s="310"/>
      <c r="L67" s="310"/>
    </row>
    <row r="68" spans="1:12" ht="15.75" thickBot="1" x14ac:dyDescent="0.3">
      <c r="A68" s="673" t="s">
        <v>204</v>
      </c>
      <c r="B68" s="674"/>
      <c r="C68" s="305">
        <f>SUM(C67:C67)</f>
        <v>12350</v>
      </c>
      <c r="D68" s="305">
        <f>SUM(D67:D67)</f>
        <v>12350</v>
      </c>
      <c r="E68" s="305">
        <f>SUM(E67:E67)</f>
        <v>12350</v>
      </c>
      <c r="F68" s="305">
        <f t="shared" ref="F68:G68" si="27">SUM(F67:F67)</f>
        <v>12350</v>
      </c>
      <c r="G68" s="305">
        <f t="shared" si="27"/>
        <v>3140</v>
      </c>
      <c r="H68" s="659">
        <f t="shared" si="19"/>
        <v>0.25425101214574897</v>
      </c>
      <c r="I68" s="1"/>
      <c r="J68" s="310">
        <f t="shared" ref="J68:L70" si="28">D68-C68</f>
        <v>0</v>
      </c>
      <c r="K68" s="310">
        <f t="shared" si="28"/>
        <v>0</v>
      </c>
      <c r="L68" s="310">
        <f t="shared" si="28"/>
        <v>0</v>
      </c>
    </row>
    <row r="69" spans="1:12" ht="19.5" customHeight="1" thickBot="1" x14ac:dyDescent="0.3">
      <c r="A69" s="683" t="s">
        <v>60</v>
      </c>
      <c r="B69" s="684"/>
      <c r="C69" s="99">
        <f>C66+C68</f>
        <v>17500</v>
      </c>
      <c r="D69" s="99">
        <f>D66+D68</f>
        <v>17500</v>
      </c>
      <c r="E69" s="99">
        <f>E66+E68</f>
        <v>17500</v>
      </c>
      <c r="F69" s="99">
        <f t="shared" ref="F69:G69" si="29">F66+F68</f>
        <v>17500</v>
      </c>
      <c r="G69" s="99">
        <f t="shared" si="29"/>
        <v>3140</v>
      </c>
      <c r="H69" s="659">
        <f t="shared" si="19"/>
        <v>0.17942857142857144</v>
      </c>
      <c r="I69" s="1"/>
      <c r="J69" s="310">
        <f t="shared" si="28"/>
        <v>0</v>
      </c>
      <c r="K69" s="310">
        <f t="shared" si="28"/>
        <v>0</v>
      </c>
      <c r="L69" s="310">
        <f t="shared" si="28"/>
        <v>0</v>
      </c>
    </row>
    <row r="70" spans="1:12" ht="30.75" customHeight="1" thickBot="1" x14ac:dyDescent="0.3">
      <c r="A70" s="85" t="s">
        <v>61</v>
      </c>
      <c r="B70" s="66"/>
      <c r="C70" s="86">
        <f>C63+C69</f>
        <v>2776003</v>
      </c>
      <c r="D70" s="86">
        <f>D63+D69</f>
        <v>2833804</v>
      </c>
      <c r="E70" s="86">
        <f>E63+E69</f>
        <v>2841504</v>
      </c>
      <c r="F70" s="86">
        <f t="shared" ref="F70:G70" si="30">F63+F69</f>
        <v>2893604</v>
      </c>
      <c r="G70" s="86">
        <f t="shared" si="30"/>
        <v>599792</v>
      </c>
      <c r="H70" s="659">
        <f t="shared" si="19"/>
        <v>0.20728199159249158</v>
      </c>
      <c r="I70" s="1"/>
      <c r="J70" s="310">
        <f t="shared" si="28"/>
        <v>57801</v>
      </c>
      <c r="K70" s="310">
        <f t="shared" si="28"/>
        <v>7700</v>
      </c>
      <c r="L70" s="310">
        <f t="shared" si="28"/>
        <v>52100</v>
      </c>
    </row>
    <row r="71" spans="1:12" x14ac:dyDescent="0.25">
      <c r="A71" s="1"/>
      <c r="B71" s="1"/>
      <c r="C71" s="100"/>
      <c r="D71" s="100"/>
      <c r="E71" s="100"/>
      <c r="F71" s="100"/>
      <c r="G71" s="100"/>
      <c r="H71" s="659"/>
      <c r="I71" s="1"/>
    </row>
    <row r="72" spans="1:12" ht="15.75" x14ac:dyDescent="0.25">
      <c r="A72" s="101"/>
      <c r="B72" s="102"/>
      <c r="C72" s="103"/>
      <c r="D72" s="103"/>
      <c r="E72" s="103"/>
      <c r="F72" s="103"/>
      <c r="G72" s="103"/>
      <c r="H72" s="659"/>
      <c r="I72" s="1"/>
    </row>
    <row r="73" spans="1:12" ht="18.75" thickBot="1" x14ac:dyDescent="0.3">
      <c r="A73" s="685" t="s">
        <v>62</v>
      </c>
      <c r="B73" s="686"/>
      <c r="C73" s="686"/>
      <c r="D73" s="686"/>
      <c r="E73" s="686"/>
      <c r="F73" s="652"/>
      <c r="G73" s="652"/>
      <c r="H73" s="659"/>
      <c r="I73" s="1"/>
    </row>
    <row r="74" spans="1:12" ht="36" customHeight="1" thickBot="1" x14ac:dyDescent="0.3">
      <c r="A74" s="687" t="s">
        <v>1</v>
      </c>
      <c r="B74" s="688"/>
      <c r="C74" s="289" t="s">
        <v>455</v>
      </c>
      <c r="D74" s="289" t="s">
        <v>454</v>
      </c>
      <c r="E74" s="289" t="s">
        <v>372</v>
      </c>
      <c r="F74" s="289" t="s">
        <v>516</v>
      </c>
      <c r="G74" s="289" t="s">
        <v>502</v>
      </c>
      <c r="H74" s="659"/>
      <c r="I74" s="1"/>
    </row>
    <row r="75" spans="1:12" ht="15.75" thickBot="1" x14ac:dyDescent="0.3">
      <c r="A75" s="104" t="s">
        <v>63</v>
      </c>
      <c r="B75" s="105"/>
      <c r="C75" s="107">
        <f t="shared" ref="C75" si="31">SUM(C76:C80)</f>
        <v>331300</v>
      </c>
      <c r="D75" s="107">
        <f t="shared" ref="D75:E75" si="32">SUM(D76:D80)</f>
        <v>331700</v>
      </c>
      <c r="E75" s="107">
        <f t="shared" si="32"/>
        <v>332700</v>
      </c>
      <c r="F75" s="107">
        <f t="shared" ref="F75:G75" si="33">SUM(F76:F80)</f>
        <v>332700</v>
      </c>
      <c r="G75" s="107">
        <f t="shared" si="33"/>
        <v>40470</v>
      </c>
      <c r="H75" s="659">
        <f t="shared" ref="H75:H106" si="34">G75/F75</f>
        <v>0.12164111812443643</v>
      </c>
      <c r="I75" s="1"/>
    </row>
    <row r="76" spans="1:12" x14ac:dyDescent="0.25">
      <c r="A76" s="108" t="s">
        <v>64</v>
      </c>
      <c r="B76" s="84" t="s">
        <v>65</v>
      </c>
      <c r="C76" s="56">
        <v>171530</v>
      </c>
      <c r="D76" s="56">
        <v>171530</v>
      </c>
      <c r="E76" s="56">
        <v>171530</v>
      </c>
      <c r="F76" s="56">
        <v>171530</v>
      </c>
      <c r="G76" s="56">
        <v>12529</v>
      </c>
      <c r="H76" s="659">
        <f t="shared" si="34"/>
        <v>7.3042616451932607E-2</v>
      </c>
      <c r="I76" s="1"/>
    </row>
    <row r="77" spans="1:12" x14ac:dyDescent="0.25">
      <c r="A77" s="110" t="s">
        <v>66</v>
      </c>
      <c r="B77" s="111" t="s">
        <v>67</v>
      </c>
      <c r="C77" s="61">
        <v>89970</v>
      </c>
      <c r="D77" s="61">
        <v>89970</v>
      </c>
      <c r="E77" s="603">
        <f>89970+1000</f>
        <v>90970</v>
      </c>
      <c r="F77" s="61">
        <f t="shared" ref="F77" si="35">89970+1000</f>
        <v>90970</v>
      </c>
      <c r="G77" s="61">
        <v>17045</v>
      </c>
      <c r="H77" s="659">
        <f t="shared" si="34"/>
        <v>0.18736946246015171</v>
      </c>
      <c r="I77" s="1"/>
    </row>
    <row r="78" spans="1:12" x14ac:dyDescent="0.25">
      <c r="A78" s="110" t="s">
        <v>68</v>
      </c>
      <c r="B78" s="111" t="s">
        <v>69</v>
      </c>
      <c r="C78" s="61">
        <v>4200</v>
      </c>
      <c r="D78" s="61">
        <v>4200</v>
      </c>
      <c r="E78" s="61">
        <v>4200</v>
      </c>
      <c r="F78" s="61">
        <v>4200</v>
      </c>
      <c r="G78" s="61">
        <v>27</v>
      </c>
      <c r="H78" s="659">
        <f t="shared" si="34"/>
        <v>6.4285714285714285E-3</v>
      </c>
      <c r="I78" s="1"/>
    </row>
    <row r="79" spans="1:12" x14ac:dyDescent="0.25">
      <c r="A79" s="112" t="s">
        <v>70</v>
      </c>
      <c r="B79" s="111" t="s">
        <v>71</v>
      </c>
      <c r="C79" s="61">
        <v>55000</v>
      </c>
      <c r="D79" s="603">
        <f>55000+400</f>
        <v>55400</v>
      </c>
      <c r="E79" s="61">
        <f>55000+400</f>
        <v>55400</v>
      </c>
      <c r="F79" s="61">
        <f t="shared" ref="F79" si="36">55000+400</f>
        <v>55400</v>
      </c>
      <c r="G79" s="61">
        <v>10856</v>
      </c>
      <c r="H79" s="659">
        <f t="shared" si="34"/>
        <v>0.19595667870036101</v>
      </c>
      <c r="I79" s="1"/>
    </row>
    <row r="80" spans="1:12" ht="15.75" thickBot="1" x14ac:dyDescent="0.3">
      <c r="A80" s="113" t="s">
        <v>72</v>
      </c>
      <c r="B80" s="114" t="s">
        <v>189</v>
      </c>
      <c r="C80" s="115">
        <v>10600</v>
      </c>
      <c r="D80" s="115">
        <v>10600</v>
      </c>
      <c r="E80" s="115">
        <v>10600</v>
      </c>
      <c r="F80" s="115">
        <v>10600</v>
      </c>
      <c r="G80" s="115">
        <v>13</v>
      </c>
      <c r="H80" s="659">
        <f t="shared" si="34"/>
        <v>1.2264150943396227E-3</v>
      </c>
      <c r="I80" s="1"/>
    </row>
    <row r="81" spans="1:9" ht="15.75" thickBot="1" x14ac:dyDescent="0.3">
      <c r="A81" s="116" t="s">
        <v>73</v>
      </c>
      <c r="B81" s="117"/>
      <c r="C81" s="107">
        <f t="shared" ref="C81:G81" si="37">SUM(C82)</f>
        <v>5000</v>
      </c>
      <c r="D81" s="107">
        <f t="shared" si="37"/>
        <v>5015</v>
      </c>
      <c r="E81" s="107">
        <f t="shared" si="37"/>
        <v>5015</v>
      </c>
      <c r="F81" s="107">
        <f t="shared" si="37"/>
        <v>5015</v>
      </c>
      <c r="G81" s="107">
        <f t="shared" si="37"/>
        <v>136</v>
      </c>
      <c r="H81" s="659">
        <f t="shared" si="34"/>
        <v>2.7118644067796609E-2</v>
      </c>
      <c r="I81" s="1"/>
    </row>
    <row r="82" spans="1:9" ht="15.75" thickBot="1" x14ac:dyDescent="0.3">
      <c r="A82" s="118" t="s">
        <v>74</v>
      </c>
      <c r="B82" s="102" t="s">
        <v>205</v>
      </c>
      <c r="C82" s="119">
        <v>5000</v>
      </c>
      <c r="D82" s="611">
        <f>5000+15</f>
        <v>5015</v>
      </c>
      <c r="E82" s="119">
        <f>5000+15</f>
        <v>5015</v>
      </c>
      <c r="F82" s="119">
        <f t="shared" ref="F82" si="38">5000+15</f>
        <v>5015</v>
      </c>
      <c r="G82" s="119">
        <v>136</v>
      </c>
      <c r="H82" s="659">
        <f t="shared" si="34"/>
        <v>2.7118644067796609E-2</v>
      </c>
      <c r="I82" s="1"/>
    </row>
    <row r="83" spans="1:9" ht="15.75" thickBot="1" x14ac:dyDescent="0.3">
      <c r="A83" s="116" t="s">
        <v>75</v>
      </c>
      <c r="B83" s="117"/>
      <c r="C83" s="107">
        <f t="shared" ref="C83" si="39">SUM(C84:C85)</f>
        <v>24600</v>
      </c>
      <c r="D83" s="107">
        <f t="shared" ref="D83:E83" si="40">SUM(D84:D85)</f>
        <v>24600</v>
      </c>
      <c r="E83" s="107">
        <f t="shared" si="40"/>
        <v>30500</v>
      </c>
      <c r="F83" s="107">
        <f t="shared" ref="F83:G83" si="41">SUM(F84:F85)</f>
        <v>78200</v>
      </c>
      <c r="G83" s="107">
        <f t="shared" si="41"/>
        <v>1019</v>
      </c>
      <c r="H83" s="659">
        <f t="shared" si="34"/>
        <v>1.3030690537084399E-2</v>
      </c>
      <c r="I83" s="1"/>
    </row>
    <row r="84" spans="1:9" x14ac:dyDescent="0.25">
      <c r="A84" s="120" t="s">
        <v>76</v>
      </c>
      <c r="B84" s="121" t="s">
        <v>77</v>
      </c>
      <c r="C84" s="122">
        <v>21300</v>
      </c>
      <c r="D84" s="122">
        <v>21300</v>
      </c>
      <c r="E84" s="122">
        <v>21300</v>
      </c>
      <c r="F84" s="122">
        <v>21300</v>
      </c>
      <c r="G84" s="122">
        <v>829</v>
      </c>
      <c r="H84" s="659">
        <f t="shared" si="34"/>
        <v>3.8920187793427229E-2</v>
      </c>
      <c r="I84" s="1"/>
    </row>
    <row r="85" spans="1:9" ht="15.75" thickBot="1" x14ac:dyDescent="0.3">
      <c r="A85" s="123" t="s">
        <v>78</v>
      </c>
      <c r="B85" s="124" t="s">
        <v>482</v>
      </c>
      <c r="C85" s="115">
        <v>3300</v>
      </c>
      <c r="D85" s="115">
        <f>3300</f>
        <v>3300</v>
      </c>
      <c r="E85" s="612">
        <f>3300+5900</f>
        <v>9200</v>
      </c>
      <c r="F85" s="612">
        <f>3300+5900+47700</f>
        <v>56900</v>
      </c>
      <c r="G85" s="115">
        <v>190</v>
      </c>
      <c r="H85" s="659">
        <f t="shared" si="34"/>
        <v>3.3391915641476275E-3</v>
      </c>
      <c r="I85" s="1"/>
    </row>
    <row r="86" spans="1:9" ht="15.75" thickBot="1" x14ac:dyDescent="0.3">
      <c r="A86" s="104" t="s">
        <v>79</v>
      </c>
      <c r="B86" s="125"/>
      <c r="C86" s="107">
        <f t="shared" ref="C86" si="42">SUM(C87:C89)</f>
        <v>106840</v>
      </c>
      <c r="D86" s="107">
        <f t="shared" ref="D86:E86" si="43">SUM(D87:D89)</f>
        <v>107140</v>
      </c>
      <c r="E86" s="107">
        <f t="shared" si="43"/>
        <v>107140</v>
      </c>
      <c r="F86" s="107">
        <f t="shared" ref="F86:G86" si="44">SUM(F87:F89)</f>
        <v>107140</v>
      </c>
      <c r="G86" s="107">
        <f t="shared" si="44"/>
        <v>22933</v>
      </c>
      <c r="H86" s="659">
        <f t="shared" si="34"/>
        <v>0.21404704125443344</v>
      </c>
      <c r="I86" s="1"/>
    </row>
    <row r="87" spans="1:9" x14ac:dyDescent="0.25">
      <c r="A87" s="126" t="s">
        <v>80</v>
      </c>
      <c r="B87" s="127" t="s">
        <v>81</v>
      </c>
      <c r="C87" s="55">
        <v>45900</v>
      </c>
      <c r="D87" s="55">
        <v>45900</v>
      </c>
      <c r="E87" s="55">
        <v>45900</v>
      </c>
      <c r="F87" s="55">
        <v>45900</v>
      </c>
      <c r="G87" s="55">
        <v>5270</v>
      </c>
      <c r="H87" s="659">
        <f t="shared" si="34"/>
        <v>0.11481481481481481</v>
      </c>
      <c r="I87" s="1"/>
    </row>
    <row r="88" spans="1:9" x14ac:dyDescent="0.25">
      <c r="A88" s="112" t="s">
        <v>82</v>
      </c>
      <c r="B88" s="111" t="s">
        <v>83</v>
      </c>
      <c r="C88" s="60">
        <v>37440</v>
      </c>
      <c r="D88" s="604">
        <f>37440+300</f>
        <v>37740</v>
      </c>
      <c r="E88" s="60">
        <f>37440+300</f>
        <v>37740</v>
      </c>
      <c r="F88" s="60">
        <f t="shared" ref="F88" si="45">37440+300</f>
        <v>37740</v>
      </c>
      <c r="G88" s="60">
        <v>1618</v>
      </c>
      <c r="H88" s="659">
        <f t="shared" si="34"/>
        <v>4.2872284048754636E-2</v>
      </c>
      <c r="I88" s="1"/>
    </row>
    <row r="89" spans="1:9" ht="15.75" thickBot="1" x14ac:dyDescent="0.3">
      <c r="A89" s="112" t="s">
        <v>84</v>
      </c>
      <c r="B89" s="111" t="s">
        <v>85</v>
      </c>
      <c r="C89" s="60">
        <v>23500</v>
      </c>
      <c r="D89" s="60">
        <v>23500</v>
      </c>
      <c r="E89" s="60">
        <v>23500</v>
      </c>
      <c r="F89" s="60">
        <v>23500</v>
      </c>
      <c r="G89" s="60">
        <v>16045</v>
      </c>
      <c r="H89" s="659">
        <f t="shared" si="34"/>
        <v>0.68276595744680846</v>
      </c>
      <c r="I89" s="1"/>
    </row>
    <row r="90" spans="1:9" ht="15.75" thickBot="1" x14ac:dyDescent="0.3">
      <c r="A90" s="689" t="s">
        <v>86</v>
      </c>
      <c r="B90" s="690"/>
      <c r="C90" s="107">
        <f t="shared" ref="C90" si="46">SUM(C91:C94)</f>
        <v>148890</v>
      </c>
      <c r="D90" s="107">
        <f t="shared" ref="D90:E90" si="47">SUM(D91:D94)</f>
        <v>148890</v>
      </c>
      <c r="E90" s="107">
        <f t="shared" si="47"/>
        <v>143890</v>
      </c>
      <c r="F90" s="107">
        <f t="shared" ref="F90:G90" si="48">SUM(F91:F94)</f>
        <v>143890</v>
      </c>
      <c r="G90" s="107">
        <f t="shared" si="48"/>
        <v>13776</v>
      </c>
      <c r="H90" s="659">
        <f t="shared" si="34"/>
        <v>9.5739801237056082E-2</v>
      </c>
      <c r="I90" s="1"/>
    </row>
    <row r="91" spans="1:9" x14ac:dyDescent="0.25">
      <c r="A91" s="129" t="s">
        <v>87</v>
      </c>
      <c r="B91" s="130" t="s">
        <v>88</v>
      </c>
      <c r="C91" s="122">
        <v>84600</v>
      </c>
      <c r="D91" s="122">
        <v>84600</v>
      </c>
      <c r="E91" s="122">
        <v>84600</v>
      </c>
      <c r="F91" s="122">
        <v>84600</v>
      </c>
      <c r="G91" s="122">
        <v>9295</v>
      </c>
      <c r="H91" s="659">
        <f t="shared" si="34"/>
        <v>0.10986997635933807</v>
      </c>
      <c r="I91" s="1"/>
    </row>
    <row r="92" spans="1:9" x14ac:dyDescent="0.25">
      <c r="A92" s="112" t="s">
        <v>89</v>
      </c>
      <c r="B92" s="111" t="s">
        <v>90</v>
      </c>
      <c r="C92" s="128">
        <v>50000</v>
      </c>
      <c r="D92" s="128">
        <v>50000</v>
      </c>
      <c r="E92" s="617">
        <f>50000-5000</f>
        <v>45000</v>
      </c>
      <c r="F92" s="128">
        <f t="shared" ref="F92" si="49">50000-5000</f>
        <v>45000</v>
      </c>
      <c r="G92" s="128">
        <v>4291</v>
      </c>
      <c r="H92" s="659">
        <f t="shared" si="34"/>
        <v>9.5355555555555555E-2</v>
      </c>
      <c r="I92" s="1"/>
    </row>
    <row r="93" spans="1:9" x14ac:dyDescent="0.25">
      <c r="A93" s="118" t="s">
        <v>91</v>
      </c>
      <c r="B93" s="131" t="s">
        <v>92</v>
      </c>
      <c r="C93" s="133">
        <v>1800</v>
      </c>
      <c r="D93" s="133">
        <v>1800</v>
      </c>
      <c r="E93" s="133">
        <v>1800</v>
      </c>
      <c r="F93" s="133">
        <v>1800</v>
      </c>
      <c r="G93" s="133">
        <v>0</v>
      </c>
      <c r="H93" s="659">
        <f t="shared" si="34"/>
        <v>0</v>
      </c>
      <c r="I93" s="1"/>
    </row>
    <row r="94" spans="1:9" ht="15.75" thickBot="1" x14ac:dyDescent="0.3">
      <c r="A94" s="134" t="s">
        <v>93</v>
      </c>
      <c r="B94" s="135" t="s">
        <v>94</v>
      </c>
      <c r="C94" s="138">
        <v>12490</v>
      </c>
      <c r="D94" s="138">
        <v>12490</v>
      </c>
      <c r="E94" s="138">
        <v>12490</v>
      </c>
      <c r="F94" s="138">
        <v>12490</v>
      </c>
      <c r="G94" s="138">
        <v>190</v>
      </c>
      <c r="H94" s="659">
        <f t="shared" si="34"/>
        <v>1.5212169735788631E-2</v>
      </c>
      <c r="I94" s="1"/>
    </row>
    <row r="95" spans="1:9" ht="15.75" thickBot="1" x14ac:dyDescent="0.3">
      <c r="A95" s="104" t="s">
        <v>95</v>
      </c>
      <c r="B95" s="125"/>
      <c r="C95" s="106">
        <f t="shared" ref="C95" si="50">SUM(C96:C98)</f>
        <v>222291</v>
      </c>
      <c r="D95" s="106">
        <f t="shared" ref="D95:E95" si="51">SUM(D96:D98)</f>
        <v>222291</v>
      </c>
      <c r="E95" s="106">
        <f t="shared" si="51"/>
        <v>223851</v>
      </c>
      <c r="F95" s="106">
        <f t="shared" ref="F95:G95" si="52">SUM(F96:F98)</f>
        <v>223851</v>
      </c>
      <c r="G95" s="106">
        <f t="shared" si="52"/>
        <v>23334</v>
      </c>
      <c r="H95" s="659">
        <f t="shared" si="34"/>
        <v>0.10423898039320799</v>
      </c>
      <c r="I95" s="1"/>
    </row>
    <row r="96" spans="1:9" x14ac:dyDescent="0.25">
      <c r="A96" s="126" t="s">
        <v>96</v>
      </c>
      <c r="B96" s="84" t="s">
        <v>97</v>
      </c>
      <c r="C96" s="109">
        <v>155451</v>
      </c>
      <c r="D96" s="109">
        <v>155451</v>
      </c>
      <c r="E96" s="618">
        <f>155451+360</f>
        <v>155811</v>
      </c>
      <c r="F96" s="109">
        <f>155451+360</f>
        <v>155811</v>
      </c>
      <c r="G96" s="109">
        <v>16634</v>
      </c>
      <c r="H96" s="659">
        <f t="shared" si="34"/>
        <v>0.1067575460012451</v>
      </c>
      <c r="I96" s="1"/>
    </row>
    <row r="97" spans="1:11" x14ac:dyDescent="0.25">
      <c r="A97" s="136" t="s">
        <v>98</v>
      </c>
      <c r="B97" s="111" t="s">
        <v>99</v>
      </c>
      <c r="C97" s="128">
        <v>49600</v>
      </c>
      <c r="D97" s="128">
        <v>49600</v>
      </c>
      <c r="E97" s="128">
        <v>49600</v>
      </c>
      <c r="F97" s="128">
        <v>49600</v>
      </c>
      <c r="G97" s="128">
        <v>3506</v>
      </c>
      <c r="H97" s="659">
        <f t="shared" si="34"/>
        <v>7.0685483870967736E-2</v>
      </c>
      <c r="I97" s="1"/>
    </row>
    <row r="98" spans="1:11" ht="15.75" thickBot="1" x14ac:dyDescent="0.3">
      <c r="A98" s="137" t="s">
        <v>100</v>
      </c>
      <c r="B98" s="135" t="s">
        <v>101</v>
      </c>
      <c r="C98" s="138">
        <v>17240</v>
      </c>
      <c r="D98" s="138">
        <v>17240</v>
      </c>
      <c r="E98" s="619">
        <f>17240+1200</f>
        <v>18440</v>
      </c>
      <c r="F98" s="138">
        <f t="shared" ref="F98" si="53">17240+1200</f>
        <v>18440</v>
      </c>
      <c r="G98" s="138">
        <v>3194</v>
      </c>
      <c r="H98" s="659">
        <f t="shared" si="34"/>
        <v>0.17321041214750543</v>
      </c>
      <c r="I98" s="1"/>
    </row>
    <row r="99" spans="1:11" ht="15.75" thickBot="1" x14ac:dyDescent="0.3">
      <c r="A99" s="139" t="s">
        <v>102</v>
      </c>
      <c r="B99" s="140"/>
      <c r="C99" s="141">
        <f>SUM(C100:C102)</f>
        <v>830</v>
      </c>
      <c r="D99" s="141">
        <f>SUM(D100:D102)</f>
        <v>830</v>
      </c>
      <c r="E99" s="141">
        <f>SUM(E100:E102)</f>
        <v>830</v>
      </c>
      <c r="F99" s="141">
        <f t="shared" ref="F99:G99" si="54">SUM(F100:F102)</f>
        <v>830</v>
      </c>
      <c r="G99" s="141">
        <f t="shared" si="54"/>
        <v>20</v>
      </c>
      <c r="H99" s="659">
        <f t="shared" si="34"/>
        <v>2.4096385542168676E-2</v>
      </c>
      <c r="I99" s="1"/>
    </row>
    <row r="100" spans="1:11" x14ac:dyDescent="0.25">
      <c r="A100" s="120" t="s">
        <v>103</v>
      </c>
      <c r="B100" s="130" t="s">
        <v>104</v>
      </c>
      <c r="C100" s="142">
        <v>100</v>
      </c>
      <c r="D100" s="142">
        <v>100</v>
      </c>
      <c r="E100" s="142">
        <v>100</v>
      </c>
      <c r="F100" s="142">
        <v>100</v>
      </c>
      <c r="G100" s="142">
        <v>0</v>
      </c>
      <c r="H100" s="659">
        <f t="shared" si="34"/>
        <v>0</v>
      </c>
      <c r="I100" s="1"/>
    </row>
    <row r="101" spans="1:11" x14ac:dyDescent="0.25">
      <c r="A101" s="136" t="s">
        <v>105</v>
      </c>
      <c r="B101" s="111" t="s">
        <v>106</v>
      </c>
      <c r="C101" s="144">
        <v>100</v>
      </c>
      <c r="D101" s="144">
        <v>100</v>
      </c>
      <c r="E101" s="144">
        <v>100</v>
      </c>
      <c r="F101" s="144">
        <v>100</v>
      </c>
      <c r="G101" s="144">
        <v>0</v>
      </c>
      <c r="H101" s="659">
        <f t="shared" si="34"/>
        <v>0</v>
      </c>
      <c r="I101" s="1"/>
    </row>
    <row r="102" spans="1:11" x14ac:dyDescent="0.25">
      <c r="A102" s="136" t="s">
        <v>107</v>
      </c>
      <c r="B102" s="111" t="s">
        <v>108</v>
      </c>
      <c r="C102" s="60">
        <v>630</v>
      </c>
      <c r="D102" s="60">
        <v>630</v>
      </c>
      <c r="E102" s="60">
        <v>630</v>
      </c>
      <c r="F102" s="60">
        <v>630</v>
      </c>
      <c r="G102" s="60">
        <v>20</v>
      </c>
      <c r="H102" s="659">
        <f t="shared" si="34"/>
        <v>3.1746031746031744E-2</v>
      </c>
      <c r="I102" s="1"/>
    </row>
    <row r="103" spans="1:11" ht="15.75" thickBot="1" x14ac:dyDescent="0.3">
      <c r="A103" s="146" t="s">
        <v>109</v>
      </c>
      <c r="B103" s="147"/>
      <c r="C103" s="148">
        <f t="shared" ref="C103" si="55">SUM(C104:C108)</f>
        <v>131400</v>
      </c>
      <c r="D103" s="148">
        <f t="shared" ref="D103:E103" si="56">SUM(D104:D108)</f>
        <v>131400</v>
      </c>
      <c r="E103" s="148">
        <f t="shared" si="56"/>
        <v>131600</v>
      </c>
      <c r="F103" s="148">
        <f t="shared" ref="F103:G103" si="57">SUM(F104:F108)</f>
        <v>135600</v>
      </c>
      <c r="G103" s="148">
        <f t="shared" si="57"/>
        <v>14200</v>
      </c>
      <c r="H103" s="659">
        <f t="shared" si="34"/>
        <v>0.10471976401179942</v>
      </c>
      <c r="I103" s="1"/>
    </row>
    <row r="104" spans="1:11" x14ac:dyDescent="0.25">
      <c r="A104" s="129" t="s">
        <v>110</v>
      </c>
      <c r="B104" s="130" t="s">
        <v>111</v>
      </c>
      <c r="C104" s="122">
        <v>46000</v>
      </c>
      <c r="D104" s="122">
        <v>46000</v>
      </c>
      <c r="E104" s="122">
        <v>46000</v>
      </c>
      <c r="F104" s="122">
        <v>46000</v>
      </c>
      <c r="G104" s="122">
        <v>6807</v>
      </c>
      <c r="H104" s="659">
        <f t="shared" si="34"/>
        <v>0.14797826086956523</v>
      </c>
      <c r="I104" s="1"/>
    </row>
    <row r="105" spans="1:11" x14ac:dyDescent="0.25">
      <c r="A105" s="149" t="s">
        <v>112</v>
      </c>
      <c r="B105" s="150" t="s">
        <v>113</v>
      </c>
      <c r="C105" s="55">
        <v>55500</v>
      </c>
      <c r="D105" s="55">
        <v>55500</v>
      </c>
      <c r="E105" s="614">
        <f>55500+200</f>
        <v>55700</v>
      </c>
      <c r="F105" s="614">
        <f>55500+200+4000</f>
        <v>59700</v>
      </c>
      <c r="G105" s="55">
        <v>6732</v>
      </c>
      <c r="H105" s="659">
        <f t="shared" si="34"/>
        <v>0.11276381909547739</v>
      </c>
      <c r="I105" s="1"/>
    </row>
    <row r="106" spans="1:11" x14ac:dyDescent="0.25">
      <c r="A106" s="149" t="s">
        <v>114</v>
      </c>
      <c r="B106" s="84" t="s">
        <v>115</v>
      </c>
      <c r="C106" s="55">
        <v>5800</v>
      </c>
      <c r="D106" s="55">
        <v>5800</v>
      </c>
      <c r="E106" s="55">
        <v>5800</v>
      </c>
      <c r="F106" s="55">
        <f>5800</f>
        <v>5800</v>
      </c>
      <c r="G106" s="55">
        <v>223</v>
      </c>
      <c r="H106" s="659">
        <f t="shared" si="34"/>
        <v>3.8448275862068969E-2</v>
      </c>
      <c r="I106" s="1"/>
    </row>
    <row r="107" spans="1:11" x14ac:dyDescent="0.25">
      <c r="A107" s="149" t="s">
        <v>116</v>
      </c>
      <c r="B107" s="84" t="s">
        <v>117</v>
      </c>
      <c r="C107" s="55">
        <v>19000</v>
      </c>
      <c r="D107" s="55">
        <v>19000</v>
      </c>
      <c r="E107" s="55">
        <v>19000</v>
      </c>
      <c r="F107" s="55">
        <v>19000</v>
      </c>
      <c r="G107" s="55">
        <v>438</v>
      </c>
      <c r="H107" s="659">
        <f t="shared" ref="H107:H136" si="58">G107/F107</f>
        <v>2.305263157894737E-2</v>
      </c>
      <c r="I107" s="1"/>
    </row>
    <row r="108" spans="1:11" ht="15.75" thickBot="1" x14ac:dyDescent="0.3">
      <c r="A108" s="134" t="s">
        <v>118</v>
      </c>
      <c r="B108" s="135" t="s">
        <v>119</v>
      </c>
      <c r="C108" s="145">
        <v>5100</v>
      </c>
      <c r="D108" s="145">
        <v>5100</v>
      </c>
      <c r="E108" s="145">
        <v>5100</v>
      </c>
      <c r="F108" s="145">
        <v>5100</v>
      </c>
      <c r="G108" s="145">
        <v>0</v>
      </c>
      <c r="H108" s="659">
        <f t="shared" si="58"/>
        <v>0</v>
      </c>
      <c r="I108" s="1"/>
    </row>
    <row r="109" spans="1:11" ht="15.75" thickBot="1" x14ac:dyDescent="0.3">
      <c r="A109" s="116" t="s">
        <v>120</v>
      </c>
      <c r="B109" s="117"/>
      <c r="C109" s="106">
        <f t="shared" ref="C109" si="59">SUM(C110:C117)</f>
        <v>485000</v>
      </c>
      <c r="D109" s="106">
        <f t="shared" ref="D109:E109" si="60">SUM(D110:D117)</f>
        <v>495173</v>
      </c>
      <c r="E109" s="106">
        <f t="shared" si="60"/>
        <v>499013</v>
      </c>
      <c r="F109" s="106">
        <f t="shared" ref="F109:G109" si="61">SUM(F110:F117)</f>
        <v>499413</v>
      </c>
      <c r="G109" s="106">
        <f t="shared" si="61"/>
        <v>81844</v>
      </c>
      <c r="H109" s="659">
        <f t="shared" si="58"/>
        <v>0.16388039558441611</v>
      </c>
      <c r="I109" s="1"/>
      <c r="J109" s="27"/>
      <c r="K109" s="27"/>
    </row>
    <row r="110" spans="1:11" x14ac:dyDescent="0.25">
      <c r="A110" s="151" t="s">
        <v>121</v>
      </c>
      <c r="B110" s="152" t="s">
        <v>122</v>
      </c>
      <c r="C110" s="153">
        <v>203000</v>
      </c>
      <c r="D110" s="613">
        <f>203000+7573</f>
        <v>210573</v>
      </c>
      <c r="E110" s="153">
        <f>203000+7573</f>
        <v>210573</v>
      </c>
      <c r="F110" s="153">
        <f>203000+7573</f>
        <v>210573</v>
      </c>
      <c r="G110" s="153">
        <v>28654</v>
      </c>
      <c r="H110" s="659">
        <f t="shared" si="58"/>
        <v>0.13607632507491463</v>
      </c>
      <c r="I110" s="1"/>
    </row>
    <row r="111" spans="1:11" x14ac:dyDescent="0.25">
      <c r="A111" s="656" t="s">
        <v>123</v>
      </c>
      <c r="B111" s="127" t="s">
        <v>508</v>
      </c>
      <c r="C111" s="56">
        <v>0</v>
      </c>
      <c r="D111" s="56">
        <v>0</v>
      </c>
      <c r="E111" s="657">
        <v>1720</v>
      </c>
      <c r="F111" s="56">
        <v>1720</v>
      </c>
      <c r="G111" s="56">
        <v>1720</v>
      </c>
      <c r="H111" s="659">
        <f t="shared" si="58"/>
        <v>1</v>
      </c>
      <c r="I111" s="1"/>
    </row>
    <row r="112" spans="1:11" x14ac:dyDescent="0.25">
      <c r="A112" s="154" t="s">
        <v>124</v>
      </c>
      <c r="B112" s="155" t="s">
        <v>509</v>
      </c>
      <c r="C112" s="61">
        <v>3700</v>
      </c>
      <c r="D112" s="61">
        <v>3700</v>
      </c>
      <c r="E112" s="603">
        <f>3700+100+1720</f>
        <v>5520</v>
      </c>
      <c r="F112" s="603">
        <f>3700+100+1720+400</f>
        <v>5920</v>
      </c>
      <c r="G112" s="61">
        <v>1217</v>
      </c>
      <c r="H112" s="659">
        <f t="shared" si="58"/>
        <v>0.20557432432432432</v>
      </c>
      <c r="I112" s="1"/>
    </row>
    <row r="113" spans="1:14" x14ac:dyDescent="0.25">
      <c r="A113" s="154" t="s">
        <v>125</v>
      </c>
      <c r="B113" s="155" t="s">
        <v>126</v>
      </c>
      <c r="C113" s="61">
        <v>44380</v>
      </c>
      <c r="D113" s="61">
        <v>44380</v>
      </c>
      <c r="E113" s="61">
        <v>44380</v>
      </c>
      <c r="F113" s="61">
        <v>44380</v>
      </c>
      <c r="G113" s="61">
        <v>5468</v>
      </c>
      <c r="H113" s="659">
        <f t="shared" si="58"/>
        <v>0.12320865254619198</v>
      </c>
      <c r="I113" s="1"/>
    </row>
    <row r="114" spans="1:14" x14ac:dyDescent="0.25">
      <c r="A114" s="154" t="s">
        <v>127</v>
      </c>
      <c r="B114" s="155" t="s">
        <v>128</v>
      </c>
      <c r="C114" s="60">
        <v>87002</v>
      </c>
      <c r="D114" s="60">
        <f>87002</f>
        <v>87002</v>
      </c>
      <c r="E114" s="60">
        <f>87002</f>
        <v>87002</v>
      </c>
      <c r="F114" s="60">
        <f t="shared" ref="F114" si="62">87002</f>
        <v>87002</v>
      </c>
      <c r="G114" s="60">
        <v>8325</v>
      </c>
      <c r="H114" s="659">
        <f t="shared" si="58"/>
        <v>9.5687455460794005E-2</v>
      </c>
      <c r="I114" s="1"/>
      <c r="J114" s="288"/>
      <c r="K114" s="288"/>
      <c r="N114" s="406"/>
    </row>
    <row r="115" spans="1:14" x14ac:dyDescent="0.25">
      <c r="A115" s="154" t="s">
        <v>129</v>
      </c>
      <c r="B115" s="155" t="s">
        <v>187</v>
      </c>
      <c r="C115" s="60">
        <v>145118</v>
      </c>
      <c r="D115" s="604">
        <f>145118+2600</f>
        <v>147718</v>
      </c>
      <c r="E115" s="60">
        <f>145118+2600</f>
        <v>147718</v>
      </c>
      <c r="F115" s="60">
        <f t="shared" ref="F115" si="63">145118+2600</f>
        <v>147718</v>
      </c>
      <c r="G115" s="60">
        <v>35670</v>
      </c>
      <c r="H115" s="659">
        <f t="shared" si="58"/>
        <v>0.24147361865175537</v>
      </c>
      <c r="I115" s="27">
        <f>SUM(C113:C115)</f>
        <v>276500</v>
      </c>
      <c r="J115" s="27">
        <f>SUM(D113:D115)</f>
        <v>279100</v>
      </c>
      <c r="K115" s="27">
        <f>SUM(E113:E115)</f>
        <v>279100</v>
      </c>
    </row>
    <row r="116" spans="1:14" x14ac:dyDescent="0.25">
      <c r="A116" s="156" t="s">
        <v>130</v>
      </c>
      <c r="B116" s="155" t="s">
        <v>188</v>
      </c>
      <c r="C116" s="157">
        <v>500</v>
      </c>
      <c r="D116" s="157">
        <v>500</v>
      </c>
      <c r="E116" s="620">
        <f>500+300</f>
        <v>800</v>
      </c>
      <c r="F116" s="157">
        <f t="shared" ref="F116" si="64">500+300</f>
        <v>800</v>
      </c>
      <c r="G116" s="157">
        <v>790</v>
      </c>
      <c r="H116" s="659">
        <f t="shared" si="58"/>
        <v>0.98750000000000004</v>
      </c>
      <c r="I116" s="1"/>
    </row>
    <row r="117" spans="1:14" ht="15.75" thickBot="1" x14ac:dyDescent="0.3">
      <c r="A117" s="154" t="s">
        <v>131</v>
      </c>
      <c r="B117" s="155" t="s">
        <v>199</v>
      </c>
      <c r="C117" s="157">
        <v>1300</v>
      </c>
      <c r="D117" s="157">
        <v>1300</v>
      </c>
      <c r="E117" s="157">
        <v>1300</v>
      </c>
      <c r="F117" s="157">
        <v>1300</v>
      </c>
      <c r="G117" s="157">
        <v>0</v>
      </c>
      <c r="H117" s="659">
        <f t="shared" si="58"/>
        <v>0</v>
      </c>
      <c r="I117" s="1"/>
    </row>
    <row r="118" spans="1:14" ht="15.75" thickBot="1" x14ac:dyDescent="0.3">
      <c r="A118" s="104" t="s">
        <v>132</v>
      </c>
      <c r="B118" s="105"/>
      <c r="C118" s="107">
        <f t="shared" ref="C118" si="65">SUM(C119:C123)</f>
        <v>345080</v>
      </c>
      <c r="D118" s="107">
        <f t="shared" ref="D118:E118" si="66">SUM(D119:D123)</f>
        <v>345260</v>
      </c>
      <c r="E118" s="107">
        <f t="shared" si="66"/>
        <v>345460</v>
      </c>
      <c r="F118" s="107">
        <f t="shared" ref="F118:G118" si="67">SUM(F119:F123)</f>
        <v>345460</v>
      </c>
      <c r="G118" s="107">
        <f t="shared" si="67"/>
        <v>29526</v>
      </c>
      <c r="H118" s="659">
        <f t="shared" si="58"/>
        <v>8.5468650494992179E-2</v>
      </c>
      <c r="I118" s="1"/>
    </row>
    <row r="119" spans="1:14" x14ac:dyDescent="0.25">
      <c r="A119" s="149" t="s">
        <v>133</v>
      </c>
      <c r="B119" s="84" t="s">
        <v>206</v>
      </c>
      <c r="C119" s="55">
        <v>329300</v>
      </c>
      <c r="D119" s="55">
        <f>329300+400-400</f>
        <v>329300</v>
      </c>
      <c r="E119" s="614">
        <f>329300+200</f>
        <v>329500</v>
      </c>
      <c r="F119" s="55">
        <f t="shared" ref="F119" si="68">329300+200</f>
        <v>329500</v>
      </c>
      <c r="G119" s="55">
        <v>27251</v>
      </c>
      <c r="H119" s="659">
        <f t="shared" si="58"/>
        <v>8.2704097116843706E-2</v>
      </c>
      <c r="I119" s="1"/>
    </row>
    <row r="120" spans="1:14" x14ac:dyDescent="0.25">
      <c r="A120" s="149" t="s">
        <v>134</v>
      </c>
      <c r="B120" s="84" t="s">
        <v>135</v>
      </c>
      <c r="C120" s="55">
        <v>680</v>
      </c>
      <c r="D120" s="614">
        <f>680+180</f>
        <v>860</v>
      </c>
      <c r="E120" s="55">
        <f>680+180</f>
        <v>860</v>
      </c>
      <c r="F120" s="55">
        <f t="shared" ref="F120" si="69">680+180</f>
        <v>860</v>
      </c>
      <c r="G120" s="55">
        <v>137</v>
      </c>
      <c r="H120" s="659">
        <f t="shared" si="58"/>
        <v>0.15930232558139534</v>
      </c>
      <c r="I120" s="1"/>
    </row>
    <row r="121" spans="1:14" x14ac:dyDescent="0.25">
      <c r="A121" s="112" t="s">
        <v>136</v>
      </c>
      <c r="B121" s="111" t="s">
        <v>137</v>
      </c>
      <c r="C121" s="60">
        <v>14100</v>
      </c>
      <c r="D121" s="60">
        <v>14100</v>
      </c>
      <c r="E121" s="60">
        <v>14100</v>
      </c>
      <c r="F121" s="60">
        <v>14100</v>
      </c>
      <c r="G121" s="60">
        <v>2138</v>
      </c>
      <c r="H121" s="659">
        <f t="shared" si="58"/>
        <v>0.15163120567375887</v>
      </c>
      <c r="I121" s="1"/>
    </row>
    <row r="122" spans="1:14" x14ac:dyDescent="0.25">
      <c r="A122" s="112" t="s">
        <v>138</v>
      </c>
      <c r="B122" s="111" t="s">
        <v>139</v>
      </c>
      <c r="C122" s="60">
        <v>500</v>
      </c>
      <c r="D122" s="60">
        <v>500</v>
      </c>
      <c r="E122" s="60">
        <v>500</v>
      </c>
      <c r="F122" s="60">
        <v>500</v>
      </c>
      <c r="G122" s="60">
        <v>0</v>
      </c>
      <c r="H122" s="659">
        <f t="shared" si="58"/>
        <v>0</v>
      </c>
      <c r="I122" s="1"/>
    </row>
    <row r="123" spans="1:14" ht="15.75" thickBot="1" x14ac:dyDescent="0.3">
      <c r="A123" s="134" t="s">
        <v>140</v>
      </c>
      <c r="B123" s="135" t="s">
        <v>141</v>
      </c>
      <c r="C123" s="145">
        <v>500</v>
      </c>
      <c r="D123" s="145">
        <v>500</v>
      </c>
      <c r="E123" s="145">
        <v>500</v>
      </c>
      <c r="F123" s="145">
        <v>500</v>
      </c>
      <c r="G123" s="145">
        <v>0</v>
      </c>
      <c r="H123" s="659">
        <f t="shared" si="58"/>
        <v>0</v>
      </c>
      <c r="I123" s="1"/>
      <c r="J123" s="27"/>
      <c r="K123" s="27"/>
    </row>
    <row r="124" spans="1:14" ht="24.75" customHeight="1" thickBot="1" x14ac:dyDescent="0.3">
      <c r="A124" s="158" t="s">
        <v>142</v>
      </c>
      <c r="B124" s="140"/>
      <c r="C124" s="159">
        <f>SUM(C75+C81+C83+C86+C90+C95+C99+C103+C109+C118)</f>
        <v>1801231</v>
      </c>
      <c r="D124" s="159">
        <f>SUM(D75+D81+D83+D86+D90+D95+D99+D103+D109+D118)</f>
        <v>1812299</v>
      </c>
      <c r="E124" s="159">
        <f>SUM(E75+E81+E83+E86+E90+E95+E99+E103+E109+E118)</f>
        <v>1819999</v>
      </c>
      <c r="F124" s="159">
        <f t="shared" ref="F124:G124" si="70">SUM(F75+F81+F83+F86+F90+F95+F99+F103+F109+F118)</f>
        <v>1872099</v>
      </c>
      <c r="G124" s="159">
        <f t="shared" si="70"/>
        <v>227258</v>
      </c>
      <c r="H124" s="659">
        <f t="shared" si="58"/>
        <v>0.12139208449980476</v>
      </c>
      <c r="I124" s="1"/>
      <c r="J124" s="27">
        <f t="shared" ref="J124:L125" si="71">D124-C124</f>
        <v>11068</v>
      </c>
      <c r="K124" s="27">
        <f t="shared" si="71"/>
        <v>7700</v>
      </c>
      <c r="L124" s="27">
        <f t="shared" si="71"/>
        <v>52100</v>
      </c>
    </row>
    <row r="125" spans="1:14" x14ac:dyDescent="0.25">
      <c r="A125" s="446" t="s">
        <v>123</v>
      </c>
      <c r="B125" s="160" t="s">
        <v>143</v>
      </c>
      <c r="C125" s="161">
        <f>C62+C173</f>
        <v>643550</v>
      </c>
      <c r="D125" s="161">
        <f>D62+D173</f>
        <v>690283</v>
      </c>
      <c r="E125" s="161">
        <f>E62+E173</f>
        <v>690283</v>
      </c>
      <c r="F125" s="161">
        <f>F62+F173</f>
        <v>690283</v>
      </c>
      <c r="G125" s="161">
        <f>G62+G173</f>
        <v>146808</v>
      </c>
      <c r="H125" s="659">
        <f t="shared" si="58"/>
        <v>0.21267798859308429</v>
      </c>
      <c r="I125" s="1"/>
      <c r="J125" s="27">
        <f t="shared" si="71"/>
        <v>46733</v>
      </c>
      <c r="K125" s="27">
        <f t="shared" si="71"/>
        <v>0</v>
      </c>
      <c r="L125" s="27">
        <f t="shared" si="71"/>
        <v>0</v>
      </c>
    </row>
    <row r="126" spans="1:14" x14ac:dyDescent="0.25">
      <c r="A126" s="447" t="s">
        <v>123</v>
      </c>
      <c r="B126" s="168" t="s">
        <v>328</v>
      </c>
      <c r="C126" s="169">
        <f>C61</f>
        <v>19272</v>
      </c>
      <c r="D126" s="169">
        <f>D61</f>
        <v>19272</v>
      </c>
      <c r="E126" s="169">
        <f>E61</f>
        <v>19272</v>
      </c>
      <c r="F126" s="169">
        <f>F61</f>
        <v>19272</v>
      </c>
      <c r="G126" s="169">
        <f>G61</f>
        <v>1606</v>
      </c>
      <c r="H126" s="659">
        <f t="shared" si="58"/>
        <v>8.3333333333333329E-2</v>
      </c>
      <c r="I126" s="27">
        <f>SUM(G125:G126)</f>
        <v>148414</v>
      </c>
      <c r="J126" s="27"/>
      <c r="K126" s="27"/>
      <c r="L126" s="27"/>
    </row>
    <row r="127" spans="1:14" x14ac:dyDescent="0.25">
      <c r="A127" s="448" t="s">
        <v>123</v>
      </c>
      <c r="B127" s="163" t="s">
        <v>144</v>
      </c>
      <c r="C127" s="164">
        <f>C64</f>
        <v>1550</v>
      </c>
      <c r="D127" s="164">
        <f>D64</f>
        <v>1550</v>
      </c>
      <c r="E127" s="164">
        <f>E64</f>
        <v>1550</v>
      </c>
      <c r="F127" s="164">
        <f>F64</f>
        <v>1550</v>
      </c>
      <c r="G127" s="164">
        <f>G64</f>
        <v>0</v>
      </c>
      <c r="H127" s="659">
        <f t="shared" si="58"/>
        <v>0</v>
      </c>
      <c r="I127" s="1"/>
      <c r="J127" s="27"/>
      <c r="K127" s="27"/>
      <c r="L127" s="27"/>
    </row>
    <row r="128" spans="1:14" ht="15.75" thickBot="1" x14ac:dyDescent="0.3">
      <c r="A128" s="449" t="s">
        <v>123</v>
      </c>
      <c r="B128" s="165" t="s">
        <v>145</v>
      </c>
      <c r="C128" s="166">
        <v>1700</v>
      </c>
      <c r="D128" s="166">
        <v>1700</v>
      </c>
      <c r="E128" s="166">
        <v>1700</v>
      </c>
      <c r="F128" s="166">
        <v>1700</v>
      </c>
      <c r="G128" s="166">
        <v>0</v>
      </c>
      <c r="H128" s="659">
        <f t="shared" si="58"/>
        <v>0</v>
      </c>
      <c r="I128" s="27">
        <f>SUM(C125:C128)</f>
        <v>666072</v>
      </c>
      <c r="J128" s="27"/>
      <c r="K128" s="27"/>
      <c r="L128" s="27"/>
    </row>
    <row r="129" spans="1:12" x14ac:dyDescent="0.25">
      <c r="A129" s="167" t="s">
        <v>124</v>
      </c>
      <c r="B129" s="168" t="s">
        <v>146</v>
      </c>
      <c r="C129" s="169">
        <v>34400</v>
      </c>
      <c r="D129" s="169">
        <v>34400</v>
      </c>
      <c r="E129" s="169">
        <v>34400</v>
      </c>
      <c r="F129" s="169">
        <v>34400</v>
      </c>
      <c r="G129" s="169">
        <v>5734</v>
      </c>
      <c r="H129" s="659">
        <f t="shared" si="58"/>
        <v>0.16668604651162791</v>
      </c>
      <c r="I129" s="27"/>
      <c r="J129" s="27"/>
      <c r="K129" s="27"/>
      <c r="L129" s="27"/>
    </row>
    <row r="130" spans="1:12" ht="15.75" thickBot="1" x14ac:dyDescent="0.3">
      <c r="A130" s="162" t="s">
        <v>124</v>
      </c>
      <c r="B130" s="163" t="s">
        <v>147</v>
      </c>
      <c r="C130" s="164">
        <f>C65</f>
        <v>3600</v>
      </c>
      <c r="D130" s="164">
        <f>D65</f>
        <v>3600</v>
      </c>
      <c r="E130" s="164">
        <f>E65</f>
        <v>3600</v>
      </c>
      <c r="F130" s="164">
        <f>F65</f>
        <v>3600</v>
      </c>
      <c r="G130" s="164">
        <v>0</v>
      </c>
      <c r="H130" s="659">
        <f t="shared" si="58"/>
        <v>0</v>
      </c>
      <c r="I130" s="27">
        <f>SUM(C129:C130)</f>
        <v>38000</v>
      </c>
      <c r="J130" s="27"/>
      <c r="K130" s="27"/>
      <c r="L130" s="27"/>
    </row>
    <row r="131" spans="1:12" ht="15.75" thickBot="1" x14ac:dyDescent="0.3">
      <c r="A131" s="691" t="s">
        <v>148</v>
      </c>
      <c r="B131" s="692"/>
      <c r="C131" s="170">
        <f>SUM(C125:C130)</f>
        <v>704072</v>
      </c>
      <c r="D131" s="170">
        <f>SUM(D125:D130)</f>
        <v>750805</v>
      </c>
      <c r="E131" s="170">
        <f>SUM(E125:E130)</f>
        <v>750805</v>
      </c>
      <c r="F131" s="170">
        <f t="shared" ref="F131:G131" si="72">SUM(F125:F130)</f>
        <v>750805</v>
      </c>
      <c r="G131" s="170">
        <f t="shared" si="72"/>
        <v>154148</v>
      </c>
      <c r="H131" s="659">
        <f t="shared" si="58"/>
        <v>0.20531030027770195</v>
      </c>
      <c r="I131" s="27"/>
      <c r="J131" s="27">
        <f>D131-C131</f>
        <v>46733</v>
      </c>
      <c r="K131" s="27">
        <f>E131-D131</f>
        <v>0</v>
      </c>
      <c r="L131" s="27">
        <f>F131-E131</f>
        <v>0</v>
      </c>
    </row>
    <row r="132" spans="1:12" x14ac:dyDescent="0.25">
      <c r="A132" s="171" t="s">
        <v>124</v>
      </c>
      <c r="B132" s="172" t="s">
        <v>149</v>
      </c>
      <c r="C132" s="173">
        <v>294050</v>
      </c>
      <c r="D132" s="173">
        <v>294050</v>
      </c>
      <c r="E132" s="173">
        <v>294050</v>
      </c>
      <c r="F132" s="173">
        <v>294050</v>
      </c>
      <c r="G132" s="173">
        <v>49008</v>
      </c>
      <c r="H132" s="659">
        <f t="shared" si="58"/>
        <v>0.1666655330726067</v>
      </c>
      <c r="I132" s="1"/>
      <c r="J132" s="27"/>
      <c r="K132" s="27"/>
      <c r="L132" s="27"/>
    </row>
    <row r="133" spans="1:12" ht="15.75" thickBot="1" x14ac:dyDescent="0.3">
      <c r="A133" s="174" t="s">
        <v>124</v>
      </c>
      <c r="B133" s="175" t="s">
        <v>150</v>
      </c>
      <c r="C133" s="89">
        <f>C67</f>
        <v>12350</v>
      </c>
      <c r="D133" s="89">
        <f>D67</f>
        <v>12350</v>
      </c>
      <c r="E133" s="89">
        <f>E67</f>
        <v>12350</v>
      </c>
      <c r="F133" s="89">
        <f>F67</f>
        <v>12350</v>
      </c>
      <c r="G133" s="89">
        <f>G67</f>
        <v>3140</v>
      </c>
      <c r="H133" s="659">
        <f t="shared" si="58"/>
        <v>0.25425101214574897</v>
      </c>
      <c r="I133" s="1"/>
      <c r="J133" s="27"/>
      <c r="K133" s="27"/>
      <c r="L133" s="27"/>
    </row>
    <row r="134" spans="1:12" ht="15.75" thickBot="1" x14ac:dyDescent="0.3">
      <c r="A134" s="693" t="s">
        <v>151</v>
      </c>
      <c r="B134" s="694"/>
      <c r="C134" s="176">
        <f>SUM(C132:C133)</f>
        <v>306400</v>
      </c>
      <c r="D134" s="176">
        <f>SUM(D132:D133)</f>
        <v>306400</v>
      </c>
      <c r="E134" s="176">
        <f>SUM(E132:E133)</f>
        <v>306400</v>
      </c>
      <c r="F134" s="176">
        <f t="shared" ref="F134:G134" si="73">SUM(F132:F133)</f>
        <v>306400</v>
      </c>
      <c r="G134" s="176">
        <f t="shared" si="73"/>
        <v>52148</v>
      </c>
      <c r="H134" s="659">
        <f t="shared" si="58"/>
        <v>0.17019582245430809</v>
      </c>
      <c r="I134" s="1"/>
      <c r="J134" s="27">
        <f t="shared" ref="J134:L136" si="74">D134-C134</f>
        <v>0</v>
      </c>
      <c r="K134" s="27">
        <f t="shared" si="74"/>
        <v>0</v>
      </c>
      <c r="L134" s="27">
        <f t="shared" si="74"/>
        <v>0</v>
      </c>
    </row>
    <row r="135" spans="1:12" ht="22.5" customHeight="1" thickBot="1" x14ac:dyDescent="0.3">
      <c r="A135" s="695" t="s">
        <v>152</v>
      </c>
      <c r="B135" s="696"/>
      <c r="C135" s="177">
        <f>C131+C134</f>
        <v>1010472</v>
      </c>
      <c r="D135" s="177">
        <f>D131+D134</f>
        <v>1057205</v>
      </c>
      <c r="E135" s="177">
        <f>E131+E134</f>
        <v>1057205</v>
      </c>
      <c r="F135" s="177">
        <f t="shared" ref="F135:G135" si="75">F131+F134</f>
        <v>1057205</v>
      </c>
      <c r="G135" s="177">
        <f t="shared" si="75"/>
        <v>206296</v>
      </c>
      <c r="H135" s="659">
        <f t="shared" si="58"/>
        <v>0.19513339418561207</v>
      </c>
      <c r="I135" s="1"/>
      <c r="J135" s="27">
        <f t="shared" si="74"/>
        <v>46733</v>
      </c>
      <c r="K135" s="27">
        <f t="shared" si="74"/>
        <v>0</v>
      </c>
      <c r="L135" s="27">
        <f t="shared" si="74"/>
        <v>0</v>
      </c>
    </row>
    <row r="136" spans="1:12" ht="27.75" customHeight="1" thickBot="1" x14ac:dyDescent="0.3">
      <c r="A136" s="178" t="s">
        <v>153</v>
      </c>
      <c r="B136" s="125"/>
      <c r="C136" s="179">
        <f>C124+C135</f>
        <v>2811703</v>
      </c>
      <c r="D136" s="179">
        <f>D124+D135</f>
        <v>2869504</v>
      </c>
      <c r="E136" s="179">
        <f>E124+E135</f>
        <v>2877204</v>
      </c>
      <c r="F136" s="179">
        <f t="shared" ref="F136:G136" si="76">F124+F135</f>
        <v>2929304</v>
      </c>
      <c r="G136" s="179">
        <f t="shared" si="76"/>
        <v>433554</v>
      </c>
      <c r="H136" s="659">
        <f t="shared" si="58"/>
        <v>0.14800580615736708</v>
      </c>
      <c r="I136" s="1"/>
      <c r="J136" s="27">
        <f t="shared" si="74"/>
        <v>57801</v>
      </c>
      <c r="K136" s="27">
        <f t="shared" si="74"/>
        <v>7700</v>
      </c>
      <c r="L136" s="27">
        <f t="shared" si="74"/>
        <v>52100</v>
      </c>
    </row>
    <row r="137" spans="1:12" x14ac:dyDescent="0.25">
      <c r="A137" s="1"/>
      <c r="B137" s="1"/>
      <c r="C137" s="1"/>
      <c r="D137" s="1"/>
      <c r="E137" s="1"/>
      <c r="F137" s="1"/>
      <c r="G137" s="1"/>
      <c r="H137" s="659"/>
      <c r="I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659"/>
      <c r="I138" s="1"/>
    </row>
    <row r="139" spans="1:12" ht="18.75" thickBot="1" x14ac:dyDescent="0.3">
      <c r="A139" s="697" t="s">
        <v>154</v>
      </c>
      <c r="B139" s="698"/>
      <c r="C139" s="698"/>
      <c r="D139" s="698"/>
      <c r="E139" s="698"/>
      <c r="F139" s="653"/>
      <c r="G139" s="653"/>
      <c r="H139" s="659"/>
      <c r="I139" s="1"/>
    </row>
    <row r="140" spans="1:12" ht="38.25" customHeight="1" thickBot="1" x14ac:dyDescent="0.3">
      <c r="A140" s="687" t="s">
        <v>1</v>
      </c>
      <c r="B140" s="699"/>
      <c r="C140" s="289" t="s">
        <v>455</v>
      </c>
      <c r="D140" s="289" t="s">
        <v>454</v>
      </c>
      <c r="E140" s="289" t="s">
        <v>372</v>
      </c>
      <c r="F140" s="289" t="s">
        <v>516</v>
      </c>
      <c r="G140" s="289" t="s">
        <v>502</v>
      </c>
      <c r="H140" s="659"/>
      <c r="I140" s="1"/>
    </row>
    <row r="141" spans="1:12" ht="16.5" thickBot="1" x14ac:dyDescent="0.3">
      <c r="A141" s="700" t="s">
        <v>155</v>
      </c>
      <c r="B141" s="701"/>
      <c r="C141" s="180">
        <f>SUM(C142:C150)</f>
        <v>1143050</v>
      </c>
      <c r="D141" s="180">
        <f>SUM(D142:D150)</f>
        <v>1143050</v>
      </c>
      <c r="E141" s="180">
        <f>SUM(E142:E150)</f>
        <v>1334050</v>
      </c>
      <c r="F141" s="180">
        <f t="shared" ref="F141:G141" si="77">SUM(F142:F150)</f>
        <v>1334050</v>
      </c>
      <c r="G141" s="180">
        <f t="shared" si="77"/>
        <v>0</v>
      </c>
      <c r="H141" s="659">
        <f t="shared" ref="H141:H146" si="78">G141/F141</f>
        <v>0</v>
      </c>
      <c r="I141" s="1"/>
    </row>
    <row r="142" spans="1:12" ht="15.75" thickBot="1" x14ac:dyDescent="0.3">
      <c r="A142" s="77">
        <v>233</v>
      </c>
      <c r="B142" s="225" t="s">
        <v>156</v>
      </c>
      <c r="C142" s="181">
        <v>5000</v>
      </c>
      <c r="D142" s="181">
        <v>5000</v>
      </c>
      <c r="E142" s="181">
        <v>5000</v>
      </c>
      <c r="F142" s="181">
        <v>5000</v>
      </c>
      <c r="G142" s="181">
        <v>0</v>
      </c>
      <c r="H142" s="659">
        <f t="shared" si="78"/>
        <v>0</v>
      </c>
      <c r="I142" s="1"/>
    </row>
    <row r="143" spans="1:12" x14ac:dyDescent="0.25">
      <c r="A143" s="185">
        <v>322</v>
      </c>
      <c r="B143" s="76" t="s">
        <v>310</v>
      </c>
      <c r="C143" s="186">
        <v>434700</v>
      </c>
      <c r="D143" s="186">
        <v>434700</v>
      </c>
      <c r="E143" s="186">
        <v>434700</v>
      </c>
      <c r="F143" s="186">
        <v>434700</v>
      </c>
      <c r="G143" s="186">
        <v>0</v>
      </c>
      <c r="H143" s="659">
        <f t="shared" si="78"/>
        <v>0</v>
      </c>
      <c r="I143" s="27"/>
    </row>
    <row r="144" spans="1:12" x14ac:dyDescent="0.25">
      <c r="A144" s="185">
        <v>322</v>
      </c>
      <c r="B144" s="187" t="s">
        <v>355</v>
      </c>
      <c r="C144" s="184">
        <v>178000</v>
      </c>
      <c r="D144" s="184">
        <v>178000</v>
      </c>
      <c r="E144" s="184">
        <v>178000</v>
      </c>
      <c r="F144" s="184">
        <v>178000</v>
      </c>
      <c r="G144" s="184">
        <v>0</v>
      </c>
      <c r="H144" s="659">
        <f t="shared" si="78"/>
        <v>0</v>
      </c>
      <c r="I144" s="1"/>
    </row>
    <row r="145" spans="1:20" x14ac:dyDescent="0.25">
      <c r="A145" s="185">
        <v>322</v>
      </c>
      <c r="B145" s="84" t="s">
        <v>340</v>
      </c>
      <c r="C145" s="186">
        <v>190000</v>
      </c>
      <c r="D145" s="186">
        <v>190000</v>
      </c>
      <c r="E145" s="186">
        <v>190000</v>
      </c>
      <c r="F145" s="186">
        <v>190000</v>
      </c>
      <c r="G145" s="186">
        <v>0</v>
      </c>
      <c r="H145" s="659">
        <f t="shared" si="78"/>
        <v>0</v>
      </c>
      <c r="I145" s="1"/>
      <c r="J145" s="27"/>
      <c r="K145" s="27"/>
      <c r="R145" s="310"/>
      <c r="S145" s="310"/>
      <c r="T145" s="310"/>
    </row>
    <row r="146" spans="1:20" x14ac:dyDescent="0.25">
      <c r="A146" s="185">
        <v>322</v>
      </c>
      <c r="B146" s="84" t="s">
        <v>530</v>
      </c>
      <c r="C146" s="186">
        <v>0</v>
      </c>
      <c r="D146" s="186">
        <v>0</v>
      </c>
      <c r="E146" s="638">
        <v>191000</v>
      </c>
      <c r="F146" s="186">
        <v>191000</v>
      </c>
      <c r="G146" s="186">
        <v>0</v>
      </c>
      <c r="H146" s="659">
        <f t="shared" si="78"/>
        <v>0</v>
      </c>
      <c r="I146" s="1"/>
      <c r="J146" s="27"/>
      <c r="K146" s="27"/>
      <c r="R146" s="310"/>
      <c r="S146" s="310"/>
      <c r="T146" s="310"/>
    </row>
    <row r="147" spans="1:20" x14ac:dyDescent="0.25">
      <c r="A147" s="185">
        <v>322</v>
      </c>
      <c r="B147" s="84" t="s">
        <v>531</v>
      </c>
      <c r="C147" s="186">
        <v>0</v>
      </c>
      <c r="D147" s="186">
        <v>0</v>
      </c>
      <c r="E147" s="186">
        <v>0</v>
      </c>
      <c r="F147" s="186">
        <v>0</v>
      </c>
      <c r="G147" s="186">
        <v>0</v>
      </c>
      <c r="H147" s="659">
        <v>0</v>
      </c>
      <c r="I147" s="1"/>
      <c r="J147" s="27"/>
      <c r="K147" s="27"/>
      <c r="R147" s="310"/>
      <c r="S147" s="310"/>
      <c r="T147" s="310"/>
    </row>
    <row r="148" spans="1:20" x14ac:dyDescent="0.25">
      <c r="A148" s="183">
        <v>322</v>
      </c>
      <c r="B148" s="72" t="s">
        <v>157</v>
      </c>
      <c r="C148" s="184">
        <v>300000</v>
      </c>
      <c r="D148" s="184">
        <v>300000</v>
      </c>
      <c r="E148" s="184">
        <v>300000</v>
      </c>
      <c r="F148" s="184">
        <v>300000</v>
      </c>
      <c r="G148" s="184">
        <v>0</v>
      </c>
      <c r="H148" s="659">
        <f>G148/F148</f>
        <v>0</v>
      </c>
      <c r="I148" s="1"/>
    </row>
    <row r="149" spans="1:20" x14ac:dyDescent="0.25">
      <c r="A149" s="183">
        <v>322</v>
      </c>
      <c r="B149" s="187" t="s">
        <v>329</v>
      </c>
      <c r="C149" s="182">
        <v>0</v>
      </c>
      <c r="D149" s="182">
        <v>0</v>
      </c>
      <c r="E149" s="182">
        <v>0</v>
      </c>
      <c r="F149" s="182">
        <v>0</v>
      </c>
      <c r="G149" s="182">
        <v>0</v>
      </c>
      <c r="H149" s="659">
        <v>0</v>
      </c>
      <c r="I149" s="1"/>
    </row>
    <row r="150" spans="1:20" ht="15.75" thickBot="1" x14ac:dyDescent="0.3">
      <c r="A150" s="450">
        <v>322</v>
      </c>
      <c r="B150" s="467" t="s">
        <v>330</v>
      </c>
      <c r="C150" s="182">
        <v>35350</v>
      </c>
      <c r="D150" s="182">
        <v>35350</v>
      </c>
      <c r="E150" s="182">
        <v>35350</v>
      </c>
      <c r="F150" s="182">
        <v>35350</v>
      </c>
      <c r="G150" s="182">
        <v>0</v>
      </c>
      <c r="H150" s="659">
        <f t="shared" ref="H150:H166" si="79">G150/F150</f>
        <v>0</v>
      </c>
      <c r="I150" s="27">
        <f>SUM(C143:C150)</f>
        <v>1138050</v>
      </c>
      <c r="J150" s="27">
        <f>SUM(D143:D150)</f>
        <v>1138050</v>
      </c>
      <c r="K150" s="27">
        <f>SUM(E143:E150)</f>
        <v>1329050</v>
      </c>
    </row>
    <row r="151" spans="1:20" ht="16.5" thickBot="1" x14ac:dyDescent="0.3">
      <c r="A151" s="700" t="s">
        <v>158</v>
      </c>
      <c r="B151" s="701"/>
      <c r="C151" s="180">
        <f>SUM(C152:C166)</f>
        <v>2034046</v>
      </c>
      <c r="D151" s="180">
        <f>SUM(D152:D166)</f>
        <v>2034046</v>
      </c>
      <c r="E151" s="180">
        <f>SUM(E152:E166)</f>
        <v>2105346</v>
      </c>
      <c r="F151" s="180">
        <f t="shared" ref="F151:G151" si="80">SUM(F152:F166)</f>
        <v>2105346</v>
      </c>
      <c r="G151" s="180">
        <f t="shared" si="80"/>
        <v>165351</v>
      </c>
      <c r="H151" s="659">
        <f t="shared" si="79"/>
        <v>7.8538634504732238E-2</v>
      </c>
      <c r="I151" s="27">
        <f>C151-C141</f>
        <v>890996</v>
      </c>
      <c r="J151" s="27">
        <f>D151-D141</f>
        <v>890996</v>
      </c>
      <c r="K151" s="27">
        <f>E151-E141</f>
        <v>771296</v>
      </c>
    </row>
    <row r="152" spans="1:20" x14ac:dyDescent="0.25">
      <c r="A152" s="194" t="s">
        <v>82</v>
      </c>
      <c r="B152" s="188" t="s">
        <v>159</v>
      </c>
      <c r="C152" s="195">
        <v>1500</v>
      </c>
      <c r="D152" s="195">
        <v>1500</v>
      </c>
      <c r="E152" s="195">
        <v>1500</v>
      </c>
      <c r="F152" s="195">
        <v>1500</v>
      </c>
      <c r="G152" s="195">
        <v>0</v>
      </c>
      <c r="H152" s="659">
        <f t="shared" si="79"/>
        <v>0</v>
      </c>
      <c r="I152" s="646">
        <f>E151-D151</f>
        <v>71300</v>
      </c>
    </row>
    <row r="153" spans="1:20" x14ac:dyDescent="0.25">
      <c r="A153" s="194" t="s">
        <v>87</v>
      </c>
      <c r="B153" s="188" t="s">
        <v>533</v>
      </c>
      <c r="C153" s="195">
        <v>0</v>
      </c>
      <c r="D153" s="195">
        <v>0</v>
      </c>
      <c r="E153" s="639">
        <v>206300</v>
      </c>
      <c r="F153" s="195">
        <v>206300</v>
      </c>
      <c r="G153" s="195">
        <v>0</v>
      </c>
      <c r="H153" s="659">
        <f t="shared" si="79"/>
        <v>0</v>
      </c>
      <c r="I153" s="1"/>
    </row>
    <row r="154" spans="1:20" x14ac:dyDescent="0.25">
      <c r="A154" s="190" t="s">
        <v>89</v>
      </c>
      <c r="B154" s="200" t="s">
        <v>193</v>
      </c>
      <c r="C154" s="191">
        <v>390000</v>
      </c>
      <c r="D154" s="191">
        <v>390000</v>
      </c>
      <c r="E154" s="627">
        <f>390000-20000</f>
        <v>370000</v>
      </c>
      <c r="F154" s="191">
        <f t="shared" ref="F154" si="81">390000-20000</f>
        <v>370000</v>
      </c>
      <c r="G154" s="191">
        <v>0</v>
      </c>
      <c r="H154" s="659">
        <f t="shared" si="79"/>
        <v>0</v>
      </c>
      <c r="I154" s="27"/>
    </row>
    <row r="155" spans="1:20" x14ac:dyDescent="0.25">
      <c r="A155" s="196" t="s">
        <v>160</v>
      </c>
      <c r="B155" s="197" t="s">
        <v>161</v>
      </c>
      <c r="C155" s="198">
        <v>25000</v>
      </c>
      <c r="D155" s="198">
        <v>25000</v>
      </c>
      <c r="E155" s="198">
        <v>25000</v>
      </c>
      <c r="F155" s="198">
        <v>25000</v>
      </c>
      <c r="G155" s="198">
        <v>0</v>
      </c>
      <c r="H155" s="659">
        <f t="shared" si="79"/>
        <v>0</v>
      </c>
      <c r="I155" s="1"/>
    </row>
    <row r="156" spans="1:20" x14ac:dyDescent="0.25">
      <c r="A156" s="201" t="s">
        <v>160</v>
      </c>
      <c r="B156" s="200" t="s">
        <v>194</v>
      </c>
      <c r="C156" s="191">
        <v>30000</v>
      </c>
      <c r="D156" s="191">
        <v>30000</v>
      </c>
      <c r="E156" s="191">
        <v>30000</v>
      </c>
      <c r="F156" s="191">
        <v>30000</v>
      </c>
      <c r="G156" s="191">
        <v>370</v>
      </c>
      <c r="H156" s="659">
        <f t="shared" si="79"/>
        <v>1.2333333333333333E-2</v>
      </c>
      <c r="I156" s="1"/>
    </row>
    <row r="157" spans="1:20" x14ac:dyDescent="0.25">
      <c r="A157" s="203" t="s">
        <v>96</v>
      </c>
      <c r="B157" s="202" t="s">
        <v>198</v>
      </c>
      <c r="C157" s="191">
        <v>10000</v>
      </c>
      <c r="D157" s="191">
        <v>10000</v>
      </c>
      <c r="E157" s="191">
        <v>10000</v>
      </c>
      <c r="F157" s="191">
        <v>10000</v>
      </c>
      <c r="G157" s="191">
        <v>0</v>
      </c>
      <c r="H157" s="659">
        <f t="shared" si="79"/>
        <v>0</v>
      </c>
      <c r="I157" s="27"/>
    </row>
    <row r="158" spans="1:20" x14ac:dyDescent="0.25">
      <c r="A158" s="201" t="s">
        <v>96</v>
      </c>
      <c r="B158" s="441" t="s">
        <v>192</v>
      </c>
      <c r="C158" s="191">
        <v>100000</v>
      </c>
      <c r="D158" s="191">
        <v>100000</v>
      </c>
      <c r="E158" s="627">
        <f>100000-50000</f>
        <v>50000</v>
      </c>
      <c r="F158" s="191">
        <f t="shared" ref="F158" si="82">100000-50000</f>
        <v>50000</v>
      </c>
      <c r="G158" s="191">
        <v>0</v>
      </c>
      <c r="H158" s="659">
        <f t="shared" si="79"/>
        <v>0</v>
      </c>
      <c r="I158" s="1"/>
    </row>
    <row r="159" spans="1:20" x14ac:dyDescent="0.25">
      <c r="A159" s="203" t="s">
        <v>356</v>
      </c>
      <c r="B159" s="479" t="s">
        <v>342</v>
      </c>
      <c r="C159" s="195">
        <v>218000</v>
      </c>
      <c r="D159" s="195">
        <v>218000</v>
      </c>
      <c r="E159" s="639">
        <f>218000-15000</f>
        <v>203000</v>
      </c>
      <c r="F159" s="195">
        <f t="shared" ref="F159" si="83">218000-15000</f>
        <v>203000</v>
      </c>
      <c r="G159" s="195">
        <v>0</v>
      </c>
      <c r="H159" s="659">
        <f t="shared" si="79"/>
        <v>0</v>
      </c>
      <c r="I159" s="1"/>
    </row>
    <row r="160" spans="1:20" x14ac:dyDescent="0.25">
      <c r="A160" s="203" t="s">
        <v>98</v>
      </c>
      <c r="B160" s="440" t="s">
        <v>319</v>
      </c>
      <c r="C160" s="195">
        <v>85000</v>
      </c>
      <c r="D160" s="195">
        <v>85000</v>
      </c>
      <c r="E160" s="195">
        <v>85000</v>
      </c>
      <c r="F160" s="195">
        <v>85000</v>
      </c>
      <c r="G160" s="195">
        <v>0</v>
      </c>
      <c r="H160" s="659">
        <f t="shared" si="79"/>
        <v>0</v>
      </c>
      <c r="I160" s="1"/>
    </row>
    <row r="161" spans="1:9" x14ac:dyDescent="0.25">
      <c r="A161" s="204" t="s">
        <v>110</v>
      </c>
      <c r="B161" s="205" t="s">
        <v>320</v>
      </c>
      <c r="C161" s="199">
        <v>202000</v>
      </c>
      <c r="D161" s="199">
        <v>202000</v>
      </c>
      <c r="E161" s="199">
        <v>202000</v>
      </c>
      <c r="F161" s="199">
        <v>202000</v>
      </c>
      <c r="G161" s="199">
        <v>0</v>
      </c>
      <c r="H161" s="659">
        <f t="shared" si="79"/>
        <v>0</v>
      </c>
      <c r="I161" s="1"/>
    </row>
    <row r="162" spans="1:9" x14ac:dyDescent="0.25">
      <c r="A162" s="204" t="s">
        <v>112</v>
      </c>
      <c r="B162" s="200" t="s">
        <v>357</v>
      </c>
      <c r="C162" s="199">
        <v>200000</v>
      </c>
      <c r="D162" s="199">
        <v>200000</v>
      </c>
      <c r="E162" s="199">
        <v>200000</v>
      </c>
      <c r="F162" s="199">
        <v>200000</v>
      </c>
      <c r="G162" s="199">
        <v>0</v>
      </c>
      <c r="H162" s="659">
        <f t="shared" si="79"/>
        <v>0</v>
      </c>
      <c r="I162" s="1"/>
    </row>
    <row r="163" spans="1:9" ht="15.75" customHeight="1" x14ac:dyDescent="0.25">
      <c r="A163" s="201" t="s">
        <v>112</v>
      </c>
      <c r="B163" s="200" t="s">
        <v>191</v>
      </c>
      <c r="C163" s="191">
        <v>100886</v>
      </c>
      <c r="D163" s="191">
        <v>100886</v>
      </c>
      <c r="E163" s="627">
        <f>100886-50000</f>
        <v>50886</v>
      </c>
      <c r="F163" s="191">
        <f t="shared" ref="F163" si="84">100886-50000</f>
        <v>50886</v>
      </c>
      <c r="G163" s="191">
        <v>0</v>
      </c>
      <c r="H163" s="659">
        <f t="shared" si="79"/>
        <v>0</v>
      </c>
      <c r="I163" s="27"/>
    </row>
    <row r="164" spans="1:9" x14ac:dyDescent="0.25">
      <c r="A164" s="207" t="s">
        <v>121</v>
      </c>
      <c r="B164" s="188" t="s">
        <v>200</v>
      </c>
      <c r="C164" s="195">
        <v>656010</v>
      </c>
      <c r="D164" s="195">
        <v>656010</v>
      </c>
      <c r="E164" s="195">
        <v>656010</v>
      </c>
      <c r="F164" s="195">
        <v>656010</v>
      </c>
      <c r="G164" s="195">
        <v>164981</v>
      </c>
      <c r="H164" s="659">
        <f t="shared" si="79"/>
        <v>0.25149159311595859</v>
      </c>
      <c r="I164" s="1"/>
    </row>
    <row r="165" spans="1:9" x14ac:dyDescent="0.25">
      <c r="A165" s="201" t="s">
        <v>123</v>
      </c>
      <c r="B165" s="300" t="s">
        <v>338</v>
      </c>
      <c r="C165" s="191">
        <v>8200</v>
      </c>
      <c r="D165" s="191">
        <v>8200</v>
      </c>
      <c r="E165" s="191">
        <v>8200</v>
      </c>
      <c r="F165" s="191">
        <v>8200</v>
      </c>
      <c r="G165" s="191">
        <v>0</v>
      </c>
      <c r="H165" s="659">
        <f t="shared" si="79"/>
        <v>0</v>
      </c>
      <c r="I165" s="1"/>
    </row>
    <row r="166" spans="1:9" ht="15" customHeight="1" thickBot="1" x14ac:dyDescent="0.3">
      <c r="A166" s="206" t="s">
        <v>124</v>
      </c>
      <c r="B166" s="480" t="s">
        <v>470</v>
      </c>
      <c r="C166" s="193">
        <v>7450</v>
      </c>
      <c r="D166" s="193">
        <v>7450</v>
      </c>
      <c r="E166" s="193">
        <v>7450</v>
      </c>
      <c r="F166" s="193">
        <v>7450</v>
      </c>
      <c r="G166" s="193">
        <v>0</v>
      </c>
      <c r="H166" s="659">
        <f t="shared" si="79"/>
        <v>0</v>
      </c>
      <c r="I166" s="27"/>
    </row>
    <row r="167" spans="1:9" x14ac:dyDescent="0.25">
      <c r="A167" s="208"/>
      <c r="B167" s="209"/>
      <c r="C167" s="210"/>
      <c r="D167" s="210"/>
      <c r="E167" s="210"/>
      <c r="F167" s="210"/>
      <c r="G167" s="210"/>
      <c r="H167" s="659"/>
      <c r="I167" s="210"/>
    </row>
    <row r="168" spans="1:9" x14ac:dyDescent="0.25">
      <c r="A168" s="211"/>
      <c r="B168" s="212"/>
      <c r="C168" s="213"/>
      <c r="D168" s="213"/>
      <c r="E168" s="213"/>
      <c r="F168" s="213"/>
      <c r="G168" s="213"/>
      <c r="H168" s="659"/>
      <c r="I168" s="1"/>
    </row>
    <row r="169" spans="1:9" ht="18.75" thickBot="1" x14ac:dyDescent="0.3">
      <c r="A169" s="681" t="s">
        <v>162</v>
      </c>
      <c r="B169" s="682"/>
      <c r="C169" s="682"/>
      <c r="D169" s="682"/>
      <c r="E169" s="682"/>
      <c r="F169" s="654"/>
      <c r="G169" s="654"/>
      <c r="H169" s="659"/>
      <c r="I169" s="1"/>
    </row>
    <row r="170" spans="1:9" ht="38.25" customHeight="1" thickBot="1" x14ac:dyDescent="0.3">
      <c r="A170" s="687" t="s">
        <v>1</v>
      </c>
      <c r="B170" s="699"/>
      <c r="C170" s="289" t="s">
        <v>455</v>
      </c>
      <c r="D170" s="289" t="s">
        <v>454</v>
      </c>
      <c r="E170" s="289" t="s">
        <v>372</v>
      </c>
      <c r="F170" s="289" t="s">
        <v>516</v>
      </c>
      <c r="G170" s="289" t="s">
        <v>502</v>
      </c>
      <c r="H170" s="659"/>
      <c r="I170" s="27"/>
    </row>
    <row r="171" spans="1:9" ht="19.5" customHeight="1" thickBot="1" x14ac:dyDescent="0.3">
      <c r="A171" s="706" t="s">
        <v>163</v>
      </c>
      <c r="B171" s="707"/>
      <c r="C171" s="303">
        <f>SUM(C172:C188)</f>
        <v>931297</v>
      </c>
      <c r="D171" s="303">
        <f>SUM(D172:D188)</f>
        <v>931297</v>
      </c>
      <c r="E171" s="303">
        <f>SUM(E172:E188)</f>
        <v>811597</v>
      </c>
      <c r="F171" s="303">
        <f t="shared" ref="F171:G171" si="85">SUM(F172:F188)</f>
        <v>811597</v>
      </c>
      <c r="G171" s="303">
        <f t="shared" si="85"/>
        <v>196213</v>
      </c>
      <c r="H171" s="659">
        <f t="shared" ref="H171:H182" si="86">G171/F171</f>
        <v>0.24176161321444017</v>
      </c>
      <c r="I171" s="27"/>
    </row>
    <row r="172" spans="1:9" x14ac:dyDescent="0.25">
      <c r="A172" s="301">
        <v>453</v>
      </c>
      <c r="B172" s="302" t="s">
        <v>251</v>
      </c>
      <c r="C172" s="64">
        <f>20000+4000</f>
        <v>24000</v>
      </c>
      <c r="D172" s="64">
        <f t="shared" ref="D172:F172" si="87">20000+4000</f>
        <v>24000</v>
      </c>
      <c r="E172" s="64">
        <f t="shared" si="87"/>
        <v>24000</v>
      </c>
      <c r="F172" s="64">
        <f t="shared" si="87"/>
        <v>24000</v>
      </c>
      <c r="G172" s="64">
        <v>20460</v>
      </c>
      <c r="H172" s="659">
        <f t="shared" si="86"/>
        <v>0.85250000000000004</v>
      </c>
      <c r="I172" s="27"/>
    </row>
    <row r="173" spans="1:9" x14ac:dyDescent="0.25">
      <c r="A173" s="301">
        <v>453</v>
      </c>
      <c r="B173" s="302" t="s">
        <v>349</v>
      </c>
      <c r="C173" s="64">
        <v>8740</v>
      </c>
      <c r="D173" s="64">
        <v>8740</v>
      </c>
      <c r="E173" s="64">
        <v>8740</v>
      </c>
      <c r="F173" s="64">
        <v>8740</v>
      </c>
      <c r="G173" s="64">
        <v>8740</v>
      </c>
      <c r="H173" s="659">
        <f t="shared" si="86"/>
        <v>1</v>
      </c>
      <c r="I173" s="27"/>
    </row>
    <row r="174" spans="1:9" x14ac:dyDescent="0.25">
      <c r="A174" s="301">
        <v>453</v>
      </c>
      <c r="B174" s="302" t="s">
        <v>332</v>
      </c>
      <c r="C174" s="64">
        <v>1000</v>
      </c>
      <c r="D174" s="605">
        <f>1000-400</f>
        <v>600</v>
      </c>
      <c r="E174" s="64">
        <f>1000-400</f>
        <v>600</v>
      </c>
      <c r="F174" s="64">
        <f>1000-400</f>
        <v>600</v>
      </c>
      <c r="G174" s="64">
        <v>589</v>
      </c>
      <c r="H174" s="659">
        <f t="shared" si="86"/>
        <v>0.98166666666666669</v>
      </c>
      <c r="I174" s="27"/>
    </row>
    <row r="175" spans="1:9" x14ac:dyDescent="0.25">
      <c r="A175" s="615">
        <v>453</v>
      </c>
      <c r="B175" s="284" t="s">
        <v>252</v>
      </c>
      <c r="C175" s="64">
        <v>1000</v>
      </c>
      <c r="D175" s="64">
        <v>1000</v>
      </c>
      <c r="E175" s="64">
        <v>1000</v>
      </c>
      <c r="F175" s="64">
        <v>1000</v>
      </c>
      <c r="G175" s="64">
        <v>754</v>
      </c>
      <c r="H175" s="659">
        <f t="shared" si="86"/>
        <v>0.754</v>
      </c>
      <c r="I175" s="27"/>
    </row>
    <row r="176" spans="1:9" x14ac:dyDescent="0.25">
      <c r="A176" s="615">
        <v>453</v>
      </c>
      <c r="B176" s="284" t="s">
        <v>514</v>
      </c>
      <c r="C176" s="64">
        <v>0</v>
      </c>
      <c r="D176" s="605">
        <v>400</v>
      </c>
      <c r="E176" s="64">
        <v>400</v>
      </c>
      <c r="F176" s="64">
        <v>400</v>
      </c>
      <c r="G176" s="64">
        <v>319</v>
      </c>
      <c r="H176" s="659">
        <f t="shared" si="86"/>
        <v>0.79749999999999999</v>
      </c>
      <c r="I176" s="27"/>
    </row>
    <row r="177" spans="1:13" ht="15.75" thickBot="1" x14ac:dyDescent="0.3">
      <c r="A177" s="640">
        <v>453</v>
      </c>
      <c r="B177" s="641" t="s">
        <v>250</v>
      </c>
      <c r="C177" s="642">
        <v>2000</v>
      </c>
      <c r="D177" s="642">
        <v>2000</v>
      </c>
      <c r="E177" s="642">
        <v>2000</v>
      </c>
      <c r="F177" s="642">
        <v>2000</v>
      </c>
      <c r="G177" s="642">
        <v>0</v>
      </c>
      <c r="H177" s="659">
        <f t="shared" si="86"/>
        <v>0</v>
      </c>
      <c r="I177" s="27">
        <f>SUM(C172:C177)</f>
        <v>36740</v>
      </c>
      <c r="J177" s="27">
        <f>SUM(D172:D177)</f>
        <v>36740</v>
      </c>
      <c r="K177" s="27">
        <f>SUM(E172:E177)</f>
        <v>36740</v>
      </c>
    </row>
    <row r="178" spans="1:13" x14ac:dyDescent="0.25">
      <c r="A178" s="376">
        <v>453</v>
      </c>
      <c r="B178" s="432" t="s">
        <v>337</v>
      </c>
      <c r="C178" s="377">
        <v>105400</v>
      </c>
      <c r="D178" s="377">
        <v>105400</v>
      </c>
      <c r="E178" s="377">
        <v>105400</v>
      </c>
      <c r="F178" s="377">
        <v>105400</v>
      </c>
      <c r="G178" s="377">
        <v>0</v>
      </c>
      <c r="H178" s="659">
        <f t="shared" si="86"/>
        <v>0</v>
      </c>
    </row>
    <row r="179" spans="1:13" x14ac:dyDescent="0.25">
      <c r="A179" s="214">
        <v>453</v>
      </c>
      <c r="B179" s="215" t="s">
        <v>348</v>
      </c>
      <c r="C179" s="216">
        <v>91310</v>
      </c>
      <c r="D179" s="216">
        <v>91310</v>
      </c>
      <c r="E179" s="216">
        <v>91310</v>
      </c>
      <c r="F179" s="216">
        <v>91310</v>
      </c>
      <c r="G179" s="216">
        <v>91304</v>
      </c>
      <c r="H179" s="659">
        <f t="shared" si="86"/>
        <v>0.99993428978206111</v>
      </c>
      <c r="I179" s="27"/>
      <c r="J179" s="27"/>
      <c r="K179" s="27"/>
    </row>
    <row r="180" spans="1:13" x14ac:dyDescent="0.25">
      <c r="A180" s="301">
        <v>453</v>
      </c>
      <c r="B180" s="302" t="s">
        <v>339</v>
      </c>
      <c r="C180" s="64">
        <v>79700</v>
      </c>
      <c r="D180" s="64">
        <v>79700</v>
      </c>
      <c r="E180" s="64">
        <v>79700</v>
      </c>
      <c r="F180" s="64">
        <v>79700</v>
      </c>
      <c r="G180" s="64">
        <v>0</v>
      </c>
      <c r="H180" s="659">
        <f t="shared" si="86"/>
        <v>0</v>
      </c>
      <c r="I180" s="27"/>
      <c r="J180" s="27"/>
      <c r="K180" s="27"/>
    </row>
    <row r="181" spans="1:13" x14ac:dyDescent="0.25">
      <c r="A181" s="433">
        <v>453</v>
      </c>
      <c r="B181" s="284" t="s">
        <v>358</v>
      </c>
      <c r="C181" s="434">
        <v>70000</v>
      </c>
      <c r="D181" s="434">
        <v>70000</v>
      </c>
      <c r="E181" s="434">
        <v>70000</v>
      </c>
      <c r="F181" s="434">
        <v>70000</v>
      </c>
      <c r="G181" s="434">
        <v>0</v>
      </c>
      <c r="H181" s="659">
        <f t="shared" si="86"/>
        <v>0</v>
      </c>
      <c r="I181" s="27"/>
    </row>
    <row r="182" spans="1:13" ht="15.75" thickBot="1" x14ac:dyDescent="0.3">
      <c r="A182" s="376">
        <v>453</v>
      </c>
      <c r="B182" s="432" t="s">
        <v>232</v>
      </c>
      <c r="C182" s="377">
        <v>886</v>
      </c>
      <c r="D182" s="377">
        <v>886</v>
      </c>
      <c r="E182" s="377">
        <v>886</v>
      </c>
      <c r="F182" s="377">
        <v>886</v>
      </c>
      <c r="G182" s="377">
        <v>0</v>
      </c>
      <c r="H182" s="659">
        <f t="shared" si="86"/>
        <v>0</v>
      </c>
      <c r="I182" s="27">
        <f>SUM(C178:C182)</f>
        <v>347296</v>
      </c>
      <c r="J182" s="27">
        <f>SUM(D178:D182)</f>
        <v>347296</v>
      </c>
      <c r="K182" s="27">
        <f>SUM(E178:E182)</f>
        <v>347296</v>
      </c>
      <c r="M182" s="310">
        <f>K151</f>
        <v>771296</v>
      </c>
    </row>
    <row r="183" spans="1:13" x14ac:dyDescent="0.25">
      <c r="A183" s="285">
        <v>454</v>
      </c>
      <c r="B183" s="286" t="s">
        <v>350</v>
      </c>
      <c r="C183" s="287">
        <v>0</v>
      </c>
      <c r="D183" s="287">
        <v>0</v>
      </c>
      <c r="E183" s="287">
        <v>0</v>
      </c>
      <c r="F183" s="287">
        <v>0</v>
      </c>
      <c r="G183" s="287">
        <v>0</v>
      </c>
      <c r="H183" s="659">
        <v>0</v>
      </c>
      <c r="I183" s="310">
        <f>SUM(F172:F182)</f>
        <v>384036</v>
      </c>
      <c r="J183" s="310">
        <f>SUM(G172:G182)</f>
        <v>122166</v>
      </c>
      <c r="M183" s="310">
        <f>M182-K182-K184</f>
        <v>0</v>
      </c>
    </row>
    <row r="184" spans="1:13" ht="15.75" thickBot="1" x14ac:dyDescent="0.3">
      <c r="A184" s="217">
        <v>454</v>
      </c>
      <c r="B184" s="218" t="s">
        <v>311</v>
      </c>
      <c r="C184" s="219">
        <v>543700</v>
      </c>
      <c r="D184" s="219">
        <v>543700</v>
      </c>
      <c r="E184" s="643">
        <f>543700-119700</f>
        <v>424000</v>
      </c>
      <c r="F184" s="219">
        <f t="shared" ref="F184" si="88">543700-119700</f>
        <v>424000</v>
      </c>
      <c r="G184" s="219">
        <v>74047</v>
      </c>
      <c r="H184" s="659">
        <f>G184/F184</f>
        <v>0.17463915094339622</v>
      </c>
      <c r="I184" s="27">
        <f>SUM(C183:C184)</f>
        <v>543700</v>
      </c>
      <c r="J184" s="27">
        <f>SUM(D183:D184)</f>
        <v>543700</v>
      </c>
      <c r="K184" s="27">
        <f>SUM(E183:E184)</f>
        <v>424000</v>
      </c>
      <c r="M184" s="310"/>
    </row>
    <row r="185" spans="1:13" ht="15" customHeight="1" x14ac:dyDescent="0.25">
      <c r="A185" s="376">
        <v>456</v>
      </c>
      <c r="B185" s="284" t="s">
        <v>233</v>
      </c>
      <c r="C185" s="377">
        <v>3421</v>
      </c>
      <c r="D185" s="377">
        <v>3421</v>
      </c>
      <c r="E185" s="377">
        <v>3421</v>
      </c>
      <c r="F185" s="377">
        <v>3421</v>
      </c>
      <c r="G185" s="377">
        <v>0</v>
      </c>
      <c r="H185" s="659">
        <f>G185/F185</f>
        <v>0</v>
      </c>
      <c r="I185" s="27"/>
      <c r="J185" s="27"/>
      <c r="K185" s="27"/>
    </row>
    <row r="186" spans="1:13" ht="14.25" customHeight="1" x14ac:dyDescent="0.25">
      <c r="A186" s="301">
        <v>456</v>
      </c>
      <c r="B186" s="302" t="s">
        <v>234</v>
      </c>
      <c r="C186" s="64">
        <v>40</v>
      </c>
      <c r="D186" s="64">
        <v>40</v>
      </c>
      <c r="E186" s="64">
        <v>40</v>
      </c>
      <c r="F186" s="64">
        <v>40</v>
      </c>
      <c r="G186" s="64">
        <v>0</v>
      </c>
      <c r="H186" s="659">
        <f>G186/F186</f>
        <v>0</v>
      </c>
      <c r="I186" s="1"/>
    </row>
    <row r="187" spans="1:13" ht="15.75" thickBot="1" x14ac:dyDescent="0.3">
      <c r="A187" s="433">
        <v>456</v>
      </c>
      <c r="B187" s="284" t="s">
        <v>253</v>
      </c>
      <c r="C187" s="434">
        <v>100</v>
      </c>
      <c r="D187" s="434">
        <v>100</v>
      </c>
      <c r="E187" s="434">
        <v>100</v>
      </c>
      <c r="F187" s="434">
        <v>100</v>
      </c>
      <c r="G187" s="434">
        <v>0</v>
      </c>
      <c r="H187" s="659">
        <f>G187/F187</f>
        <v>0</v>
      </c>
      <c r="I187" s="27">
        <f>SUM(C185:C187)</f>
        <v>3561</v>
      </c>
      <c r="J187" s="27">
        <f>SUM(D185:D187)</f>
        <v>3561</v>
      </c>
      <c r="K187" s="27">
        <f>SUM(E185:E187)</f>
        <v>3561</v>
      </c>
    </row>
    <row r="188" spans="1:13" ht="15.75" thickBot="1" x14ac:dyDescent="0.3">
      <c r="A188" s="285">
        <v>513</v>
      </c>
      <c r="B188" s="286" t="s">
        <v>164</v>
      </c>
      <c r="C188" s="287">
        <v>0</v>
      </c>
      <c r="D188" s="287">
        <v>0</v>
      </c>
      <c r="E188" s="287">
        <v>0</v>
      </c>
      <c r="F188" s="287">
        <v>0</v>
      </c>
      <c r="G188" s="287">
        <v>0</v>
      </c>
      <c r="H188" s="659">
        <v>0</v>
      </c>
      <c r="I188" s="27"/>
    </row>
    <row r="189" spans="1:13" ht="16.5" thickBot="1" x14ac:dyDescent="0.3">
      <c r="A189" s="706" t="s">
        <v>165</v>
      </c>
      <c r="B189" s="707"/>
      <c r="C189" s="303">
        <f t="shared" ref="C189" si="89">SUM(C190:C194)</f>
        <v>4601</v>
      </c>
      <c r="D189" s="303">
        <f t="shared" ref="D189:E189" si="90">SUM(D190:D194)</f>
        <v>4601</v>
      </c>
      <c r="E189" s="303">
        <f t="shared" si="90"/>
        <v>4601</v>
      </c>
      <c r="F189" s="303">
        <f t="shared" ref="F189:G189" si="91">SUM(F190:F194)</f>
        <v>4601</v>
      </c>
      <c r="G189" s="303">
        <f t="shared" si="91"/>
        <v>169</v>
      </c>
      <c r="H189" s="659">
        <f>G189/F189</f>
        <v>3.6731145403173224E-2</v>
      </c>
      <c r="I189" s="1"/>
    </row>
    <row r="190" spans="1:13" ht="17.25" customHeight="1" x14ac:dyDescent="0.25">
      <c r="A190" s="220">
        <v>819</v>
      </c>
      <c r="B190" s="221" t="s">
        <v>166</v>
      </c>
      <c r="C190" s="153">
        <v>100</v>
      </c>
      <c r="D190" s="153">
        <v>100</v>
      </c>
      <c r="E190" s="153">
        <v>100</v>
      </c>
      <c r="F190" s="153">
        <v>100</v>
      </c>
      <c r="G190" s="153">
        <v>0</v>
      </c>
      <c r="H190" s="659">
        <f>G190/F190</f>
        <v>0</v>
      </c>
      <c r="I190" s="1"/>
    </row>
    <row r="191" spans="1:13" x14ac:dyDescent="0.25">
      <c r="A191" s="222">
        <v>819</v>
      </c>
      <c r="B191" s="223" t="s">
        <v>235</v>
      </c>
      <c r="C191" s="56">
        <v>40</v>
      </c>
      <c r="D191" s="56">
        <v>40</v>
      </c>
      <c r="E191" s="56">
        <v>40</v>
      </c>
      <c r="F191" s="56">
        <v>40</v>
      </c>
      <c r="G191" s="56">
        <v>0</v>
      </c>
      <c r="H191" s="659">
        <f>G191/F191</f>
        <v>0</v>
      </c>
      <c r="I191" s="1"/>
    </row>
    <row r="192" spans="1:13" x14ac:dyDescent="0.25">
      <c r="A192" s="222">
        <v>819</v>
      </c>
      <c r="B192" s="360" t="s">
        <v>236</v>
      </c>
      <c r="C192" s="56">
        <v>3421</v>
      </c>
      <c r="D192" s="56">
        <v>3421</v>
      </c>
      <c r="E192" s="56">
        <v>3421</v>
      </c>
      <c r="F192" s="56">
        <v>3421</v>
      </c>
      <c r="G192" s="56">
        <v>0</v>
      </c>
      <c r="H192" s="659">
        <f>G192/F192</f>
        <v>0</v>
      </c>
      <c r="I192" s="132"/>
    </row>
    <row r="193" spans="1:11" ht="15" customHeight="1" x14ac:dyDescent="0.25">
      <c r="A193" s="222">
        <v>821</v>
      </c>
      <c r="B193" s="223" t="s">
        <v>331</v>
      </c>
      <c r="C193" s="56">
        <v>0</v>
      </c>
      <c r="D193" s="56">
        <v>0</v>
      </c>
      <c r="E193" s="56">
        <v>0</v>
      </c>
      <c r="F193" s="56">
        <v>0</v>
      </c>
      <c r="G193" s="56">
        <v>0</v>
      </c>
      <c r="H193" s="659">
        <v>0</v>
      </c>
      <c r="I193" s="132"/>
    </row>
    <row r="194" spans="1:11" ht="15.75" thickBot="1" x14ac:dyDescent="0.3">
      <c r="A194" s="224">
        <v>821</v>
      </c>
      <c r="B194" s="225" t="s">
        <v>167</v>
      </c>
      <c r="C194" s="115">
        <v>1040</v>
      </c>
      <c r="D194" s="115">
        <v>1040</v>
      </c>
      <c r="E194" s="115">
        <v>1040</v>
      </c>
      <c r="F194" s="115">
        <v>1040</v>
      </c>
      <c r="G194" s="115">
        <v>169</v>
      </c>
      <c r="H194" s="659">
        <f>G194/F194</f>
        <v>0.16250000000000001</v>
      </c>
      <c r="I194" s="209"/>
    </row>
    <row r="195" spans="1:11" x14ac:dyDescent="0.25">
      <c r="A195" s="211"/>
      <c r="B195" s="226"/>
      <c r="C195" s="132"/>
      <c r="D195" s="132"/>
      <c r="E195" s="132"/>
      <c r="F195" s="132"/>
      <c r="G195" s="132"/>
      <c r="H195" s="659"/>
      <c r="I195" s="1"/>
    </row>
    <row r="196" spans="1:11" ht="15.75" x14ac:dyDescent="0.25">
      <c r="A196" s="101"/>
      <c r="B196" s="209"/>
      <c r="C196" s="209"/>
      <c r="D196" s="209"/>
      <c r="E196" s="209"/>
      <c r="F196" s="209"/>
      <c r="G196" s="209"/>
      <c r="H196" s="659"/>
    </row>
    <row r="197" spans="1:11" ht="25.5" customHeight="1" thickBot="1" x14ac:dyDescent="0.3">
      <c r="A197" s="708" t="s">
        <v>168</v>
      </c>
      <c r="B197" s="709"/>
      <c r="C197" s="709"/>
      <c r="D197" s="709"/>
      <c r="E197" s="709"/>
      <c r="F197" s="655"/>
      <c r="G197" s="655"/>
      <c r="H197" s="659"/>
      <c r="I197" s="1"/>
    </row>
    <row r="198" spans="1:11" ht="59.25" customHeight="1" thickBot="1" x14ac:dyDescent="0.3">
      <c r="A198" s="687" t="s">
        <v>1</v>
      </c>
      <c r="B198" s="699"/>
      <c r="C198" s="289" t="s">
        <v>455</v>
      </c>
      <c r="D198" s="289" t="s">
        <v>454</v>
      </c>
      <c r="E198" s="289" t="s">
        <v>372</v>
      </c>
      <c r="F198" s="289" t="s">
        <v>516</v>
      </c>
      <c r="G198" s="289" t="s">
        <v>502</v>
      </c>
      <c r="H198" s="659"/>
      <c r="I198" s="1"/>
    </row>
    <row r="199" spans="1:11" ht="15.75" x14ac:dyDescent="0.25">
      <c r="A199" s="227" t="s">
        <v>169</v>
      </c>
      <c r="B199" s="29"/>
      <c r="C199" s="228">
        <f>C70</f>
        <v>2776003</v>
      </c>
      <c r="D199" s="228">
        <f>D70</f>
        <v>2833804</v>
      </c>
      <c r="E199" s="228">
        <f>E70</f>
        <v>2841504</v>
      </c>
      <c r="F199" s="228">
        <f t="shared" ref="F199:G199" si="92">F70</f>
        <v>2893604</v>
      </c>
      <c r="G199" s="228">
        <f t="shared" si="92"/>
        <v>599792</v>
      </c>
      <c r="H199" s="659"/>
      <c r="I199" s="1"/>
    </row>
    <row r="200" spans="1:11" ht="15.75" x14ac:dyDescent="0.25">
      <c r="A200" s="229" t="s">
        <v>170</v>
      </c>
      <c r="B200" s="230"/>
      <c r="C200" s="231">
        <f>C136</f>
        <v>2811703</v>
      </c>
      <c r="D200" s="231">
        <f>D136</f>
        <v>2869504</v>
      </c>
      <c r="E200" s="231">
        <f>E136</f>
        <v>2877204</v>
      </c>
      <c r="F200" s="231">
        <f t="shared" ref="F200:G200" si="93">F136</f>
        <v>2929304</v>
      </c>
      <c r="G200" s="231">
        <f t="shared" si="93"/>
        <v>433554</v>
      </c>
      <c r="H200" s="659"/>
      <c r="I200" s="1"/>
    </row>
    <row r="201" spans="1:11" ht="15.75" x14ac:dyDescent="0.25">
      <c r="A201" s="702" t="s">
        <v>171</v>
      </c>
      <c r="B201" s="703"/>
      <c r="C201" s="232">
        <f t="shared" ref="C201" si="94">C199-C200</f>
        <v>-35700</v>
      </c>
      <c r="D201" s="232">
        <f t="shared" ref="D201:E201" si="95">D199-D200</f>
        <v>-35700</v>
      </c>
      <c r="E201" s="232">
        <f t="shared" si="95"/>
        <v>-35700</v>
      </c>
      <c r="F201" s="232">
        <f t="shared" ref="F201:G201" si="96">F199-F200</f>
        <v>-35700</v>
      </c>
      <c r="G201" s="232">
        <f t="shared" si="96"/>
        <v>166238</v>
      </c>
      <c r="H201" s="659"/>
      <c r="I201" s="27">
        <f>C201-C194</f>
        <v>-36740</v>
      </c>
      <c r="J201" s="310">
        <f>D201-D194</f>
        <v>-36740</v>
      </c>
      <c r="K201" s="310">
        <f>E201-E194</f>
        <v>-36740</v>
      </c>
    </row>
    <row r="202" spans="1:11" ht="15.75" x14ac:dyDescent="0.25">
      <c r="A202" s="229" t="s">
        <v>172</v>
      </c>
      <c r="B202" s="18"/>
      <c r="C202" s="231">
        <f>C141</f>
        <v>1143050</v>
      </c>
      <c r="D202" s="231">
        <f>D141</f>
        <v>1143050</v>
      </c>
      <c r="E202" s="231">
        <f>E141</f>
        <v>1334050</v>
      </c>
      <c r="F202" s="231">
        <f t="shared" ref="F202:G202" si="97">F141</f>
        <v>1334050</v>
      </c>
      <c r="G202" s="231">
        <f t="shared" si="97"/>
        <v>0</v>
      </c>
      <c r="H202" s="659"/>
      <c r="I202" s="1"/>
    </row>
    <row r="203" spans="1:11" ht="15.75" x14ac:dyDescent="0.25">
      <c r="A203" s="229" t="s">
        <v>173</v>
      </c>
      <c r="B203" s="18"/>
      <c r="C203" s="20">
        <f>C151</f>
        <v>2034046</v>
      </c>
      <c r="D203" s="20">
        <f>D151</f>
        <v>2034046</v>
      </c>
      <c r="E203" s="20">
        <f>E151</f>
        <v>2105346</v>
      </c>
      <c r="F203" s="20">
        <f t="shared" ref="F203:G203" si="98">F151</f>
        <v>2105346</v>
      </c>
      <c r="G203" s="20">
        <f t="shared" si="98"/>
        <v>165351</v>
      </c>
      <c r="H203" s="659"/>
      <c r="I203" s="1"/>
    </row>
    <row r="204" spans="1:11" ht="15.75" x14ac:dyDescent="0.25">
      <c r="A204" s="702" t="s">
        <v>174</v>
      </c>
      <c r="B204" s="703"/>
      <c r="C204" s="232">
        <f t="shared" ref="C204" si="99">C202-C203</f>
        <v>-890996</v>
      </c>
      <c r="D204" s="232">
        <f t="shared" ref="D204:E204" si="100">D202-D203</f>
        <v>-890996</v>
      </c>
      <c r="E204" s="232">
        <f t="shared" si="100"/>
        <v>-771296</v>
      </c>
      <c r="F204" s="232">
        <f t="shared" ref="F204:G204" si="101">F202-F203</f>
        <v>-771296</v>
      </c>
      <c r="G204" s="232">
        <f t="shared" si="101"/>
        <v>-165351</v>
      </c>
      <c r="H204" s="659"/>
      <c r="I204" s="1"/>
    </row>
    <row r="205" spans="1:11" ht="15.75" x14ac:dyDescent="0.25">
      <c r="A205" s="233" t="s">
        <v>175</v>
      </c>
      <c r="B205" s="234"/>
      <c r="C205" s="235">
        <f>C171</f>
        <v>931297</v>
      </c>
      <c r="D205" s="235">
        <f>D171</f>
        <v>931297</v>
      </c>
      <c r="E205" s="235">
        <f>E171</f>
        <v>811597</v>
      </c>
      <c r="F205" s="235">
        <f t="shared" ref="F205:G205" si="102">F171</f>
        <v>811597</v>
      </c>
      <c r="G205" s="235">
        <f t="shared" si="102"/>
        <v>196213</v>
      </c>
      <c r="H205" s="659"/>
      <c r="I205" s="1"/>
    </row>
    <row r="206" spans="1:11" ht="15.75" x14ac:dyDescent="0.25">
      <c r="A206" s="233" t="s">
        <v>176</v>
      </c>
      <c r="B206" s="234"/>
      <c r="C206" s="235">
        <f t="shared" ref="C206" si="103">C189</f>
        <v>4601</v>
      </c>
      <c r="D206" s="235">
        <f>D189</f>
        <v>4601</v>
      </c>
      <c r="E206" s="235">
        <f>E189</f>
        <v>4601</v>
      </c>
      <c r="F206" s="235">
        <f t="shared" ref="F206:G206" si="104">F189</f>
        <v>4601</v>
      </c>
      <c r="G206" s="235">
        <f t="shared" si="104"/>
        <v>169</v>
      </c>
      <c r="H206" s="659"/>
      <c r="I206" s="1"/>
    </row>
    <row r="207" spans="1:11" ht="16.5" thickBot="1" x14ac:dyDescent="0.3">
      <c r="A207" s="704" t="s">
        <v>177</v>
      </c>
      <c r="B207" s="705"/>
      <c r="C207" s="236">
        <f t="shared" ref="C207" si="105">C205-C206</f>
        <v>926696</v>
      </c>
      <c r="D207" s="236">
        <f t="shared" ref="D207:E207" si="106">D205-D206</f>
        <v>926696</v>
      </c>
      <c r="E207" s="236">
        <f t="shared" si="106"/>
        <v>806996</v>
      </c>
      <c r="F207" s="236">
        <f t="shared" ref="F207:G207" si="107">F205-F206</f>
        <v>806996</v>
      </c>
      <c r="G207" s="236">
        <f t="shared" si="107"/>
        <v>196044</v>
      </c>
      <c r="H207" s="659"/>
      <c r="I207" s="1"/>
    </row>
    <row r="208" spans="1:11" ht="32.25" customHeight="1" thickBot="1" x14ac:dyDescent="0.3">
      <c r="A208" s="237" t="s">
        <v>178</v>
      </c>
      <c r="B208" s="238"/>
      <c r="C208" s="239">
        <f t="shared" ref="C208:E208" si="108">C201+C204+C207</f>
        <v>0</v>
      </c>
      <c r="D208" s="239">
        <f t="shared" si="108"/>
        <v>0</v>
      </c>
      <c r="E208" s="239">
        <f t="shared" si="108"/>
        <v>0</v>
      </c>
      <c r="F208" s="239">
        <f t="shared" ref="F208:G208" si="109">F201+F204+F207</f>
        <v>0</v>
      </c>
      <c r="G208" s="239">
        <f t="shared" si="109"/>
        <v>196931</v>
      </c>
      <c r="H208" s="659"/>
      <c r="I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14" x14ac:dyDescent="0.25">
      <c r="A210" s="1"/>
      <c r="B210" s="437" t="s">
        <v>312</v>
      </c>
      <c r="C210" s="438">
        <f t="shared" ref="C210:E210" si="110">C199+C202+C205</f>
        <v>4850350</v>
      </c>
      <c r="D210" s="438">
        <f t="shared" si="110"/>
        <v>4908151</v>
      </c>
      <c r="E210" s="438">
        <f t="shared" si="110"/>
        <v>4987151</v>
      </c>
      <c r="F210" s="438">
        <f t="shared" ref="F210:G210" si="111">F199+F202+F205</f>
        <v>5039251</v>
      </c>
      <c r="G210" s="438">
        <f t="shared" si="111"/>
        <v>796005</v>
      </c>
      <c r="H210" s="438"/>
      <c r="I210" s="1"/>
      <c r="J210" s="310">
        <f t="shared" ref="J210:J218" si="112">D210-C210</f>
        <v>57801</v>
      </c>
      <c r="K210" s="310">
        <f t="shared" ref="K210:K218" si="113">E210-D210</f>
        <v>79000</v>
      </c>
      <c r="L210" s="310">
        <f t="shared" ref="L210:L218" si="114">F210-E210</f>
        <v>52100</v>
      </c>
      <c r="M210" s="310"/>
      <c r="N210" s="310"/>
    </row>
    <row r="211" spans="1:14" x14ac:dyDescent="0.25">
      <c r="A211" s="1"/>
      <c r="B211" s="437" t="s">
        <v>313</v>
      </c>
      <c r="C211" s="438">
        <f t="shared" ref="C211:E211" si="115">C200+C203+C206</f>
        <v>4850350</v>
      </c>
      <c r="D211" s="438">
        <f t="shared" si="115"/>
        <v>4908151</v>
      </c>
      <c r="E211" s="438">
        <f t="shared" si="115"/>
        <v>4987151</v>
      </c>
      <c r="F211" s="438">
        <f t="shared" ref="F211:G211" si="116">F200+F203+F206</f>
        <v>5039251</v>
      </c>
      <c r="G211" s="438">
        <f t="shared" si="116"/>
        <v>599074</v>
      </c>
      <c r="H211" s="438"/>
      <c r="I211" s="1"/>
      <c r="J211" s="310">
        <f t="shared" si="112"/>
        <v>57801</v>
      </c>
      <c r="K211" s="310">
        <f t="shared" si="113"/>
        <v>79000</v>
      </c>
      <c r="L211" s="310">
        <f t="shared" si="114"/>
        <v>52100</v>
      </c>
      <c r="M211" s="310"/>
      <c r="N211" s="310"/>
    </row>
    <row r="212" spans="1:14" x14ac:dyDescent="0.25">
      <c r="A212" s="1"/>
      <c r="B212" s="437"/>
      <c r="C212" s="438"/>
      <c r="D212" s="438"/>
      <c r="E212" s="438"/>
      <c r="F212" s="438"/>
      <c r="G212" s="438"/>
      <c r="H212" s="438"/>
      <c r="I212" s="1"/>
      <c r="J212" s="310">
        <f t="shared" si="112"/>
        <v>0</v>
      </c>
      <c r="K212" s="310">
        <f t="shared" si="113"/>
        <v>0</v>
      </c>
      <c r="L212" s="310">
        <f t="shared" si="114"/>
        <v>0</v>
      </c>
      <c r="M212" s="310"/>
      <c r="N212" s="310"/>
    </row>
    <row r="213" spans="1:14" x14ac:dyDescent="0.25">
      <c r="A213" s="1"/>
      <c r="B213" s="437" t="s">
        <v>314</v>
      </c>
      <c r="C213" s="438">
        <f>C210-C69</f>
        <v>4832850</v>
      </c>
      <c r="D213" s="438">
        <f>D210-D69</f>
        <v>4890651</v>
      </c>
      <c r="E213" s="438">
        <f>E210-E69</f>
        <v>4969651</v>
      </c>
      <c r="F213" s="438">
        <f t="shared" ref="F213:G213" si="117">F210-F69</f>
        <v>5021751</v>
      </c>
      <c r="G213" s="438">
        <f t="shared" si="117"/>
        <v>792865</v>
      </c>
      <c r="H213" s="438"/>
      <c r="I213" s="1"/>
      <c r="J213" s="310">
        <f t="shared" si="112"/>
        <v>57801</v>
      </c>
      <c r="K213" s="310">
        <f t="shared" si="113"/>
        <v>79000</v>
      </c>
      <c r="L213" s="310">
        <f t="shared" si="114"/>
        <v>52100</v>
      </c>
      <c r="M213" s="310"/>
      <c r="N213" s="310"/>
    </row>
    <row r="214" spans="1:14" x14ac:dyDescent="0.25">
      <c r="A214" s="1"/>
      <c r="B214" s="437" t="s">
        <v>315</v>
      </c>
      <c r="C214" s="438">
        <f>C211-C135</f>
        <v>3839878</v>
      </c>
      <c r="D214" s="438">
        <f>D211-D135</f>
        <v>3850946</v>
      </c>
      <c r="E214" s="438">
        <f>E211-E135</f>
        <v>3929946</v>
      </c>
      <c r="F214" s="438">
        <f t="shared" ref="F214:G214" si="118">F211-F135</f>
        <v>3982046</v>
      </c>
      <c r="G214" s="438">
        <f t="shared" si="118"/>
        <v>392778</v>
      </c>
      <c r="H214" s="438"/>
      <c r="I214" s="1"/>
      <c r="J214" s="310">
        <f t="shared" si="112"/>
        <v>11068</v>
      </c>
      <c r="K214" s="310">
        <f t="shared" si="113"/>
        <v>79000</v>
      </c>
      <c r="L214" s="310">
        <f t="shared" si="114"/>
        <v>52100</v>
      </c>
      <c r="M214" s="310"/>
      <c r="N214" s="310"/>
    </row>
    <row r="215" spans="1:14" x14ac:dyDescent="0.25">
      <c r="A215" s="1"/>
      <c r="B215" s="437"/>
      <c r="C215" s="438"/>
      <c r="D215" s="438"/>
      <c r="E215" s="438"/>
      <c r="F215" s="438"/>
      <c r="G215" s="438"/>
      <c r="H215" s="438"/>
      <c r="I215" s="1"/>
      <c r="J215" s="310">
        <f t="shared" si="112"/>
        <v>0</v>
      </c>
      <c r="K215" s="310">
        <f t="shared" si="113"/>
        <v>0</v>
      </c>
      <c r="L215" s="310">
        <f t="shared" si="114"/>
        <v>0</v>
      </c>
      <c r="M215" s="310"/>
      <c r="N215" s="310"/>
    </row>
    <row r="216" spans="1:14" x14ac:dyDescent="0.25">
      <c r="A216" s="1"/>
      <c r="B216" s="435" t="s">
        <v>316</v>
      </c>
      <c r="C216" s="436">
        <f t="shared" ref="C216:E216" si="119">C210-C213</f>
        <v>17500</v>
      </c>
      <c r="D216" s="436">
        <f t="shared" si="119"/>
        <v>17500</v>
      </c>
      <c r="E216" s="436">
        <f t="shared" si="119"/>
        <v>17500</v>
      </c>
      <c r="F216" s="436">
        <f t="shared" ref="F216:G216" si="120">F210-F213</f>
        <v>17500</v>
      </c>
      <c r="G216" s="436">
        <f t="shared" si="120"/>
        <v>3140</v>
      </c>
      <c r="H216" s="436"/>
      <c r="I216" s="1"/>
      <c r="J216" s="310">
        <f t="shared" si="112"/>
        <v>0</v>
      </c>
      <c r="K216" s="310">
        <f t="shared" si="113"/>
        <v>0</v>
      </c>
      <c r="L216" s="310">
        <f t="shared" si="114"/>
        <v>0</v>
      </c>
      <c r="M216" s="310"/>
      <c r="N216" s="310"/>
    </row>
    <row r="217" spans="1:14" x14ac:dyDescent="0.25">
      <c r="A217" s="100"/>
      <c r="B217" s="435" t="s">
        <v>317</v>
      </c>
      <c r="C217" s="436">
        <f t="shared" ref="C217:E217" si="121">C211-C214</f>
        <v>1010472</v>
      </c>
      <c r="D217" s="436">
        <f t="shared" si="121"/>
        <v>1057205</v>
      </c>
      <c r="E217" s="436">
        <f t="shared" si="121"/>
        <v>1057205</v>
      </c>
      <c r="F217" s="436">
        <f t="shared" ref="F217:G217" si="122">F211-F214</f>
        <v>1057205</v>
      </c>
      <c r="G217" s="436">
        <f t="shared" si="122"/>
        <v>206296</v>
      </c>
      <c r="H217" s="436"/>
      <c r="I217" s="1"/>
      <c r="J217" s="310">
        <f t="shared" si="112"/>
        <v>46733</v>
      </c>
      <c r="K217" s="310">
        <f t="shared" si="113"/>
        <v>0</v>
      </c>
      <c r="L217" s="310">
        <f t="shared" si="114"/>
        <v>0</v>
      </c>
      <c r="M217" s="310"/>
      <c r="N217" s="310"/>
    </row>
    <row r="218" spans="1:14" x14ac:dyDescent="0.25">
      <c r="A218" s="1"/>
      <c r="B218" s="439"/>
      <c r="C218" s="616">
        <f t="shared" ref="C218:E218" si="123">C217-C216+C208</f>
        <v>992972</v>
      </c>
      <c r="D218" s="616">
        <f t="shared" si="123"/>
        <v>1039705</v>
      </c>
      <c r="E218" s="616">
        <f t="shared" si="123"/>
        <v>1039705</v>
      </c>
      <c r="F218" s="616">
        <f t="shared" ref="F218:G218" si="124">F217-F216+F208</f>
        <v>1039705</v>
      </c>
      <c r="G218" s="616">
        <f t="shared" si="124"/>
        <v>400087</v>
      </c>
      <c r="H218" s="616"/>
      <c r="I218" s="1"/>
      <c r="J218" s="310">
        <f t="shared" si="112"/>
        <v>46733</v>
      </c>
      <c r="K218" s="310">
        <f t="shared" si="113"/>
        <v>0</v>
      </c>
      <c r="L218" s="310">
        <f t="shared" si="114"/>
        <v>0</v>
      </c>
      <c r="M218" s="310"/>
      <c r="N218" s="310"/>
    </row>
    <row r="219" spans="1:14" x14ac:dyDescent="0.25">
      <c r="A219" s="1"/>
      <c r="B219" s="439"/>
      <c r="C219" s="616"/>
      <c r="D219" s="616"/>
      <c r="E219" s="616"/>
      <c r="F219" s="616"/>
      <c r="G219" s="616"/>
      <c r="H219" s="616"/>
      <c r="I219" s="1"/>
      <c r="J219" s="310"/>
      <c r="K219" s="310"/>
    </row>
    <row r="220" spans="1:14" x14ac:dyDescent="0.25">
      <c r="A220" s="1"/>
      <c r="B220" s="240" t="s">
        <v>181</v>
      </c>
      <c r="C220" s="374"/>
      <c r="D220" s="240"/>
      <c r="E220" s="240"/>
      <c r="F220" s="240"/>
      <c r="G220" s="240"/>
      <c r="H220" s="240"/>
      <c r="I220" s="1"/>
    </row>
    <row r="221" spans="1:14" x14ac:dyDescent="0.25">
      <c r="A221" s="1"/>
      <c r="B221" s="240" t="s">
        <v>341</v>
      </c>
      <c r="C221" s="468"/>
      <c r="D221" s="240"/>
      <c r="E221" s="240"/>
      <c r="F221" s="240"/>
      <c r="G221" s="240"/>
      <c r="H221" s="240"/>
      <c r="I221" s="1"/>
    </row>
    <row r="222" spans="1:14" x14ac:dyDescent="0.25">
      <c r="A222" s="1"/>
      <c r="B222" s="240"/>
      <c r="C222" s="240"/>
      <c r="D222" s="240"/>
      <c r="E222" s="240"/>
      <c r="F222" s="240"/>
      <c r="G222" s="240"/>
      <c r="H222" s="240"/>
      <c r="I222" s="1"/>
    </row>
    <row r="223" spans="1:14" x14ac:dyDescent="0.25">
      <c r="A223" s="1"/>
      <c r="B223" s="241" t="s">
        <v>345</v>
      </c>
      <c r="C223" s="240"/>
      <c r="D223" s="240"/>
      <c r="E223" s="240"/>
      <c r="F223" s="240"/>
      <c r="G223" s="240"/>
      <c r="H223" s="240"/>
      <c r="I223" s="1"/>
    </row>
    <row r="224" spans="1:14" x14ac:dyDescent="0.25">
      <c r="A224" s="1"/>
      <c r="B224" s="241" t="s">
        <v>354</v>
      </c>
      <c r="C224" s="240"/>
      <c r="D224" s="240"/>
      <c r="E224" s="240"/>
      <c r="F224" s="240"/>
      <c r="G224" s="240"/>
      <c r="H224" s="240"/>
      <c r="I224" s="1"/>
    </row>
    <row r="225" spans="1:9" x14ac:dyDescent="0.25">
      <c r="A225" s="1"/>
      <c r="B225" s="241"/>
      <c r="C225" s="240"/>
      <c r="D225" s="240"/>
      <c r="E225" s="240"/>
      <c r="F225" s="240"/>
      <c r="G225" s="240"/>
      <c r="H225" s="240"/>
      <c r="I225" s="1"/>
    </row>
    <row r="226" spans="1:9" x14ac:dyDescent="0.25">
      <c r="A226" s="1"/>
      <c r="B226" s="240" t="s">
        <v>473</v>
      </c>
      <c r="C226" s="240"/>
      <c r="D226" s="240"/>
      <c r="E226" s="240"/>
      <c r="F226" s="240"/>
      <c r="G226" s="240"/>
      <c r="H226" s="240"/>
      <c r="I226" s="1"/>
    </row>
    <row r="227" spans="1:9" x14ac:dyDescent="0.25">
      <c r="A227" s="1"/>
      <c r="B227" s="240" t="s">
        <v>474</v>
      </c>
      <c r="C227" s="240"/>
      <c r="D227" s="240"/>
      <c r="E227" s="240"/>
      <c r="F227" s="240"/>
      <c r="G227" s="240"/>
      <c r="H227" s="240"/>
      <c r="I227" s="1"/>
    </row>
    <row r="228" spans="1:9" x14ac:dyDescent="0.25">
      <c r="A228" s="1"/>
      <c r="B228" s="240"/>
      <c r="C228" s="240"/>
      <c r="D228" s="240"/>
      <c r="E228" s="240"/>
      <c r="F228" s="240"/>
      <c r="G228" s="240"/>
      <c r="H228" s="240"/>
      <c r="I228" s="1"/>
    </row>
    <row r="229" spans="1:9" x14ac:dyDescent="0.25">
      <c r="B229" s="241" t="s">
        <v>501</v>
      </c>
    </row>
  </sheetData>
  <mergeCells count="26">
    <mergeCell ref="A74:B74"/>
    <mergeCell ref="A140:B140"/>
    <mergeCell ref="A170:B170"/>
    <mergeCell ref="A198:B198"/>
    <mergeCell ref="A68:B68"/>
    <mergeCell ref="A135:B135"/>
    <mergeCell ref="A90:B90"/>
    <mergeCell ref="A131:B131"/>
    <mergeCell ref="A134:B134"/>
    <mergeCell ref="A73:E73"/>
    <mergeCell ref="A69:B69"/>
    <mergeCell ref="A139:E139"/>
    <mergeCell ref="A189:B189"/>
    <mergeCell ref="A171:B171"/>
    <mergeCell ref="A201:B201"/>
    <mergeCell ref="A204:B204"/>
    <mergeCell ref="A207:B207"/>
    <mergeCell ref="A141:B141"/>
    <mergeCell ref="A151:B151"/>
    <mergeCell ref="A169:E169"/>
    <mergeCell ref="A197:E197"/>
    <mergeCell ref="A2:B2"/>
    <mergeCell ref="A1:E1"/>
    <mergeCell ref="A3:B3"/>
    <mergeCell ref="A11:B11"/>
    <mergeCell ref="A66:B66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Header>&amp;CRozpočet na rok 2024
1.zmena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2B1E-49A8-44CE-85A2-749DA54373B7}">
  <sheetPr>
    <pageSetUpPr fitToPage="1"/>
  </sheetPr>
  <dimension ref="A1:N60"/>
  <sheetViews>
    <sheetView workbookViewId="0">
      <selection sqref="A1:C1"/>
    </sheetView>
  </sheetViews>
  <sheetFormatPr defaultRowHeight="15" x14ac:dyDescent="0.25"/>
  <cols>
    <col min="2" max="2" width="32.5703125" customWidth="1"/>
    <col min="3" max="3" width="13" customWidth="1"/>
    <col min="7" max="7" width="42.42578125" customWidth="1"/>
    <col min="8" max="8" width="16.28515625" customWidth="1"/>
    <col min="12" max="12" width="41.85546875" bestFit="1" customWidth="1"/>
    <col min="13" max="13" width="11.42578125" bestFit="1" customWidth="1"/>
  </cols>
  <sheetData>
    <row r="1" spans="1:13" ht="18" x14ac:dyDescent="0.25">
      <c r="A1" s="730" t="s">
        <v>565</v>
      </c>
      <c r="B1" s="730"/>
      <c r="C1" s="730"/>
      <c r="F1" s="730" t="s">
        <v>523</v>
      </c>
      <c r="G1" s="730"/>
      <c r="H1" s="730"/>
      <c r="K1" s="730" t="s">
        <v>396</v>
      </c>
      <c r="L1" s="730"/>
      <c r="M1" s="730"/>
    </row>
    <row r="2" spans="1:13" x14ac:dyDescent="0.25">
      <c r="A2" s="731" t="s">
        <v>373</v>
      </c>
      <c r="B2" s="731"/>
      <c r="C2" s="731"/>
      <c r="F2" s="731" t="s">
        <v>373</v>
      </c>
      <c r="G2" s="731"/>
      <c r="H2" s="731"/>
      <c r="K2" s="731" t="s">
        <v>373</v>
      </c>
      <c r="L2" s="731"/>
      <c r="M2" s="731"/>
    </row>
    <row r="3" spans="1:13" x14ac:dyDescent="0.25">
      <c r="A3" s="732" t="s">
        <v>374</v>
      </c>
      <c r="B3" s="732"/>
      <c r="C3" s="732"/>
      <c r="F3" s="732" t="s">
        <v>374</v>
      </c>
      <c r="G3" s="732"/>
      <c r="H3" s="732"/>
      <c r="K3" s="732" t="s">
        <v>374</v>
      </c>
      <c r="L3" s="732"/>
      <c r="M3" s="732"/>
    </row>
    <row r="4" spans="1:13" x14ac:dyDescent="0.25">
      <c r="A4" s="660"/>
      <c r="B4" s="660"/>
      <c r="C4" s="660"/>
      <c r="F4" s="500"/>
      <c r="G4" s="500"/>
      <c r="H4" s="500"/>
      <c r="K4" s="649"/>
      <c r="L4" s="649"/>
      <c r="M4" s="649"/>
    </row>
    <row r="5" spans="1:13" ht="15.75" thickBot="1" x14ac:dyDescent="0.3">
      <c r="A5" s="715" t="s">
        <v>375</v>
      </c>
      <c r="B5" s="715"/>
      <c r="C5" s="715"/>
      <c r="F5" s="715" t="s">
        <v>375</v>
      </c>
      <c r="G5" s="715"/>
      <c r="H5" s="715"/>
      <c r="K5" s="715" t="s">
        <v>375</v>
      </c>
      <c r="L5" s="715"/>
      <c r="M5" s="715"/>
    </row>
    <row r="6" spans="1:13" ht="15.75" thickBot="1" x14ac:dyDescent="0.3">
      <c r="A6" s="501" t="s">
        <v>376</v>
      </c>
      <c r="B6" s="502" t="s">
        <v>377</v>
      </c>
      <c r="C6" s="503" t="s">
        <v>378</v>
      </c>
      <c r="F6" s="501" t="s">
        <v>376</v>
      </c>
      <c r="G6" s="502" t="s">
        <v>377</v>
      </c>
      <c r="H6" s="503" t="s">
        <v>378</v>
      </c>
      <c r="K6" s="501" t="s">
        <v>376</v>
      </c>
      <c r="L6" s="502" t="s">
        <v>377</v>
      </c>
      <c r="M6" s="503" t="s">
        <v>378</v>
      </c>
    </row>
    <row r="7" spans="1:13" ht="15.75" thickBot="1" x14ac:dyDescent="0.3">
      <c r="A7" s="716" t="s">
        <v>379</v>
      </c>
      <c r="B7" s="717"/>
      <c r="C7" s="504">
        <f>SUM(C8:C10)</f>
        <v>0</v>
      </c>
      <c r="F7" s="716" t="s">
        <v>379</v>
      </c>
      <c r="G7" s="717"/>
      <c r="H7" s="504">
        <f>SUM(H8:H10)</f>
        <v>11420</v>
      </c>
      <c r="K7" s="716" t="s">
        <v>379</v>
      </c>
      <c r="L7" s="717"/>
      <c r="M7" s="504">
        <f>SUM(M8:M10)</f>
        <v>7700</v>
      </c>
    </row>
    <row r="8" spans="1:13" x14ac:dyDescent="0.25">
      <c r="A8" s="505"/>
      <c r="B8" s="506"/>
      <c r="C8" s="507"/>
      <c r="F8" s="505">
        <v>312</v>
      </c>
      <c r="G8" s="506" t="s">
        <v>540</v>
      </c>
      <c r="H8" s="507">
        <v>9700</v>
      </c>
      <c r="K8" s="505">
        <v>292</v>
      </c>
      <c r="L8" s="506" t="s">
        <v>416</v>
      </c>
      <c r="M8" s="507">
        <v>7000</v>
      </c>
    </row>
    <row r="9" spans="1:13" x14ac:dyDescent="0.25">
      <c r="A9" s="505"/>
      <c r="B9" s="506"/>
      <c r="C9" s="507"/>
      <c r="F9" s="505">
        <v>312</v>
      </c>
      <c r="G9" s="506" t="s">
        <v>562</v>
      </c>
      <c r="H9" s="507">
        <v>1720</v>
      </c>
      <c r="K9" s="505">
        <v>292</v>
      </c>
      <c r="L9" s="506" t="s">
        <v>446</v>
      </c>
      <c r="M9" s="507">
        <v>700</v>
      </c>
    </row>
    <row r="10" spans="1:13" x14ac:dyDescent="0.25">
      <c r="A10" s="505"/>
      <c r="B10" s="506"/>
      <c r="C10" s="507"/>
      <c r="F10" s="505"/>
      <c r="G10" s="506"/>
      <c r="H10" s="507"/>
      <c r="K10" s="505"/>
      <c r="L10" s="506"/>
      <c r="M10" s="507"/>
    </row>
    <row r="11" spans="1:13" ht="15.75" thickBot="1" x14ac:dyDescent="0.3">
      <c r="A11" s="722"/>
      <c r="B11" s="723"/>
      <c r="C11" s="724"/>
      <c r="F11" s="722"/>
      <c r="G11" s="723"/>
      <c r="H11" s="724"/>
      <c r="K11" s="722"/>
      <c r="L11" s="723"/>
      <c r="M11" s="724"/>
    </row>
    <row r="12" spans="1:13" ht="15.75" thickBot="1" x14ac:dyDescent="0.3">
      <c r="A12" s="718" t="s">
        <v>154</v>
      </c>
      <c r="B12" s="725"/>
      <c r="C12" s="508">
        <f>SUM(C13:C16)</f>
        <v>291640</v>
      </c>
      <c r="F12" s="718" t="s">
        <v>154</v>
      </c>
      <c r="G12" s="725"/>
      <c r="H12" s="508">
        <f>SUM(H13:H16)</f>
        <v>1167680</v>
      </c>
      <c r="K12" s="718" t="s">
        <v>154</v>
      </c>
      <c r="L12" s="725"/>
      <c r="M12" s="508">
        <f>SUM(M13:M16)</f>
        <v>191000</v>
      </c>
    </row>
    <row r="13" spans="1:13" x14ac:dyDescent="0.25">
      <c r="A13" s="509">
        <v>322</v>
      </c>
      <c r="B13" s="510" t="s">
        <v>574</v>
      </c>
      <c r="C13" s="511">
        <v>323640</v>
      </c>
      <c r="F13" s="509">
        <v>322</v>
      </c>
      <c r="G13" s="510" t="s">
        <v>527</v>
      </c>
      <c r="H13" s="511">
        <v>-52700</v>
      </c>
      <c r="I13" s="310">
        <f>H13+H8</f>
        <v>-43000</v>
      </c>
      <c r="K13" s="509">
        <v>322</v>
      </c>
      <c r="L13" s="510" t="s">
        <v>480</v>
      </c>
      <c r="M13" s="511">
        <v>191000</v>
      </c>
    </row>
    <row r="14" spans="1:13" x14ac:dyDescent="0.25">
      <c r="A14" s="509">
        <v>322</v>
      </c>
      <c r="B14" s="538" t="s">
        <v>576</v>
      </c>
      <c r="C14" s="564">
        <v>-32000</v>
      </c>
      <c r="F14" s="509">
        <v>322</v>
      </c>
      <c r="G14" s="538" t="s">
        <v>524</v>
      </c>
      <c r="H14" s="564">
        <v>1220380</v>
      </c>
      <c r="I14" s="310">
        <f>H9+H14</f>
        <v>1222100</v>
      </c>
      <c r="K14" s="509"/>
      <c r="L14" s="510"/>
      <c r="M14" s="511"/>
    </row>
    <row r="15" spans="1:13" x14ac:dyDescent="0.25">
      <c r="A15" s="509"/>
      <c r="B15" s="510"/>
      <c r="C15" s="511"/>
      <c r="F15" s="509"/>
      <c r="G15" s="510"/>
      <c r="H15" s="511"/>
      <c r="K15" s="509"/>
      <c r="L15" s="510"/>
      <c r="M15" s="511"/>
    </row>
    <row r="16" spans="1:13" x14ac:dyDescent="0.25">
      <c r="A16" s="509"/>
      <c r="B16" s="510"/>
      <c r="C16" s="511"/>
      <c r="F16" s="509"/>
      <c r="G16" s="510"/>
      <c r="H16" s="511"/>
      <c r="K16" s="509"/>
      <c r="L16" s="510"/>
      <c r="M16" s="511"/>
    </row>
    <row r="17" spans="1:13" ht="15.75" thickBot="1" x14ac:dyDescent="0.3">
      <c r="A17" s="726"/>
      <c r="B17" s="727"/>
      <c r="C17" s="728"/>
      <c r="F17" s="726"/>
      <c r="G17" s="727"/>
      <c r="H17" s="728"/>
      <c r="K17" s="726"/>
      <c r="L17" s="727"/>
      <c r="M17" s="728"/>
    </row>
    <row r="18" spans="1:13" ht="15.75" thickBot="1" x14ac:dyDescent="0.3">
      <c r="A18" s="720" t="s">
        <v>162</v>
      </c>
      <c r="B18" s="729"/>
      <c r="C18" s="512">
        <f>SUM(C19:C20)</f>
        <v>0</v>
      </c>
      <c r="F18" s="720" t="s">
        <v>162</v>
      </c>
      <c r="G18" s="729"/>
      <c r="H18" s="512">
        <f>SUM(H19:H20)</f>
        <v>0</v>
      </c>
      <c r="K18" s="720" t="s">
        <v>162</v>
      </c>
      <c r="L18" s="729"/>
      <c r="M18" s="512">
        <f>SUM(M19:M20)</f>
        <v>-119700</v>
      </c>
    </row>
    <row r="19" spans="1:13" x14ac:dyDescent="0.25">
      <c r="A19" s="513"/>
      <c r="B19" s="514"/>
      <c r="C19" s="515"/>
      <c r="F19" s="513"/>
      <c r="G19" s="514"/>
      <c r="H19" s="515"/>
      <c r="K19" s="513">
        <v>454</v>
      </c>
      <c r="L19" s="514" t="s">
        <v>471</v>
      </c>
      <c r="M19" s="515">
        <v>-119700</v>
      </c>
    </row>
    <row r="20" spans="1:13" ht="15.75" thickBot="1" x14ac:dyDescent="0.3">
      <c r="A20" s="516"/>
      <c r="B20" s="517"/>
      <c r="C20" s="518"/>
      <c r="F20" s="516"/>
      <c r="G20" s="517"/>
      <c r="H20" s="518"/>
      <c r="K20" s="516"/>
      <c r="L20" s="517"/>
      <c r="M20" s="518"/>
    </row>
    <row r="21" spans="1:13" ht="15.75" thickBot="1" x14ac:dyDescent="0.3">
      <c r="A21" s="710" t="s">
        <v>380</v>
      </c>
      <c r="B21" s="711"/>
      <c r="C21" s="519">
        <f>C7+C12+C18</f>
        <v>291640</v>
      </c>
      <c r="F21" s="710" t="s">
        <v>380</v>
      </c>
      <c r="G21" s="711"/>
      <c r="H21" s="519">
        <f>H7+H12+H18</f>
        <v>1179100</v>
      </c>
      <c r="K21" s="710" t="s">
        <v>380</v>
      </c>
      <c r="L21" s="711"/>
      <c r="M21" s="519">
        <f>M7+M12+M18</f>
        <v>79000</v>
      </c>
    </row>
    <row r="22" spans="1:13" x14ac:dyDescent="0.25">
      <c r="A22" s="520" t="s">
        <v>54</v>
      </c>
      <c r="B22" s="521" t="s">
        <v>381</v>
      </c>
      <c r="C22" s="522"/>
      <c r="F22" s="520" t="s">
        <v>54</v>
      </c>
      <c r="G22" s="521" t="s">
        <v>381</v>
      </c>
      <c r="H22" s="522"/>
      <c r="K22" s="520" t="s">
        <v>54</v>
      </c>
      <c r="L22" s="521" t="s">
        <v>381</v>
      </c>
      <c r="M22" s="522"/>
    </row>
    <row r="23" spans="1:13" ht="15.75" thickBot="1" x14ac:dyDescent="0.3">
      <c r="A23" s="407" t="s">
        <v>54</v>
      </c>
      <c r="B23" s="523" t="s">
        <v>382</v>
      </c>
      <c r="C23" s="524"/>
      <c r="F23" s="407" t="s">
        <v>54</v>
      </c>
      <c r="G23" s="523" t="s">
        <v>382</v>
      </c>
      <c r="H23" s="524"/>
      <c r="K23" s="407" t="s">
        <v>54</v>
      </c>
      <c r="L23" s="523" t="s">
        <v>382</v>
      </c>
      <c r="M23" s="524"/>
    </row>
    <row r="24" spans="1:13" ht="15.75" thickBot="1" x14ac:dyDescent="0.3">
      <c r="A24" s="712" t="s">
        <v>383</v>
      </c>
      <c r="B24" s="714"/>
      <c r="C24" s="525">
        <f>SUM(C21:C23)</f>
        <v>291640</v>
      </c>
      <c r="F24" s="712" t="s">
        <v>383</v>
      </c>
      <c r="G24" s="714"/>
      <c r="H24" s="525">
        <f>SUM(H21:H23)</f>
        <v>1179100</v>
      </c>
      <c r="K24" s="712" t="s">
        <v>383</v>
      </c>
      <c r="L24" s="714"/>
      <c r="M24" s="525">
        <f>SUM(M21:M23)</f>
        <v>79000</v>
      </c>
    </row>
    <row r="25" spans="1:13" x14ac:dyDescent="0.25">
      <c r="B25" s="526"/>
      <c r="C25" s="310"/>
      <c r="G25" s="526"/>
      <c r="H25" s="310"/>
      <c r="L25" s="526"/>
      <c r="M25" s="310"/>
    </row>
    <row r="26" spans="1:13" ht="15.75" thickBot="1" x14ac:dyDescent="0.3">
      <c r="A26" s="715" t="s">
        <v>384</v>
      </c>
      <c r="B26" s="715"/>
      <c r="C26" s="715"/>
      <c r="F26" s="715" t="s">
        <v>384</v>
      </c>
      <c r="G26" s="715"/>
      <c r="H26" s="715"/>
      <c r="K26" s="715" t="s">
        <v>384</v>
      </c>
      <c r="L26" s="715"/>
      <c r="M26" s="715"/>
    </row>
    <row r="27" spans="1:13" ht="15.75" thickBot="1" x14ac:dyDescent="0.3">
      <c r="A27" s="527" t="s">
        <v>207</v>
      </c>
      <c r="B27" s="528" t="s">
        <v>385</v>
      </c>
      <c r="C27" s="529" t="s">
        <v>386</v>
      </c>
      <c r="F27" s="527" t="s">
        <v>207</v>
      </c>
      <c r="G27" s="528" t="s">
        <v>385</v>
      </c>
      <c r="H27" s="529" t="s">
        <v>386</v>
      </c>
      <c r="K27" s="527" t="s">
        <v>207</v>
      </c>
      <c r="L27" s="528" t="s">
        <v>385</v>
      </c>
      <c r="M27" s="529" t="s">
        <v>386</v>
      </c>
    </row>
    <row r="28" spans="1:13" ht="15.75" thickBot="1" x14ac:dyDescent="0.3">
      <c r="A28" s="716" t="s">
        <v>379</v>
      </c>
      <c r="B28" s="717"/>
      <c r="C28" s="530">
        <f>SUM(C29:C31)</f>
        <v>0</v>
      </c>
      <c r="F28" s="716" t="s">
        <v>379</v>
      </c>
      <c r="G28" s="717"/>
      <c r="H28" s="530">
        <f>SUM(H29:H32)</f>
        <v>11420</v>
      </c>
      <c r="K28" s="716" t="s">
        <v>379</v>
      </c>
      <c r="L28" s="717"/>
      <c r="M28" s="530">
        <f>SUM(M29:M41)</f>
        <v>7700</v>
      </c>
    </row>
    <row r="29" spans="1:13" x14ac:dyDescent="0.25">
      <c r="A29" s="531"/>
      <c r="B29" s="532"/>
      <c r="C29" s="507"/>
      <c r="F29" s="531" t="s">
        <v>82</v>
      </c>
      <c r="G29" s="532" t="s">
        <v>541</v>
      </c>
      <c r="H29" s="507">
        <f>1000-840</f>
        <v>160</v>
      </c>
      <c r="K29" s="531"/>
      <c r="L29" s="532"/>
      <c r="M29" s="507"/>
    </row>
    <row r="30" spans="1:13" x14ac:dyDescent="0.25">
      <c r="A30" s="531"/>
      <c r="B30" s="532"/>
      <c r="C30" s="507"/>
      <c r="F30" s="531" t="s">
        <v>87</v>
      </c>
      <c r="G30" s="532" t="s">
        <v>543</v>
      </c>
      <c r="H30" s="507">
        <f>9700+840</f>
        <v>10540</v>
      </c>
      <c r="K30" s="531" t="s">
        <v>66</v>
      </c>
      <c r="L30" s="532" t="s">
        <v>417</v>
      </c>
      <c r="M30" s="507">
        <v>1000</v>
      </c>
    </row>
    <row r="31" spans="1:13" x14ac:dyDescent="0.25">
      <c r="A31" s="531"/>
      <c r="B31" s="532"/>
      <c r="C31" s="507"/>
      <c r="F31" s="531" t="s">
        <v>110</v>
      </c>
      <c r="G31" s="532" t="s">
        <v>542</v>
      </c>
      <c r="H31" s="507">
        <v>-1000</v>
      </c>
      <c r="K31" s="531" t="s">
        <v>78</v>
      </c>
      <c r="L31" s="532" t="s">
        <v>481</v>
      </c>
      <c r="M31" s="507">
        <f>6000-100</f>
        <v>5900</v>
      </c>
    </row>
    <row r="32" spans="1:13" ht="15.75" thickBot="1" x14ac:dyDescent="0.3">
      <c r="A32" s="533"/>
      <c r="B32" s="534"/>
      <c r="C32" s="535"/>
      <c r="F32" s="670" t="s">
        <v>123</v>
      </c>
      <c r="G32" s="671" t="s">
        <v>563</v>
      </c>
      <c r="H32" s="672">
        <v>1720</v>
      </c>
      <c r="K32" s="531" t="s">
        <v>89</v>
      </c>
      <c r="L32" s="532" t="s">
        <v>448</v>
      </c>
      <c r="M32" s="507">
        <v>-5000</v>
      </c>
    </row>
    <row r="33" spans="1:14" ht="15.75" thickBot="1" x14ac:dyDescent="0.3">
      <c r="A33" s="718" t="s">
        <v>154</v>
      </c>
      <c r="B33" s="719"/>
      <c r="C33" s="536">
        <f>SUM(C34:C38)</f>
        <v>291640</v>
      </c>
      <c r="F33" s="533"/>
      <c r="G33" s="534"/>
      <c r="H33" s="535"/>
      <c r="K33" s="531" t="s">
        <v>96</v>
      </c>
      <c r="L33" s="532" t="s">
        <v>506</v>
      </c>
      <c r="M33" s="507">
        <f>-340+700</f>
        <v>360</v>
      </c>
    </row>
    <row r="34" spans="1:14" ht="15.75" thickBot="1" x14ac:dyDescent="0.3">
      <c r="A34" s="537" t="s">
        <v>112</v>
      </c>
      <c r="B34" s="538" t="s">
        <v>572</v>
      </c>
      <c r="C34" s="539">
        <f>323640+8000</f>
        <v>331640</v>
      </c>
      <c r="F34" s="718" t="s">
        <v>154</v>
      </c>
      <c r="G34" s="719"/>
      <c r="H34" s="536">
        <f>SUM(H35:H39)</f>
        <v>1167680</v>
      </c>
      <c r="K34" s="531" t="s">
        <v>100</v>
      </c>
      <c r="L34" s="532" t="s">
        <v>507</v>
      </c>
      <c r="M34" s="507">
        <f>800+260+140</f>
        <v>1200</v>
      </c>
    </row>
    <row r="35" spans="1:14" x14ac:dyDescent="0.25">
      <c r="A35" s="537" t="s">
        <v>160</v>
      </c>
      <c r="B35" s="538" t="s">
        <v>573</v>
      </c>
      <c r="C35" s="539">
        <v>-8000</v>
      </c>
      <c r="F35" s="537" t="s">
        <v>87</v>
      </c>
      <c r="G35" s="538" t="s">
        <v>525</v>
      </c>
      <c r="H35" s="539">
        <v>-52700</v>
      </c>
      <c r="I35" s="310"/>
      <c r="K35" s="531" t="s">
        <v>112</v>
      </c>
      <c r="L35" s="532" t="s">
        <v>453</v>
      </c>
      <c r="M35" s="507">
        <v>200</v>
      </c>
    </row>
    <row r="36" spans="1:14" x14ac:dyDescent="0.25">
      <c r="A36" s="537" t="s">
        <v>356</v>
      </c>
      <c r="B36" s="538" t="s">
        <v>575</v>
      </c>
      <c r="C36" s="539">
        <v>-32000</v>
      </c>
      <c r="F36" s="537" t="s">
        <v>123</v>
      </c>
      <c r="G36" s="538" t="s">
        <v>526</v>
      </c>
      <c r="H36" s="539">
        <v>1220380</v>
      </c>
      <c r="K36" s="531" t="s">
        <v>123</v>
      </c>
      <c r="L36" s="532" t="s">
        <v>504</v>
      </c>
      <c r="M36" s="507">
        <f>720+1000</f>
        <v>1720</v>
      </c>
    </row>
    <row r="37" spans="1:14" x14ac:dyDescent="0.25">
      <c r="A37" s="537"/>
      <c r="B37" s="538"/>
      <c r="C37" s="539"/>
      <c r="F37" s="537"/>
      <c r="G37" s="538"/>
      <c r="H37" s="539"/>
      <c r="K37" s="531" t="s">
        <v>124</v>
      </c>
      <c r="L37" s="532" t="s">
        <v>488</v>
      </c>
      <c r="M37" s="507">
        <v>100</v>
      </c>
    </row>
    <row r="38" spans="1:14" ht="15.75" thickBot="1" x14ac:dyDescent="0.3">
      <c r="A38" s="537"/>
      <c r="B38" s="540"/>
      <c r="C38" s="539"/>
      <c r="F38" s="537"/>
      <c r="G38" s="538"/>
      <c r="H38" s="539"/>
      <c r="K38" s="531" t="s">
        <v>124</v>
      </c>
      <c r="L38" s="532" t="s">
        <v>503</v>
      </c>
      <c r="M38" s="507">
        <f>720+1000</f>
        <v>1720</v>
      </c>
    </row>
    <row r="39" spans="1:14" ht="15.75" thickBot="1" x14ac:dyDescent="0.3">
      <c r="A39" s="720" t="s">
        <v>162</v>
      </c>
      <c r="B39" s="721"/>
      <c r="C39" s="512">
        <f>SUM(C40)</f>
        <v>0</v>
      </c>
      <c r="F39" s="537"/>
      <c r="G39" s="540"/>
      <c r="H39" s="539"/>
      <c r="K39" s="531" t="s">
        <v>130</v>
      </c>
      <c r="L39" s="532" t="s">
        <v>415</v>
      </c>
      <c r="M39" s="507">
        <v>300</v>
      </c>
    </row>
    <row r="40" spans="1:14" ht="15.75" thickBot="1" x14ac:dyDescent="0.3">
      <c r="A40" s="541"/>
      <c r="B40" s="542"/>
      <c r="C40" s="543"/>
      <c r="F40" s="720" t="s">
        <v>162</v>
      </c>
      <c r="G40" s="721"/>
      <c r="H40" s="512">
        <f>SUM(H41)</f>
        <v>0</v>
      </c>
      <c r="K40" s="531" t="s">
        <v>133</v>
      </c>
      <c r="L40" s="532" t="s">
        <v>450</v>
      </c>
      <c r="M40" s="507">
        <f>100+100</f>
        <v>200</v>
      </c>
    </row>
    <row r="41" spans="1:14" ht="15.75" thickBot="1" x14ac:dyDescent="0.3">
      <c r="A41" s="544"/>
      <c r="B41" s="545"/>
      <c r="C41" s="546"/>
      <c r="F41" s="541"/>
      <c r="G41" s="542"/>
      <c r="H41" s="543"/>
      <c r="K41" s="531"/>
      <c r="L41" s="532"/>
      <c r="M41" s="507"/>
    </row>
    <row r="42" spans="1:14" ht="15.75" thickBot="1" x14ac:dyDescent="0.3">
      <c r="A42" s="710" t="s">
        <v>380</v>
      </c>
      <c r="B42" s="711"/>
      <c r="C42" s="519">
        <f>C28+C33+C39</f>
        <v>291640</v>
      </c>
      <c r="F42" s="544"/>
      <c r="G42" s="545"/>
      <c r="H42" s="546"/>
      <c r="K42" s="533"/>
      <c r="L42" s="534"/>
      <c r="M42" s="535"/>
    </row>
    <row r="43" spans="1:14" ht="15.75" thickBot="1" x14ac:dyDescent="0.3">
      <c r="A43" s="547" t="s">
        <v>54</v>
      </c>
      <c r="B43" s="548" t="s">
        <v>387</v>
      </c>
      <c r="C43" s="549"/>
      <c r="F43" s="710" t="s">
        <v>380</v>
      </c>
      <c r="G43" s="711"/>
      <c r="H43" s="519">
        <f>H28+H34+H40</f>
        <v>1179100</v>
      </c>
      <c r="K43" s="718" t="s">
        <v>154</v>
      </c>
      <c r="L43" s="719"/>
      <c r="M43" s="536">
        <f>SUM(M44:M48)</f>
        <v>71300</v>
      </c>
    </row>
    <row r="44" spans="1:14" ht="15.75" thickBot="1" x14ac:dyDescent="0.3">
      <c r="A44" s="550" t="s">
        <v>54</v>
      </c>
      <c r="B44" s="551" t="s">
        <v>388</v>
      </c>
      <c r="C44" s="552"/>
      <c r="F44" s="547" t="s">
        <v>54</v>
      </c>
      <c r="G44" s="548" t="s">
        <v>387</v>
      </c>
      <c r="H44" s="549"/>
      <c r="K44" s="537" t="s">
        <v>87</v>
      </c>
      <c r="L44" s="538" t="s">
        <v>461</v>
      </c>
      <c r="M44" s="539">
        <f>191000+15300</f>
        <v>206300</v>
      </c>
    </row>
    <row r="45" spans="1:14" ht="15.75" thickBot="1" x14ac:dyDescent="0.3">
      <c r="A45" s="712" t="s">
        <v>383</v>
      </c>
      <c r="B45" s="713"/>
      <c r="C45" s="525">
        <f>SUM(C42:C44)</f>
        <v>291640</v>
      </c>
      <c r="F45" s="550" t="s">
        <v>54</v>
      </c>
      <c r="G45" s="551" t="s">
        <v>388</v>
      </c>
      <c r="H45" s="552"/>
      <c r="K45" s="537" t="s">
        <v>89</v>
      </c>
      <c r="L45" s="538" t="s">
        <v>468</v>
      </c>
      <c r="M45" s="539">
        <v>-20000</v>
      </c>
    </row>
    <row r="46" spans="1:14" ht="15.75" thickBot="1" x14ac:dyDescent="0.3">
      <c r="B46" s="553" t="s">
        <v>389</v>
      </c>
      <c r="C46" s="310">
        <f>C45-C24</f>
        <v>0</v>
      </c>
      <c r="F46" s="712" t="s">
        <v>383</v>
      </c>
      <c r="G46" s="713"/>
      <c r="H46" s="525">
        <f>SUM(H43:H45)</f>
        <v>1179100</v>
      </c>
      <c r="K46" s="537" t="s">
        <v>96</v>
      </c>
      <c r="L46" s="538" t="s">
        <v>469</v>
      </c>
      <c r="M46" s="539">
        <v>-50000</v>
      </c>
    </row>
    <row r="47" spans="1:14" x14ac:dyDescent="0.25">
      <c r="G47" s="553" t="s">
        <v>389</v>
      </c>
      <c r="H47" s="310">
        <f>H46-H24</f>
        <v>0</v>
      </c>
      <c r="K47" s="537" t="s">
        <v>356</v>
      </c>
      <c r="L47" s="538" t="s">
        <v>342</v>
      </c>
      <c r="M47" s="539">
        <v>-15000</v>
      </c>
    </row>
    <row r="48" spans="1:14" ht="15.75" thickBot="1" x14ac:dyDescent="0.3">
      <c r="K48" s="537" t="s">
        <v>112</v>
      </c>
      <c r="L48" s="540" t="s">
        <v>191</v>
      </c>
      <c r="M48" s="539">
        <v>-50000</v>
      </c>
      <c r="N48" s="310">
        <f>SUM(M45:M48)</f>
        <v>-135000</v>
      </c>
    </row>
    <row r="49" spans="1:13" ht="15.75" thickBot="1" x14ac:dyDescent="0.3">
      <c r="A49" s="554" t="s">
        <v>577</v>
      </c>
      <c r="K49" s="720" t="s">
        <v>162</v>
      </c>
      <c r="L49" s="721"/>
      <c r="M49" s="512">
        <f>SUM(M50)</f>
        <v>0</v>
      </c>
    </row>
    <row r="50" spans="1:13" x14ac:dyDescent="0.25">
      <c r="A50" t="s">
        <v>390</v>
      </c>
      <c r="F50" s="554" t="s">
        <v>519</v>
      </c>
      <c r="I50" s="310"/>
      <c r="K50" s="541"/>
      <c r="L50" s="542"/>
      <c r="M50" s="543"/>
    </row>
    <row r="51" spans="1:13" ht="15.75" thickBot="1" x14ac:dyDescent="0.3">
      <c r="F51" t="s">
        <v>390</v>
      </c>
      <c r="K51" s="544"/>
      <c r="L51" s="545"/>
      <c r="M51" s="546"/>
    </row>
    <row r="52" spans="1:13" ht="15.75" thickBot="1" x14ac:dyDescent="0.3">
      <c r="K52" s="710" t="s">
        <v>380</v>
      </c>
      <c r="L52" s="711"/>
      <c r="M52" s="519">
        <f>M28+M43+M49</f>
        <v>79000</v>
      </c>
    </row>
    <row r="53" spans="1:13" x14ac:dyDescent="0.25">
      <c r="K53" s="547" t="s">
        <v>54</v>
      </c>
      <c r="L53" s="548" t="s">
        <v>387</v>
      </c>
      <c r="M53" s="549"/>
    </row>
    <row r="54" spans="1:13" ht="15.75" thickBot="1" x14ac:dyDescent="0.3">
      <c r="K54" s="550" t="s">
        <v>54</v>
      </c>
      <c r="L54" s="551" t="s">
        <v>388</v>
      </c>
      <c r="M54" s="552"/>
    </row>
    <row r="55" spans="1:13" ht="15.75" thickBot="1" x14ac:dyDescent="0.3">
      <c r="K55" s="712" t="s">
        <v>383</v>
      </c>
      <c r="L55" s="713"/>
      <c r="M55" s="525">
        <f>SUM(M52:M54)</f>
        <v>79000</v>
      </c>
    </row>
    <row r="56" spans="1:13" x14ac:dyDescent="0.25">
      <c r="L56" s="553" t="s">
        <v>389</v>
      </c>
      <c r="M56" s="310">
        <f>M55-M24</f>
        <v>0</v>
      </c>
    </row>
    <row r="59" spans="1:13" x14ac:dyDescent="0.25">
      <c r="K59" s="554" t="s">
        <v>475</v>
      </c>
    </row>
    <row r="60" spans="1:13" x14ac:dyDescent="0.25">
      <c r="K60" t="s">
        <v>390</v>
      </c>
    </row>
  </sheetData>
  <sortState ref="F29:H31">
    <sortCondition ref="F29"/>
  </sortState>
  <mergeCells count="51">
    <mergeCell ref="K52:L52"/>
    <mergeCell ref="K55:L55"/>
    <mergeCell ref="K24:L24"/>
    <mergeCell ref="K26:M26"/>
    <mergeCell ref="K28:L28"/>
    <mergeCell ref="K43:L43"/>
    <mergeCell ref="K49:L49"/>
    <mergeCell ref="K11:M11"/>
    <mergeCell ref="K12:L12"/>
    <mergeCell ref="K17:M17"/>
    <mergeCell ref="K18:L18"/>
    <mergeCell ref="K21:L21"/>
    <mergeCell ref="K1:M1"/>
    <mergeCell ref="K2:M2"/>
    <mergeCell ref="K3:M3"/>
    <mergeCell ref="K5:M5"/>
    <mergeCell ref="K7:L7"/>
    <mergeCell ref="F26:H26"/>
    <mergeCell ref="F1:H1"/>
    <mergeCell ref="F2:H2"/>
    <mergeCell ref="F3:H3"/>
    <mergeCell ref="F5:H5"/>
    <mergeCell ref="F7:G7"/>
    <mergeCell ref="F11:H11"/>
    <mergeCell ref="F12:G12"/>
    <mergeCell ref="F17:H17"/>
    <mergeCell ref="F18:G18"/>
    <mergeCell ref="F21:G21"/>
    <mergeCell ref="F24:G24"/>
    <mergeCell ref="F28:G28"/>
    <mergeCell ref="F34:G34"/>
    <mergeCell ref="F40:G40"/>
    <mergeCell ref="F43:G43"/>
    <mergeCell ref="F46:G46"/>
    <mergeCell ref="A1:C1"/>
    <mergeCell ref="A2:C2"/>
    <mergeCell ref="A3:C3"/>
    <mergeCell ref="A5:C5"/>
    <mergeCell ref="A7:B7"/>
    <mergeCell ref="A11:C11"/>
    <mergeCell ref="A12:B12"/>
    <mergeCell ref="A17:C17"/>
    <mergeCell ref="A18:B18"/>
    <mergeCell ref="A21:B21"/>
    <mergeCell ref="A42:B42"/>
    <mergeCell ref="A45:B45"/>
    <mergeCell ref="A24:B24"/>
    <mergeCell ref="A26:C26"/>
    <mergeCell ref="A28:B28"/>
    <mergeCell ref="A33:B33"/>
    <mergeCell ref="A39:B39"/>
  </mergeCells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2F0D-8145-4786-8FF2-E4256498930C}">
  <sheetPr>
    <pageSetUpPr fitToPage="1"/>
  </sheetPr>
  <dimension ref="A1:O72"/>
  <sheetViews>
    <sheetView workbookViewId="0">
      <selection sqref="A1:C1"/>
    </sheetView>
  </sheetViews>
  <sheetFormatPr defaultRowHeight="15" x14ac:dyDescent="0.25"/>
  <cols>
    <col min="2" max="2" width="40.7109375" customWidth="1"/>
    <col min="3" max="3" width="11.140625" bestFit="1" customWidth="1"/>
    <col min="6" max="6" width="47.85546875" bestFit="1" customWidth="1"/>
    <col min="7" max="7" width="11.42578125" bestFit="1" customWidth="1"/>
    <col min="10" max="10" width="44.5703125" customWidth="1"/>
    <col min="11" max="11" width="13.140625" customWidth="1"/>
    <col min="13" max="13" width="8.85546875" customWidth="1"/>
    <col min="14" max="14" width="44" bestFit="1" customWidth="1"/>
    <col min="15" max="15" width="11.42578125" bestFit="1" customWidth="1"/>
  </cols>
  <sheetData>
    <row r="1" spans="1:15" ht="18" x14ac:dyDescent="0.25">
      <c r="A1" s="730" t="s">
        <v>555</v>
      </c>
      <c r="B1" s="730"/>
      <c r="C1" s="730"/>
      <c r="E1" s="730" t="s">
        <v>534</v>
      </c>
      <c r="F1" s="730"/>
      <c r="G1" s="730"/>
      <c r="I1" s="730" t="s">
        <v>487</v>
      </c>
      <c r="J1" s="730"/>
      <c r="K1" s="730"/>
      <c r="M1" s="730" t="s">
        <v>395</v>
      </c>
      <c r="N1" s="730"/>
      <c r="O1" s="730"/>
    </row>
    <row r="2" spans="1:15" x14ac:dyDescent="0.25">
      <c r="A2" s="731" t="s">
        <v>373</v>
      </c>
      <c r="B2" s="731"/>
      <c r="C2" s="731"/>
      <c r="E2" s="731" t="s">
        <v>373</v>
      </c>
      <c r="F2" s="731"/>
      <c r="G2" s="731"/>
      <c r="I2" s="731" t="s">
        <v>373</v>
      </c>
      <c r="J2" s="731"/>
      <c r="K2" s="731"/>
      <c r="M2" s="731" t="s">
        <v>373</v>
      </c>
      <c r="N2" s="731"/>
      <c r="O2" s="731"/>
    </row>
    <row r="3" spans="1:15" x14ac:dyDescent="0.25">
      <c r="A3" s="732" t="s">
        <v>374</v>
      </c>
      <c r="B3" s="732"/>
      <c r="C3" s="732"/>
      <c r="E3" s="732" t="s">
        <v>374</v>
      </c>
      <c r="F3" s="732"/>
      <c r="G3" s="732"/>
      <c r="I3" s="732" t="s">
        <v>374</v>
      </c>
      <c r="J3" s="732"/>
      <c r="K3" s="732"/>
      <c r="M3" s="732" t="s">
        <v>374</v>
      </c>
      <c r="N3" s="732"/>
      <c r="O3" s="732"/>
    </row>
    <row r="4" spans="1:15" x14ac:dyDescent="0.25">
      <c r="A4" s="660"/>
      <c r="B4" s="660"/>
      <c r="C4" s="660"/>
      <c r="E4" s="649"/>
      <c r="F4" s="649"/>
      <c r="G4" s="649"/>
      <c r="I4" s="500"/>
      <c r="J4" s="500"/>
      <c r="K4" s="500"/>
      <c r="M4" s="645"/>
      <c r="N4" s="645"/>
      <c r="O4" s="645"/>
    </row>
    <row r="5" spans="1:15" ht="15.75" thickBot="1" x14ac:dyDescent="0.3">
      <c r="A5" s="715" t="s">
        <v>375</v>
      </c>
      <c r="B5" s="715"/>
      <c r="C5" s="715"/>
      <c r="E5" s="715" t="s">
        <v>375</v>
      </c>
      <c r="F5" s="715"/>
      <c r="G5" s="715"/>
      <c r="I5" s="715" t="s">
        <v>375</v>
      </c>
      <c r="J5" s="715"/>
      <c r="K5" s="715"/>
      <c r="M5" s="715" t="s">
        <v>375</v>
      </c>
      <c r="N5" s="715"/>
      <c r="O5" s="715"/>
    </row>
    <row r="6" spans="1:15" ht="15.75" thickBot="1" x14ac:dyDescent="0.3">
      <c r="A6" s="501" t="s">
        <v>376</v>
      </c>
      <c r="B6" s="502" t="s">
        <v>377</v>
      </c>
      <c r="C6" s="503" t="s">
        <v>378</v>
      </c>
      <c r="E6" s="501" t="s">
        <v>376</v>
      </c>
      <c r="F6" s="502" t="s">
        <v>377</v>
      </c>
      <c r="G6" s="503" t="s">
        <v>378</v>
      </c>
      <c r="I6" s="501" t="s">
        <v>376</v>
      </c>
      <c r="J6" s="502" t="s">
        <v>377</v>
      </c>
      <c r="K6" s="503" t="s">
        <v>378</v>
      </c>
      <c r="M6" s="501" t="s">
        <v>376</v>
      </c>
      <c r="N6" s="502" t="s">
        <v>377</v>
      </c>
      <c r="O6" s="503" t="s">
        <v>378</v>
      </c>
    </row>
    <row r="7" spans="1:15" ht="15.75" thickBot="1" x14ac:dyDescent="0.3">
      <c r="A7" s="716" t="s">
        <v>379</v>
      </c>
      <c r="B7" s="717"/>
      <c r="C7" s="504">
        <f>SUM(C8:C13)</f>
        <v>0</v>
      </c>
      <c r="E7" s="716" t="s">
        <v>379</v>
      </c>
      <c r="F7" s="717"/>
      <c r="G7" s="504">
        <f>SUM(G8:G13)</f>
        <v>3132</v>
      </c>
      <c r="I7" s="716" t="s">
        <v>379</v>
      </c>
      <c r="J7" s="717"/>
      <c r="K7" s="504">
        <f>SUM(K8:K13)</f>
        <v>52100</v>
      </c>
      <c r="M7" s="716" t="s">
        <v>379</v>
      </c>
      <c r="N7" s="717"/>
      <c r="O7" s="504">
        <f>SUM(O8:O19)</f>
        <v>57801</v>
      </c>
    </row>
    <row r="8" spans="1:15" x14ac:dyDescent="0.25">
      <c r="A8" s="505"/>
      <c r="B8" s="506"/>
      <c r="C8" s="507"/>
      <c r="E8" s="505">
        <v>212</v>
      </c>
      <c r="F8" s="506" t="s">
        <v>545</v>
      </c>
      <c r="G8" s="507">
        <v>-100</v>
      </c>
      <c r="I8" s="505">
        <v>292</v>
      </c>
      <c r="J8" s="506" t="s">
        <v>486</v>
      </c>
      <c r="K8" s="507">
        <v>-7000</v>
      </c>
      <c r="M8" s="505">
        <v>212</v>
      </c>
      <c r="N8" s="506" t="s">
        <v>397</v>
      </c>
      <c r="O8" s="507">
        <f>700-700</f>
        <v>0</v>
      </c>
    </row>
    <row r="9" spans="1:15" x14ac:dyDescent="0.25">
      <c r="A9" s="505"/>
      <c r="B9" s="506"/>
      <c r="C9" s="507"/>
      <c r="E9" s="505">
        <v>212</v>
      </c>
      <c r="F9" s="506" t="s">
        <v>546</v>
      </c>
      <c r="G9" s="507">
        <v>100</v>
      </c>
      <c r="I9" s="505">
        <v>292</v>
      </c>
      <c r="J9" s="506" t="s">
        <v>485</v>
      </c>
      <c r="K9" s="507">
        <v>7000</v>
      </c>
      <c r="M9" s="505">
        <v>292</v>
      </c>
      <c r="N9" s="506" t="s">
        <v>486</v>
      </c>
      <c r="O9" s="507">
        <v>7000</v>
      </c>
    </row>
    <row r="10" spans="1:15" x14ac:dyDescent="0.25">
      <c r="A10" s="505"/>
      <c r="B10" s="506"/>
      <c r="C10" s="507"/>
      <c r="E10" s="505">
        <v>312</v>
      </c>
      <c r="F10" s="506" t="s">
        <v>536</v>
      </c>
      <c r="G10" s="507">
        <v>700</v>
      </c>
      <c r="I10" s="505">
        <v>312</v>
      </c>
      <c r="J10" s="506" t="s">
        <v>511</v>
      </c>
      <c r="K10" s="507">
        <f>3000+1000</f>
        <v>4000</v>
      </c>
      <c r="M10" s="505">
        <v>292</v>
      </c>
      <c r="N10" s="506" t="s">
        <v>485</v>
      </c>
      <c r="O10" s="507">
        <v>-7000</v>
      </c>
    </row>
    <row r="11" spans="1:15" x14ac:dyDescent="0.25">
      <c r="A11" s="505"/>
      <c r="B11" s="506"/>
      <c r="C11" s="507"/>
      <c r="E11" s="505">
        <v>312</v>
      </c>
      <c r="F11" s="506" t="s">
        <v>547</v>
      </c>
      <c r="G11" s="507">
        <f>-196-150</f>
        <v>-346</v>
      </c>
      <c r="I11" s="505">
        <v>312</v>
      </c>
      <c r="J11" s="506" t="s">
        <v>496</v>
      </c>
      <c r="K11" s="507">
        <v>48100</v>
      </c>
      <c r="M11" s="505">
        <v>292</v>
      </c>
      <c r="N11" s="506" t="s">
        <v>451</v>
      </c>
      <c r="O11" s="507">
        <v>15</v>
      </c>
    </row>
    <row r="12" spans="1:15" x14ac:dyDescent="0.25">
      <c r="A12" s="505"/>
      <c r="B12" s="506"/>
      <c r="C12" s="507"/>
      <c r="E12" s="505">
        <v>312</v>
      </c>
      <c r="F12" s="506" t="s">
        <v>567</v>
      </c>
      <c r="G12" s="507">
        <v>2778</v>
      </c>
      <c r="I12" s="505"/>
      <c r="J12" s="506"/>
      <c r="K12" s="507"/>
      <c r="M12" s="505">
        <v>312</v>
      </c>
      <c r="N12" s="506" t="s">
        <v>398</v>
      </c>
      <c r="O12" s="507">
        <v>2600</v>
      </c>
    </row>
    <row r="13" spans="1:15" x14ac:dyDescent="0.25">
      <c r="A13" s="505"/>
      <c r="B13" s="506"/>
      <c r="C13" s="507"/>
      <c r="E13" s="505"/>
      <c r="F13" s="506"/>
      <c r="G13" s="507"/>
      <c r="I13" s="505"/>
      <c r="J13" s="506"/>
      <c r="K13" s="507"/>
      <c r="M13" s="505">
        <v>312</v>
      </c>
      <c r="N13" s="506" t="s">
        <v>403</v>
      </c>
      <c r="O13" s="507">
        <v>180</v>
      </c>
    </row>
    <row r="14" spans="1:15" ht="15.75" thickBot="1" x14ac:dyDescent="0.3">
      <c r="A14" s="735" t="s">
        <v>375</v>
      </c>
      <c r="B14" s="723"/>
      <c r="C14" s="724"/>
      <c r="E14" s="735" t="s">
        <v>375</v>
      </c>
      <c r="F14" s="723"/>
      <c r="G14" s="724"/>
      <c r="I14" s="735" t="s">
        <v>375</v>
      </c>
      <c r="J14" s="723"/>
      <c r="K14" s="724"/>
      <c r="M14" s="505">
        <v>312</v>
      </c>
      <c r="N14" s="506" t="s">
        <v>402</v>
      </c>
      <c r="O14" s="507">
        <f>600-600</f>
        <v>0</v>
      </c>
    </row>
    <row r="15" spans="1:15" ht="15.75" thickBot="1" x14ac:dyDescent="0.3">
      <c r="A15" s="718" t="s">
        <v>154</v>
      </c>
      <c r="B15" s="725"/>
      <c r="C15" s="508">
        <f>SUM(C16:C17)</f>
        <v>0</v>
      </c>
      <c r="E15" s="718" t="s">
        <v>154</v>
      </c>
      <c r="F15" s="725"/>
      <c r="G15" s="508">
        <f>SUM(G16:G17)</f>
        <v>0</v>
      </c>
      <c r="I15" s="718" t="s">
        <v>154</v>
      </c>
      <c r="J15" s="725"/>
      <c r="K15" s="508">
        <f>SUM(K16:K17)</f>
        <v>0</v>
      </c>
      <c r="M15" s="505">
        <v>312</v>
      </c>
      <c r="N15" s="506" t="s">
        <v>401</v>
      </c>
      <c r="O15" s="507">
        <v>400</v>
      </c>
    </row>
    <row r="16" spans="1:15" x14ac:dyDescent="0.25">
      <c r="A16" s="509"/>
      <c r="B16" s="510"/>
      <c r="C16" s="511"/>
      <c r="E16" s="509"/>
      <c r="F16" s="510"/>
      <c r="G16" s="511"/>
      <c r="I16" s="509"/>
      <c r="J16" s="510"/>
      <c r="K16" s="511"/>
      <c r="M16" s="505">
        <v>312</v>
      </c>
      <c r="N16" s="506" t="s">
        <v>405</v>
      </c>
      <c r="O16" s="507">
        <v>90</v>
      </c>
    </row>
    <row r="17" spans="1:15" x14ac:dyDescent="0.25">
      <c r="A17" s="509"/>
      <c r="B17" s="510"/>
      <c r="C17" s="511"/>
      <c r="E17" s="509"/>
      <c r="F17" s="510"/>
      <c r="G17" s="511"/>
      <c r="I17" s="509"/>
      <c r="J17" s="510"/>
      <c r="K17" s="511"/>
      <c r="M17" s="505">
        <v>312</v>
      </c>
      <c r="N17" s="506" t="s">
        <v>456</v>
      </c>
      <c r="O17" s="507">
        <v>210</v>
      </c>
    </row>
    <row r="18" spans="1:15" ht="15.75" thickBot="1" x14ac:dyDescent="0.3">
      <c r="A18" s="726"/>
      <c r="B18" s="727"/>
      <c r="C18" s="728"/>
      <c r="E18" s="726"/>
      <c r="F18" s="727"/>
      <c r="G18" s="728"/>
      <c r="I18" s="726"/>
      <c r="J18" s="727"/>
      <c r="K18" s="728"/>
      <c r="M18" s="505">
        <v>312</v>
      </c>
      <c r="N18" s="506" t="s">
        <v>406</v>
      </c>
      <c r="O18" s="507">
        <v>7573</v>
      </c>
    </row>
    <row r="19" spans="1:15" ht="15.75" thickBot="1" x14ac:dyDescent="0.3">
      <c r="A19" s="720" t="s">
        <v>162</v>
      </c>
      <c r="B19" s="729"/>
      <c r="C19" s="512">
        <f>SUM(C20:C21)</f>
        <v>0</v>
      </c>
      <c r="E19" s="720" t="s">
        <v>162</v>
      </c>
      <c r="F19" s="729"/>
      <c r="G19" s="512">
        <f>SUM(G20:G21)</f>
        <v>0</v>
      </c>
      <c r="I19" s="720" t="s">
        <v>162</v>
      </c>
      <c r="J19" s="729"/>
      <c r="K19" s="512">
        <f>SUM(K20:K21)</f>
        <v>0</v>
      </c>
      <c r="M19" s="505">
        <v>312</v>
      </c>
      <c r="N19" s="506" t="s">
        <v>408</v>
      </c>
      <c r="O19" s="507">
        <v>46733</v>
      </c>
    </row>
    <row r="20" spans="1:15" ht="15.75" thickBot="1" x14ac:dyDescent="0.3">
      <c r="A20" s="541"/>
      <c r="B20" s="555"/>
      <c r="C20" s="556"/>
      <c r="E20" s="541"/>
      <c r="F20" s="555"/>
      <c r="G20" s="556"/>
      <c r="I20" s="541"/>
      <c r="J20" s="555"/>
      <c r="K20" s="556"/>
      <c r="M20" s="735" t="s">
        <v>375</v>
      </c>
      <c r="N20" s="723"/>
      <c r="O20" s="724"/>
    </row>
    <row r="21" spans="1:15" ht="15.75" thickBot="1" x14ac:dyDescent="0.3">
      <c r="A21" s="557"/>
      <c r="B21" s="517"/>
      <c r="C21" s="558"/>
      <c r="E21" s="557"/>
      <c r="F21" s="517"/>
      <c r="G21" s="558"/>
      <c r="I21" s="557"/>
      <c r="J21" s="517"/>
      <c r="K21" s="558"/>
      <c r="M21" s="718" t="s">
        <v>154</v>
      </c>
      <c r="N21" s="725"/>
      <c r="O21" s="508">
        <f>SUM(O22:O23)</f>
        <v>0</v>
      </c>
    </row>
    <row r="22" spans="1:15" ht="15.75" thickBot="1" x14ac:dyDescent="0.3">
      <c r="A22" s="710" t="s">
        <v>380</v>
      </c>
      <c r="B22" s="711"/>
      <c r="C22" s="519">
        <f>C7+C15+C19</f>
        <v>0</v>
      </c>
      <c r="E22" s="710" t="s">
        <v>380</v>
      </c>
      <c r="F22" s="711"/>
      <c r="G22" s="519">
        <f>G7+G15+G19</f>
        <v>3132</v>
      </c>
      <c r="I22" s="710" t="s">
        <v>380</v>
      </c>
      <c r="J22" s="711"/>
      <c r="K22" s="519">
        <f>K7+K15+K19</f>
        <v>52100</v>
      </c>
      <c r="M22" s="509"/>
      <c r="N22" s="510"/>
      <c r="O22" s="511"/>
    </row>
    <row r="23" spans="1:15" x14ac:dyDescent="0.25">
      <c r="A23" s="520" t="s">
        <v>54</v>
      </c>
      <c r="B23" s="521" t="s">
        <v>381</v>
      </c>
      <c r="C23" s="522"/>
      <c r="E23" s="520" t="s">
        <v>54</v>
      </c>
      <c r="F23" s="521" t="s">
        <v>381</v>
      </c>
      <c r="G23" s="522"/>
      <c r="I23" s="520" t="s">
        <v>54</v>
      </c>
      <c r="J23" s="521" t="s">
        <v>381</v>
      </c>
      <c r="K23" s="522"/>
      <c r="M23" s="509"/>
      <c r="N23" s="510"/>
      <c r="O23" s="511"/>
    </row>
    <row r="24" spans="1:15" ht="15.75" thickBot="1" x14ac:dyDescent="0.3">
      <c r="A24" s="407" t="s">
        <v>54</v>
      </c>
      <c r="B24" s="523" t="s">
        <v>391</v>
      </c>
      <c r="C24" s="524"/>
      <c r="E24" s="407" t="s">
        <v>54</v>
      </c>
      <c r="F24" s="523" t="s">
        <v>391</v>
      </c>
      <c r="G24" s="524"/>
      <c r="I24" s="407" t="s">
        <v>54</v>
      </c>
      <c r="J24" s="523" t="s">
        <v>391</v>
      </c>
      <c r="K24" s="524"/>
      <c r="M24" s="726"/>
      <c r="N24" s="727"/>
      <c r="O24" s="728"/>
    </row>
    <row r="25" spans="1:15" ht="15.75" thickBot="1" x14ac:dyDescent="0.3">
      <c r="A25" s="733" t="s">
        <v>392</v>
      </c>
      <c r="B25" s="734"/>
      <c r="C25" s="559">
        <f>SUM(C23:C24)</f>
        <v>0</v>
      </c>
      <c r="E25" s="733" t="s">
        <v>392</v>
      </c>
      <c r="F25" s="734"/>
      <c r="G25" s="559">
        <f>SUM(G23:G24)</f>
        <v>0</v>
      </c>
      <c r="I25" s="733" t="s">
        <v>392</v>
      </c>
      <c r="J25" s="734"/>
      <c r="K25" s="559">
        <f>SUM(K23:K24)</f>
        <v>0</v>
      </c>
      <c r="M25" s="720" t="s">
        <v>162</v>
      </c>
      <c r="N25" s="729"/>
      <c r="O25" s="512">
        <f>SUM(O26:O29)</f>
        <v>0</v>
      </c>
    </row>
    <row r="26" spans="1:15" ht="15.75" thickBot="1" x14ac:dyDescent="0.3">
      <c r="A26" s="712" t="s">
        <v>383</v>
      </c>
      <c r="B26" s="714"/>
      <c r="C26" s="525">
        <f>C22+C25</f>
        <v>0</v>
      </c>
      <c r="E26" s="712" t="s">
        <v>383</v>
      </c>
      <c r="F26" s="714"/>
      <c r="G26" s="525">
        <f>G22+G25</f>
        <v>3132</v>
      </c>
      <c r="I26" s="712" t="s">
        <v>383</v>
      </c>
      <c r="J26" s="714"/>
      <c r="K26" s="525">
        <f>K22+K25</f>
        <v>52100</v>
      </c>
      <c r="M26" s="541">
        <v>453</v>
      </c>
      <c r="N26" s="555" t="s">
        <v>409</v>
      </c>
      <c r="O26" s="556">
        <v>-400</v>
      </c>
    </row>
    <row r="27" spans="1:15" x14ac:dyDescent="0.25">
      <c r="B27" s="526"/>
      <c r="C27" s="310"/>
      <c r="F27" s="526"/>
      <c r="G27" s="310"/>
      <c r="J27" s="526"/>
      <c r="K27" s="310"/>
      <c r="M27" s="541">
        <v>453</v>
      </c>
      <c r="N27" s="555" t="s">
        <v>410</v>
      </c>
      <c r="O27" s="556">
        <v>400</v>
      </c>
    </row>
    <row r="28" spans="1:15" ht="15.75" thickBot="1" x14ac:dyDescent="0.3">
      <c r="A28" s="715" t="s">
        <v>384</v>
      </c>
      <c r="B28" s="715"/>
      <c r="C28" s="715"/>
      <c r="E28" s="715" t="s">
        <v>384</v>
      </c>
      <c r="F28" s="715"/>
      <c r="G28" s="715"/>
      <c r="I28" s="715" t="s">
        <v>384</v>
      </c>
      <c r="J28" s="715"/>
      <c r="K28" s="715"/>
      <c r="M28" s="541"/>
      <c r="N28" s="555"/>
      <c r="O28" s="556"/>
    </row>
    <row r="29" spans="1:15" ht="15.75" thickBot="1" x14ac:dyDescent="0.3">
      <c r="A29" s="527" t="s">
        <v>207</v>
      </c>
      <c r="B29" s="528" t="s">
        <v>385</v>
      </c>
      <c r="C29" s="529" t="s">
        <v>386</v>
      </c>
      <c r="E29" s="527" t="s">
        <v>207</v>
      </c>
      <c r="F29" s="528" t="s">
        <v>385</v>
      </c>
      <c r="G29" s="529" t="s">
        <v>386</v>
      </c>
      <c r="I29" s="527" t="s">
        <v>207</v>
      </c>
      <c r="J29" s="528" t="s">
        <v>385</v>
      </c>
      <c r="K29" s="529" t="s">
        <v>386</v>
      </c>
      <c r="M29" s="557"/>
      <c r="N29" s="517"/>
      <c r="O29" s="558"/>
    </row>
    <row r="30" spans="1:15" ht="15.75" thickBot="1" x14ac:dyDescent="0.3">
      <c r="A30" s="716" t="s">
        <v>379</v>
      </c>
      <c r="B30" s="717"/>
      <c r="C30" s="530">
        <f>SUM(C31:C44)</f>
        <v>0</v>
      </c>
      <c r="E30" s="716" t="s">
        <v>379</v>
      </c>
      <c r="F30" s="717"/>
      <c r="G30" s="530">
        <f>SUM(G31:G45)</f>
        <v>700</v>
      </c>
      <c r="I30" s="716" t="s">
        <v>379</v>
      </c>
      <c r="J30" s="717"/>
      <c r="K30" s="530">
        <f>SUM(K31:K44)</f>
        <v>52100</v>
      </c>
      <c r="M30" s="710" t="s">
        <v>380</v>
      </c>
      <c r="N30" s="711"/>
      <c r="O30" s="519">
        <f>O7+O21+O25</f>
        <v>57801</v>
      </c>
    </row>
    <row r="31" spans="1:15" x14ac:dyDescent="0.25">
      <c r="A31" s="531"/>
      <c r="B31" s="532"/>
      <c r="C31" s="507"/>
      <c r="E31" s="531" t="s">
        <v>64</v>
      </c>
      <c r="F31" s="532" t="s">
        <v>558</v>
      </c>
      <c r="G31" s="507">
        <f>100-100</f>
        <v>0</v>
      </c>
      <c r="I31" s="531" t="s">
        <v>78</v>
      </c>
      <c r="J31" s="532" t="s">
        <v>490</v>
      </c>
      <c r="K31" s="507">
        <f>48100-400</f>
        <v>47700</v>
      </c>
      <c r="M31" s="520" t="s">
        <v>54</v>
      </c>
      <c r="N31" s="521" t="s">
        <v>381</v>
      </c>
      <c r="O31" s="522"/>
    </row>
    <row r="32" spans="1:15" ht="15.75" thickBot="1" x14ac:dyDescent="0.3">
      <c r="A32" s="531"/>
      <c r="B32" s="532"/>
      <c r="C32" s="507"/>
      <c r="E32" s="531" t="s">
        <v>66</v>
      </c>
      <c r="F32" s="532" t="s">
        <v>548</v>
      </c>
      <c r="G32" s="507">
        <f>-45+45</f>
        <v>0</v>
      </c>
      <c r="I32" s="531" t="s">
        <v>84</v>
      </c>
      <c r="J32" s="532" t="s">
        <v>491</v>
      </c>
      <c r="K32" s="507">
        <f>901-901</f>
        <v>0</v>
      </c>
      <c r="M32" s="407" t="s">
        <v>54</v>
      </c>
      <c r="N32" s="523" t="s">
        <v>391</v>
      </c>
      <c r="O32" s="524"/>
    </row>
    <row r="33" spans="1:15" ht="15.75" thickBot="1" x14ac:dyDescent="0.3">
      <c r="A33" s="531"/>
      <c r="B33" s="532"/>
      <c r="C33" s="507"/>
      <c r="E33" s="531" t="s">
        <v>70</v>
      </c>
      <c r="F33" s="532" t="s">
        <v>550</v>
      </c>
      <c r="G33" s="507">
        <f>100-100</f>
        <v>0</v>
      </c>
      <c r="I33" s="531" t="s">
        <v>96</v>
      </c>
      <c r="J33" s="532" t="s">
        <v>505</v>
      </c>
      <c r="K33" s="507">
        <f>2400-2400</f>
        <v>0</v>
      </c>
      <c r="M33" s="733" t="s">
        <v>392</v>
      </c>
      <c r="N33" s="734"/>
      <c r="O33" s="559">
        <f>SUM(O31:O32)</f>
        <v>0</v>
      </c>
    </row>
    <row r="34" spans="1:15" ht="15.75" thickBot="1" x14ac:dyDescent="0.3">
      <c r="A34" s="531"/>
      <c r="B34" s="532"/>
      <c r="C34" s="507"/>
      <c r="E34" s="531" t="s">
        <v>80</v>
      </c>
      <c r="F34" s="532" t="s">
        <v>549</v>
      </c>
      <c r="G34" s="507">
        <f>200-200</f>
        <v>0</v>
      </c>
      <c r="I34" s="531" t="s">
        <v>98</v>
      </c>
      <c r="J34" s="532" t="s">
        <v>493</v>
      </c>
      <c r="K34" s="507">
        <f>-300+300</f>
        <v>0</v>
      </c>
      <c r="M34" s="712" t="s">
        <v>383</v>
      </c>
      <c r="N34" s="714"/>
      <c r="O34" s="525">
        <f>O30+O33</f>
        <v>57801</v>
      </c>
    </row>
    <row r="35" spans="1:15" x14ac:dyDescent="0.25">
      <c r="A35" s="531"/>
      <c r="B35" s="532"/>
      <c r="C35" s="507"/>
      <c r="E35" s="531" t="s">
        <v>84</v>
      </c>
      <c r="F35" s="532" t="s">
        <v>551</v>
      </c>
      <c r="G35" s="507">
        <f>-400+400</f>
        <v>0</v>
      </c>
      <c r="I35" s="531" t="s">
        <v>100</v>
      </c>
      <c r="J35" s="532" t="s">
        <v>494</v>
      </c>
      <c r="K35" s="507">
        <f>30-30</f>
        <v>0</v>
      </c>
      <c r="N35" s="526"/>
      <c r="O35" s="310"/>
    </row>
    <row r="36" spans="1:15" ht="15.75" thickBot="1" x14ac:dyDescent="0.3">
      <c r="A36" s="531"/>
      <c r="B36" s="532"/>
      <c r="C36" s="507"/>
      <c r="E36" s="531" t="s">
        <v>87</v>
      </c>
      <c r="F36" s="532" t="s">
        <v>537</v>
      </c>
      <c r="G36" s="507">
        <v>-900</v>
      </c>
      <c r="I36" s="531" t="s">
        <v>107</v>
      </c>
      <c r="J36" s="532" t="s">
        <v>489</v>
      </c>
      <c r="K36" s="507">
        <f>20-20</f>
        <v>0</v>
      </c>
      <c r="M36" s="715" t="s">
        <v>384</v>
      </c>
      <c r="N36" s="715"/>
      <c r="O36" s="715"/>
    </row>
    <row r="37" spans="1:15" ht="15.75" thickBot="1" x14ac:dyDescent="0.3">
      <c r="A37" s="531"/>
      <c r="B37" s="532"/>
      <c r="C37" s="507"/>
      <c r="E37" s="531" t="s">
        <v>112</v>
      </c>
      <c r="F37" s="532" t="s">
        <v>553</v>
      </c>
      <c r="G37" s="507">
        <f>81-81</f>
        <v>0</v>
      </c>
      <c r="I37" s="531" t="s">
        <v>112</v>
      </c>
      <c r="J37" s="532" t="s">
        <v>484</v>
      </c>
      <c r="K37" s="507">
        <f>-200+200</f>
        <v>0</v>
      </c>
      <c r="M37" s="527" t="s">
        <v>207</v>
      </c>
      <c r="N37" s="528" t="s">
        <v>385</v>
      </c>
      <c r="O37" s="529" t="s">
        <v>386</v>
      </c>
    </row>
    <row r="38" spans="1:15" ht="15.75" thickBot="1" x14ac:dyDescent="0.3">
      <c r="A38" s="531"/>
      <c r="B38" s="532"/>
      <c r="C38" s="507"/>
      <c r="E38" s="531" t="s">
        <v>121</v>
      </c>
      <c r="F38" s="532" t="s">
        <v>557</v>
      </c>
      <c r="G38" s="507">
        <f>120-120</f>
        <v>0</v>
      </c>
      <c r="I38" s="531" t="s">
        <v>112</v>
      </c>
      <c r="J38" s="532" t="s">
        <v>512</v>
      </c>
      <c r="K38" s="507">
        <f>3000-200+1000+200</f>
        <v>4000</v>
      </c>
      <c r="M38" s="716" t="s">
        <v>379</v>
      </c>
      <c r="N38" s="717"/>
      <c r="O38" s="530">
        <f>SUM(O39:O56)</f>
        <v>11068</v>
      </c>
    </row>
    <row r="39" spans="1:15" x14ac:dyDescent="0.25">
      <c r="A39" s="531"/>
      <c r="B39" s="532"/>
      <c r="C39" s="507"/>
      <c r="E39" s="531" t="s">
        <v>124</v>
      </c>
      <c r="F39" s="532" t="s">
        <v>568</v>
      </c>
      <c r="G39" s="507">
        <f>80-80</f>
        <v>0</v>
      </c>
      <c r="I39" s="531" t="s">
        <v>121</v>
      </c>
      <c r="J39" s="532" t="s">
        <v>492</v>
      </c>
      <c r="K39" s="507">
        <f>-160+160</f>
        <v>0</v>
      </c>
      <c r="M39" s="531" t="s">
        <v>70</v>
      </c>
      <c r="N39" s="532" t="s">
        <v>404</v>
      </c>
      <c r="O39" s="507">
        <f>400+30-30</f>
        <v>400</v>
      </c>
    </row>
    <row r="40" spans="1:15" x14ac:dyDescent="0.25">
      <c r="A40" s="531"/>
      <c r="B40" s="532"/>
      <c r="C40" s="507"/>
      <c r="E40" s="531" t="s">
        <v>129</v>
      </c>
      <c r="F40" s="532" t="s">
        <v>552</v>
      </c>
      <c r="G40" s="507">
        <f>500-500</f>
        <v>0</v>
      </c>
      <c r="I40" s="531" t="s">
        <v>124</v>
      </c>
      <c r="J40" s="532" t="s">
        <v>513</v>
      </c>
      <c r="K40" s="507">
        <v>400</v>
      </c>
      <c r="M40" s="531" t="s">
        <v>74</v>
      </c>
      <c r="N40" s="532" t="s">
        <v>449</v>
      </c>
      <c r="O40" s="507">
        <v>15</v>
      </c>
    </row>
    <row r="41" spans="1:15" x14ac:dyDescent="0.25">
      <c r="A41" s="531"/>
      <c r="B41" s="532"/>
      <c r="C41" s="507"/>
      <c r="E41" s="531" t="s">
        <v>136</v>
      </c>
      <c r="F41" s="532" t="s">
        <v>538</v>
      </c>
      <c r="G41" s="507">
        <f>700+900</f>
        <v>1600</v>
      </c>
      <c r="I41" s="531" t="s">
        <v>133</v>
      </c>
      <c r="J41" s="532" t="s">
        <v>495</v>
      </c>
      <c r="K41" s="507">
        <f>170-170</f>
        <v>0</v>
      </c>
      <c r="M41" s="531" t="s">
        <v>76</v>
      </c>
      <c r="N41" s="532" t="s">
        <v>447</v>
      </c>
      <c r="O41" s="507">
        <f>200+150-350</f>
        <v>0</v>
      </c>
    </row>
    <row r="42" spans="1:15" x14ac:dyDescent="0.25">
      <c r="A42" s="531"/>
      <c r="B42" s="532"/>
      <c r="C42" s="507"/>
      <c r="E42" s="531"/>
      <c r="F42" s="532"/>
      <c r="G42" s="507"/>
      <c r="I42" s="531"/>
      <c r="J42" s="532"/>
      <c r="K42" s="507"/>
      <c r="M42" s="531" t="s">
        <v>80</v>
      </c>
      <c r="N42" s="532" t="s">
        <v>414</v>
      </c>
      <c r="O42" s="507">
        <f>100+100-200</f>
        <v>0</v>
      </c>
    </row>
    <row r="43" spans="1:15" x14ac:dyDescent="0.25">
      <c r="A43" s="531"/>
      <c r="B43" s="532"/>
      <c r="C43" s="507"/>
      <c r="E43" s="531"/>
      <c r="F43" s="532"/>
      <c r="G43" s="507"/>
      <c r="I43" s="531"/>
      <c r="J43" s="532"/>
      <c r="K43" s="507"/>
      <c r="M43" s="531" t="s">
        <v>82</v>
      </c>
      <c r="N43" s="532" t="s">
        <v>476</v>
      </c>
      <c r="O43" s="507">
        <v>300</v>
      </c>
    </row>
    <row r="44" spans="1:15" ht="15.75" thickBot="1" x14ac:dyDescent="0.3">
      <c r="A44" s="533"/>
      <c r="B44" s="534"/>
      <c r="C44" s="535"/>
      <c r="E44" s="531"/>
      <c r="F44" s="532"/>
      <c r="G44" s="507"/>
      <c r="I44" s="533"/>
      <c r="J44" s="534"/>
      <c r="K44" s="535"/>
      <c r="M44" s="531" t="s">
        <v>84</v>
      </c>
      <c r="N44" s="532" t="s">
        <v>477</v>
      </c>
      <c r="O44" s="507">
        <f>-600+600</f>
        <v>0</v>
      </c>
    </row>
    <row r="45" spans="1:15" ht="15.75" thickBot="1" x14ac:dyDescent="0.3">
      <c r="A45" s="718" t="s">
        <v>154</v>
      </c>
      <c r="B45" s="719"/>
      <c r="C45" s="536">
        <f>SUM(C48:C48)</f>
        <v>0</v>
      </c>
      <c r="E45" s="533"/>
      <c r="F45" s="534"/>
      <c r="G45" s="535"/>
      <c r="I45" s="718" t="s">
        <v>154</v>
      </c>
      <c r="J45" s="719"/>
      <c r="K45" s="536">
        <f>SUM(K48:K48)</f>
        <v>0</v>
      </c>
      <c r="M45" s="531" t="s">
        <v>93</v>
      </c>
      <c r="N45" s="532" t="s">
        <v>478</v>
      </c>
      <c r="O45" s="507">
        <f>500-500</f>
        <v>0</v>
      </c>
    </row>
    <row r="46" spans="1:15" ht="15.75" thickBot="1" x14ac:dyDescent="0.3">
      <c r="A46" s="560"/>
      <c r="B46" s="561"/>
      <c r="C46" s="562"/>
      <c r="E46" s="718" t="s">
        <v>154</v>
      </c>
      <c r="F46" s="719"/>
      <c r="G46" s="536">
        <f>SUM(G49:G49)</f>
        <v>0</v>
      </c>
      <c r="I46" s="560"/>
      <c r="J46" s="561"/>
      <c r="K46" s="562"/>
      <c r="M46" s="531" t="s">
        <v>96</v>
      </c>
      <c r="N46" s="532" t="s">
        <v>483</v>
      </c>
      <c r="O46" s="507">
        <f>1900-1900</f>
        <v>0</v>
      </c>
    </row>
    <row r="47" spans="1:15" x14ac:dyDescent="0.25">
      <c r="A47" s="563"/>
      <c r="B47" s="538"/>
      <c r="C47" s="564"/>
      <c r="E47" s="560"/>
      <c r="F47" s="561"/>
      <c r="G47" s="562"/>
      <c r="I47" s="563"/>
      <c r="J47" s="538"/>
      <c r="K47" s="564"/>
      <c r="M47" s="531" t="s">
        <v>112</v>
      </c>
      <c r="N47" s="532" t="s">
        <v>484</v>
      </c>
      <c r="O47" s="507">
        <f>200-200</f>
        <v>0</v>
      </c>
    </row>
    <row r="48" spans="1:15" ht="15.75" thickBot="1" x14ac:dyDescent="0.3">
      <c r="A48" s="565"/>
      <c r="B48" s="566"/>
      <c r="C48" s="567"/>
      <c r="E48" s="563"/>
      <c r="F48" s="538"/>
      <c r="G48" s="564"/>
      <c r="I48" s="565"/>
      <c r="J48" s="566"/>
      <c r="K48" s="567"/>
      <c r="M48" s="531" t="s">
        <v>121</v>
      </c>
      <c r="N48" s="532" t="s">
        <v>407</v>
      </c>
      <c r="O48" s="507">
        <v>7573</v>
      </c>
    </row>
    <row r="49" spans="1:15" ht="15.75" thickBot="1" x14ac:dyDescent="0.3">
      <c r="A49" s="720" t="s">
        <v>162</v>
      </c>
      <c r="B49" s="721"/>
      <c r="C49" s="512">
        <f>C50</f>
        <v>0</v>
      </c>
      <c r="E49" s="565"/>
      <c r="F49" s="566"/>
      <c r="G49" s="567"/>
      <c r="I49" s="720" t="s">
        <v>162</v>
      </c>
      <c r="J49" s="721"/>
      <c r="K49" s="512">
        <f>K50</f>
        <v>0</v>
      </c>
      <c r="M49" s="531" t="s">
        <v>129</v>
      </c>
      <c r="N49" s="532" t="s">
        <v>399</v>
      </c>
      <c r="O49" s="507">
        <v>2600</v>
      </c>
    </row>
    <row r="50" spans="1:15" ht="15.75" thickBot="1" x14ac:dyDescent="0.3">
      <c r="A50" s="568"/>
      <c r="B50" s="569"/>
      <c r="C50" s="570"/>
      <c r="E50" s="720" t="s">
        <v>162</v>
      </c>
      <c r="F50" s="721"/>
      <c r="G50" s="512">
        <f>G51</f>
        <v>0</v>
      </c>
      <c r="I50" s="568"/>
      <c r="J50" s="569"/>
      <c r="K50" s="570"/>
      <c r="M50" s="531" t="s">
        <v>133</v>
      </c>
      <c r="N50" s="532" t="s">
        <v>411</v>
      </c>
      <c r="O50" s="507">
        <v>-400</v>
      </c>
    </row>
    <row r="51" spans="1:15" ht="15.75" thickBot="1" x14ac:dyDescent="0.3">
      <c r="A51" s="710" t="s">
        <v>380</v>
      </c>
      <c r="B51" s="711"/>
      <c r="C51" s="519">
        <f>C30+C45+C49</f>
        <v>0</v>
      </c>
      <c r="E51" s="568"/>
      <c r="F51" s="569"/>
      <c r="G51" s="570"/>
      <c r="I51" s="710" t="s">
        <v>380</v>
      </c>
      <c r="J51" s="711"/>
      <c r="K51" s="519">
        <f>K30+K45+K49</f>
        <v>52100</v>
      </c>
      <c r="M51" s="531" t="s">
        <v>133</v>
      </c>
      <c r="N51" s="532" t="s">
        <v>412</v>
      </c>
      <c r="O51" s="507">
        <v>400</v>
      </c>
    </row>
    <row r="52" spans="1:15" ht="15.75" thickBot="1" x14ac:dyDescent="0.3">
      <c r="A52" s="547" t="s">
        <v>54</v>
      </c>
      <c r="B52" s="548" t="s">
        <v>387</v>
      </c>
      <c r="C52" s="549"/>
      <c r="E52" s="710" t="s">
        <v>380</v>
      </c>
      <c r="F52" s="711"/>
      <c r="G52" s="519">
        <f>G30+G46+G50</f>
        <v>700</v>
      </c>
      <c r="I52" s="547" t="s">
        <v>54</v>
      </c>
      <c r="J52" s="548" t="s">
        <v>387</v>
      </c>
      <c r="K52" s="549"/>
      <c r="M52" s="531" t="s">
        <v>133</v>
      </c>
      <c r="N52" s="532" t="s">
        <v>413</v>
      </c>
      <c r="O52" s="507">
        <f>-1000+1000</f>
        <v>0</v>
      </c>
    </row>
    <row r="53" spans="1:15" ht="15.75" thickBot="1" x14ac:dyDescent="0.3">
      <c r="A53" s="550" t="s">
        <v>54</v>
      </c>
      <c r="B53" s="551" t="s">
        <v>393</v>
      </c>
      <c r="C53" s="552"/>
      <c r="E53" s="547" t="s">
        <v>54</v>
      </c>
      <c r="F53" s="548" t="s">
        <v>387</v>
      </c>
      <c r="G53" s="549"/>
      <c r="I53" s="550" t="s">
        <v>54</v>
      </c>
      <c r="J53" s="551" t="s">
        <v>393</v>
      </c>
      <c r="K53" s="552"/>
      <c r="M53" s="531" t="s">
        <v>134</v>
      </c>
      <c r="N53" s="532" t="s">
        <v>400</v>
      </c>
      <c r="O53" s="507">
        <v>180</v>
      </c>
    </row>
    <row r="54" spans="1:15" ht="15.75" thickBot="1" x14ac:dyDescent="0.3">
      <c r="A54" s="712" t="s">
        <v>383</v>
      </c>
      <c r="B54" s="713"/>
      <c r="C54" s="525">
        <f>SUM(C51:C53)</f>
        <v>0</v>
      </c>
      <c r="E54" s="550" t="s">
        <v>54</v>
      </c>
      <c r="F54" s="551" t="s">
        <v>393</v>
      </c>
      <c r="G54" s="552">
        <f>-196-150+2778</f>
        <v>2432</v>
      </c>
      <c r="I54" s="712" t="s">
        <v>383</v>
      </c>
      <c r="J54" s="713"/>
      <c r="K54" s="525">
        <f>SUM(K51:K53)</f>
        <v>52100</v>
      </c>
      <c r="M54" s="531" t="s">
        <v>136</v>
      </c>
      <c r="N54" s="532" t="s">
        <v>479</v>
      </c>
      <c r="O54" s="507">
        <f>300-300</f>
        <v>0</v>
      </c>
    </row>
    <row r="55" spans="1:15" ht="15.75" thickBot="1" x14ac:dyDescent="0.3">
      <c r="B55" s="553" t="s">
        <v>389</v>
      </c>
      <c r="C55" s="310">
        <f>C54-C26</f>
        <v>0</v>
      </c>
      <c r="E55" s="712" t="s">
        <v>383</v>
      </c>
      <c r="F55" s="713"/>
      <c r="G55" s="525">
        <f>SUM(G52:G54)</f>
        <v>3132</v>
      </c>
      <c r="J55" s="553" t="s">
        <v>389</v>
      </c>
      <c r="K55" s="310">
        <f>K54-K26</f>
        <v>0</v>
      </c>
      <c r="M55" s="531"/>
      <c r="N55" s="532"/>
      <c r="O55" s="507"/>
    </row>
    <row r="56" spans="1:15" ht="15.75" thickBot="1" x14ac:dyDescent="0.3">
      <c r="F56" s="553" t="s">
        <v>389</v>
      </c>
      <c r="G56" s="310">
        <f>G55-G26</f>
        <v>0</v>
      </c>
      <c r="M56" s="533"/>
      <c r="N56" s="534"/>
      <c r="O56" s="535"/>
    </row>
    <row r="57" spans="1:15" ht="15.75" thickBot="1" x14ac:dyDescent="0.3">
      <c r="M57" s="718" t="s">
        <v>154</v>
      </c>
      <c r="N57" s="719"/>
      <c r="O57" s="536">
        <f>SUM(O60:O60)</f>
        <v>0</v>
      </c>
    </row>
    <row r="58" spans="1:15" x14ac:dyDescent="0.25">
      <c r="A58" s="554" t="s">
        <v>556</v>
      </c>
      <c r="I58" s="554" t="s">
        <v>497</v>
      </c>
      <c r="M58" s="560"/>
      <c r="N58" s="561"/>
      <c r="O58" s="562"/>
    </row>
    <row r="59" spans="1:15" x14ac:dyDescent="0.25">
      <c r="A59" t="s">
        <v>390</v>
      </c>
      <c r="E59" s="554" t="s">
        <v>554</v>
      </c>
      <c r="I59" t="s">
        <v>390</v>
      </c>
      <c r="M59" s="563"/>
      <c r="N59" s="538"/>
      <c r="O59" s="564"/>
    </row>
    <row r="60" spans="1:15" ht="15.75" thickBot="1" x14ac:dyDescent="0.3">
      <c r="A60" t="s">
        <v>394</v>
      </c>
      <c r="E60" t="s">
        <v>390</v>
      </c>
      <c r="I60" t="s">
        <v>394</v>
      </c>
      <c r="M60" s="565"/>
      <c r="N60" s="566"/>
      <c r="O60" s="567"/>
    </row>
    <row r="61" spans="1:15" ht="15.75" thickBot="1" x14ac:dyDescent="0.3">
      <c r="E61" t="s">
        <v>394</v>
      </c>
      <c r="M61" s="720" t="s">
        <v>162</v>
      </c>
      <c r="N61" s="721"/>
      <c r="O61" s="512">
        <f>O62</f>
        <v>0</v>
      </c>
    </row>
    <row r="62" spans="1:15" ht="15.75" thickBot="1" x14ac:dyDescent="0.3">
      <c r="M62" s="568"/>
      <c r="N62" s="569"/>
      <c r="O62" s="570"/>
    </row>
    <row r="63" spans="1:15" ht="15.75" thickBot="1" x14ac:dyDescent="0.3">
      <c r="M63" s="710" t="s">
        <v>380</v>
      </c>
      <c r="N63" s="711"/>
      <c r="O63" s="519">
        <f>O38+O57+O61</f>
        <v>11068</v>
      </c>
    </row>
    <row r="64" spans="1:15" x14ac:dyDescent="0.25">
      <c r="M64" s="547" t="s">
        <v>54</v>
      </c>
      <c r="N64" s="548" t="s">
        <v>387</v>
      </c>
      <c r="O64" s="549"/>
    </row>
    <row r="65" spans="13:15" ht="15.75" thickBot="1" x14ac:dyDescent="0.3">
      <c r="M65" s="550" t="s">
        <v>54</v>
      </c>
      <c r="N65" s="551" t="s">
        <v>393</v>
      </c>
      <c r="O65" s="552">
        <v>46733</v>
      </c>
    </row>
    <row r="66" spans="13:15" ht="15.75" thickBot="1" x14ac:dyDescent="0.3">
      <c r="M66" s="712" t="s">
        <v>383</v>
      </c>
      <c r="N66" s="713"/>
      <c r="O66" s="525">
        <f>SUM(O63:O65)</f>
        <v>57801</v>
      </c>
    </row>
    <row r="67" spans="13:15" x14ac:dyDescent="0.25">
      <c r="N67" s="553" t="s">
        <v>389</v>
      </c>
      <c r="O67" s="310">
        <f>O66-O34</f>
        <v>0</v>
      </c>
    </row>
    <row r="70" spans="13:15" x14ac:dyDescent="0.25">
      <c r="M70" s="554" t="s">
        <v>452</v>
      </c>
    </row>
    <row r="71" spans="13:15" x14ac:dyDescent="0.25">
      <c r="M71" t="s">
        <v>390</v>
      </c>
    </row>
    <row r="72" spans="13:15" x14ac:dyDescent="0.25">
      <c r="M72" t="s">
        <v>394</v>
      </c>
    </row>
  </sheetData>
  <sortState ref="E31:G41">
    <sortCondition ref="E31"/>
  </sortState>
  <mergeCells count="72">
    <mergeCell ref="E50:F50"/>
    <mergeCell ref="E52:F52"/>
    <mergeCell ref="E55:F55"/>
    <mergeCell ref="E25:F25"/>
    <mergeCell ref="E26:F26"/>
    <mergeCell ref="E28:G28"/>
    <mergeCell ref="E30:F30"/>
    <mergeCell ref="E46:F46"/>
    <mergeCell ref="E14:G14"/>
    <mergeCell ref="E15:F15"/>
    <mergeCell ref="E18:G18"/>
    <mergeCell ref="E19:F19"/>
    <mergeCell ref="E22:F22"/>
    <mergeCell ref="E1:G1"/>
    <mergeCell ref="E2:G2"/>
    <mergeCell ref="E3:G3"/>
    <mergeCell ref="E5:G5"/>
    <mergeCell ref="E7:F7"/>
    <mergeCell ref="I14:K14"/>
    <mergeCell ref="I1:K1"/>
    <mergeCell ref="I2:K2"/>
    <mergeCell ref="I3:K3"/>
    <mergeCell ref="I5:K5"/>
    <mergeCell ref="I7:J7"/>
    <mergeCell ref="I54:J54"/>
    <mergeCell ref="I15:J15"/>
    <mergeCell ref="I18:K18"/>
    <mergeCell ref="I19:J19"/>
    <mergeCell ref="I22:J22"/>
    <mergeCell ref="I25:J25"/>
    <mergeCell ref="I26:J26"/>
    <mergeCell ref="I28:K28"/>
    <mergeCell ref="I30:J30"/>
    <mergeCell ref="I45:J45"/>
    <mergeCell ref="I49:J49"/>
    <mergeCell ref="I51:J51"/>
    <mergeCell ref="M1:O1"/>
    <mergeCell ref="M2:O2"/>
    <mergeCell ref="M3:O3"/>
    <mergeCell ref="M5:O5"/>
    <mergeCell ref="M7:N7"/>
    <mergeCell ref="M20:O20"/>
    <mergeCell ref="M21:N21"/>
    <mergeCell ref="M24:O24"/>
    <mergeCell ref="M25:N25"/>
    <mergeCell ref="M30:N30"/>
    <mergeCell ref="M61:N61"/>
    <mergeCell ref="M63:N63"/>
    <mergeCell ref="M66:N66"/>
    <mergeCell ref="M33:N33"/>
    <mergeCell ref="M34:N34"/>
    <mergeCell ref="M36:O36"/>
    <mergeCell ref="M38:N38"/>
    <mergeCell ref="M57:N57"/>
    <mergeCell ref="A1:C1"/>
    <mergeCell ref="A2:C2"/>
    <mergeCell ref="A3:C3"/>
    <mergeCell ref="A5:C5"/>
    <mergeCell ref="A7:B7"/>
    <mergeCell ref="A14:C14"/>
    <mergeCell ref="A15:B15"/>
    <mergeCell ref="A18:C18"/>
    <mergeCell ref="A19:B19"/>
    <mergeCell ref="A22:B22"/>
    <mergeCell ref="A49:B49"/>
    <mergeCell ref="A51:B51"/>
    <mergeCell ref="A54:B54"/>
    <mergeCell ref="A25:B25"/>
    <mergeCell ref="A26:B26"/>
    <mergeCell ref="A28:C28"/>
    <mergeCell ref="A30:B30"/>
    <mergeCell ref="A45:B45"/>
  </mergeCells>
  <pageMargins left="0.7" right="0.7" top="0.75" bottom="0.75" header="0.3" footer="0.3"/>
  <pageSetup paperSize="9" scale="3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2"/>
  <sheetViews>
    <sheetView workbookViewId="0">
      <selection sqref="A1:H1"/>
    </sheetView>
  </sheetViews>
  <sheetFormatPr defaultRowHeight="15" x14ac:dyDescent="0.25"/>
  <cols>
    <col min="2" max="2" width="46.85546875" customWidth="1"/>
    <col min="3" max="3" width="11.28515625" customWidth="1"/>
    <col min="4" max="5" width="11.140625" customWidth="1"/>
    <col min="6" max="6" width="10.85546875" customWidth="1"/>
    <col min="9" max="9" width="11.7109375" customWidth="1"/>
    <col min="12" max="12" width="64" customWidth="1"/>
    <col min="13" max="13" width="11.42578125" customWidth="1"/>
    <col min="14" max="14" width="12.140625" customWidth="1"/>
  </cols>
  <sheetData>
    <row r="1" spans="1:14" ht="18" x14ac:dyDescent="0.25">
      <c r="A1" s="736" t="s">
        <v>305</v>
      </c>
      <c r="B1" s="736"/>
      <c r="C1" s="736"/>
      <c r="D1" s="736"/>
      <c r="E1" s="736"/>
      <c r="F1" s="736"/>
      <c r="G1" s="736"/>
      <c r="H1" s="736"/>
    </row>
    <row r="2" spans="1:14" ht="15.75" thickBot="1" x14ac:dyDescent="0.3">
      <c r="A2" s="312"/>
      <c r="B2" s="312"/>
      <c r="C2" s="312"/>
      <c r="D2" s="312"/>
      <c r="E2" s="312"/>
      <c r="F2" s="312"/>
      <c r="G2" s="312"/>
      <c r="H2" s="312"/>
      <c r="I2" s="312"/>
    </row>
    <row r="3" spans="1:14" ht="60.75" thickBot="1" x14ac:dyDescent="0.3">
      <c r="A3" s="313" t="s">
        <v>207</v>
      </c>
      <c r="B3" s="313" t="s">
        <v>208</v>
      </c>
      <c r="C3" s="314" t="s">
        <v>209</v>
      </c>
      <c r="D3" s="314" t="s">
        <v>229</v>
      </c>
      <c r="E3" s="314" t="s">
        <v>238</v>
      </c>
      <c r="F3" s="314" t="s">
        <v>210</v>
      </c>
      <c r="G3" s="314" t="s">
        <v>226</v>
      </c>
      <c r="H3" s="314" t="s">
        <v>351</v>
      </c>
      <c r="I3" s="315" t="s">
        <v>211</v>
      </c>
      <c r="L3" s="737" t="s">
        <v>212</v>
      </c>
      <c r="M3" s="738"/>
      <c r="N3" s="739"/>
    </row>
    <row r="4" spans="1:14" ht="16.5" thickBot="1" x14ac:dyDescent="0.3">
      <c r="A4" s="316" t="s">
        <v>82</v>
      </c>
      <c r="B4" s="317" t="s">
        <v>159</v>
      </c>
      <c r="C4" s="195">
        <v>1500</v>
      </c>
      <c r="D4" s="195"/>
      <c r="E4" s="195"/>
      <c r="F4" s="195">
        <v>1500</v>
      </c>
      <c r="G4" s="195"/>
      <c r="H4" s="195"/>
      <c r="I4" s="318">
        <f t="shared" ref="I4:I10" si="0">SUM(D4:H4)</f>
        <v>1500</v>
      </c>
      <c r="J4" s="319">
        <f t="shared" ref="J4:J10" si="1">C4-I4</f>
        <v>0</v>
      </c>
      <c r="L4" s="320" t="s">
        <v>213</v>
      </c>
      <c r="M4" s="321" t="s">
        <v>214</v>
      </c>
      <c r="N4" s="322" t="s">
        <v>215</v>
      </c>
    </row>
    <row r="5" spans="1:14" ht="15.75" x14ac:dyDescent="0.25">
      <c r="A5" s="330" t="s">
        <v>87</v>
      </c>
      <c r="B5" s="753" t="s">
        <v>528</v>
      </c>
      <c r="C5" s="198">
        <f>191000+15300-52700</f>
        <v>153600</v>
      </c>
      <c r="D5" s="198">
        <f>191000-52700</f>
        <v>138300</v>
      </c>
      <c r="E5" s="198"/>
      <c r="F5" s="198">
        <f>15300</f>
        <v>15300</v>
      </c>
      <c r="G5" s="198"/>
      <c r="H5" s="198"/>
      <c r="I5" s="318">
        <f t="shared" si="0"/>
        <v>153600</v>
      </c>
      <c r="J5" s="319">
        <f t="shared" si="1"/>
        <v>0</v>
      </c>
      <c r="L5" s="324" t="s">
        <v>239</v>
      </c>
      <c r="M5" s="325">
        <v>500</v>
      </c>
      <c r="N5" s="365"/>
    </row>
    <row r="6" spans="1:14" ht="16.5" thickBot="1" x14ac:dyDescent="0.3">
      <c r="A6" s="331" t="s">
        <v>89</v>
      </c>
      <c r="B6" s="661" t="s">
        <v>334</v>
      </c>
      <c r="C6" s="192">
        <f>390000-20000</f>
        <v>370000</v>
      </c>
      <c r="D6" s="192">
        <f>300000</f>
        <v>300000</v>
      </c>
      <c r="E6" s="192"/>
      <c r="F6" s="192">
        <f>20000-20000</f>
        <v>0</v>
      </c>
      <c r="G6" s="332"/>
      <c r="H6" s="332">
        <v>70000</v>
      </c>
      <c r="I6" s="333">
        <f t="shared" si="0"/>
        <v>370000</v>
      </c>
      <c r="J6" s="319">
        <f t="shared" si="1"/>
        <v>0</v>
      </c>
      <c r="K6" s="310"/>
      <c r="L6" s="328" t="s">
        <v>240</v>
      </c>
      <c r="M6" s="325">
        <v>1000</v>
      </c>
      <c r="N6" s="365"/>
    </row>
    <row r="7" spans="1:14" ht="15.75" x14ac:dyDescent="0.25">
      <c r="A7" s="663" t="s">
        <v>160</v>
      </c>
      <c r="B7" s="756" t="s">
        <v>161</v>
      </c>
      <c r="C7" s="622">
        <f>25000-8000</f>
        <v>17000</v>
      </c>
      <c r="D7" s="198"/>
      <c r="E7" s="198">
        <v>5000</v>
      </c>
      <c r="F7" s="622">
        <f>20000-8000</f>
        <v>12000</v>
      </c>
      <c r="G7" s="198"/>
      <c r="H7" s="198"/>
      <c r="I7" s="318">
        <f t="shared" si="0"/>
        <v>17000</v>
      </c>
      <c r="J7" s="319">
        <f t="shared" si="1"/>
        <v>0</v>
      </c>
      <c r="L7" s="324" t="s">
        <v>522</v>
      </c>
      <c r="M7" s="325">
        <v>5000</v>
      </c>
      <c r="N7" s="365"/>
    </row>
    <row r="8" spans="1:14" ht="15.75" x14ac:dyDescent="0.25">
      <c r="A8" s="335" t="s">
        <v>160</v>
      </c>
      <c r="B8" s="336" t="s">
        <v>216</v>
      </c>
      <c r="C8" s="311">
        <v>30000</v>
      </c>
      <c r="D8" s="311"/>
      <c r="E8" s="311"/>
      <c r="F8" s="311">
        <v>30000</v>
      </c>
      <c r="G8" s="311"/>
      <c r="H8" s="311"/>
      <c r="I8" s="329">
        <f t="shared" si="0"/>
        <v>30000</v>
      </c>
      <c r="J8" s="319">
        <f t="shared" si="1"/>
        <v>0</v>
      </c>
      <c r="L8" s="328" t="s">
        <v>241</v>
      </c>
      <c r="M8" s="334">
        <f>5000-2000</f>
        <v>3000</v>
      </c>
      <c r="N8" s="366"/>
    </row>
    <row r="9" spans="1:14" ht="15.75" x14ac:dyDescent="0.25">
      <c r="A9" s="323" t="s">
        <v>96</v>
      </c>
      <c r="B9" s="338" t="s">
        <v>242</v>
      </c>
      <c r="C9" s="191">
        <v>10000</v>
      </c>
      <c r="D9" s="191"/>
      <c r="E9" s="191"/>
      <c r="F9" s="191">
        <v>10000</v>
      </c>
      <c r="G9" s="191"/>
      <c r="H9" s="191"/>
      <c r="I9" s="329">
        <f t="shared" si="0"/>
        <v>10000</v>
      </c>
      <c r="J9" s="319">
        <f t="shared" si="1"/>
        <v>0</v>
      </c>
      <c r="L9" s="328" t="s">
        <v>217</v>
      </c>
      <c r="M9" s="334">
        <v>3000</v>
      </c>
      <c r="N9" s="366"/>
    </row>
    <row r="10" spans="1:14" ht="15.75" x14ac:dyDescent="0.25">
      <c r="A10" s="323" t="s">
        <v>96</v>
      </c>
      <c r="B10" s="338" t="s">
        <v>529</v>
      </c>
      <c r="C10" s="191">
        <f>100000-50000</f>
        <v>50000</v>
      </c>
      <c r="D10" s="191"/>
      <c r="E10" s="191"/>
      <c r="F10" s="191">
        <f>100000-50000</f>
        <v>50000</v>
      </c>
      <c r="G10" s="191"/>
      <c r="H10" s="191"/>
      <c r="I10" s="329">
        <f t="shared" si="0"/>
        <v>50000</v>
      </c>
      <c r="J10" s="367">
        <f t="shared" si="1"/>
        <v>0</v>
      </c>
      <c r="K10" s="310"/>
      <c r="L10" s="328" t="s">
        <v>465</v>
      </c>
      <c r="M10" s="334">
        <v>2000</v>
      </c>
      <c r="N10" s="366"/>
    </row>
    <row r="11" spans="1:14" ht="15.75" x14ac:dyDescent="0.25">
      <c r="A11" s="754" t="s">
        <v>356</v>
      </c>
      <c r="B11" s="628" t="s">
        <v>342</v>
      </c>
      <c r="C11" s="629">
        <f>218000-15000-32000</f>
        <v>171000</v>
      </c>
      <c r="D11" s="639">
        <f>178000-32000</f>
        <v>146000</v>
      </c>
      <c r="E11" s="195"/>
      <c r="F11" s="639">
        <f>40000-15000</f>
        <v>25000</v>
      </c>
      <c r="G11" s="195"/>
      <c r="H11" s="195"/>
      <c r="I11" s="318">
        <f>SUM(D11:H11)</f>
        <v>171000</v>
      </c>
      <c r="J11" s="319">
        <f>C11-I11</f>
        <v>0</v>
      </c>
      <c r="L11" s="328" t="s">
        <v>225</v>
      </c>
      <c r="M11" s="334">
        <v>1000</v>
      </c>
      <c r="N11" s="368"/>
    </row>
    <row r="12" spans="1:14" ht="16.5" thickBot="1" x14ac:dyDescent="0.3">
      <c r="A12" s="331" t="s">
        <v>98</v>
      </c>
      <c r="B12" s="465" t="s">
        <v>336</v>
      </c>
      <c r="C12" s="192">
        <v>85000</v>
      </c>
      <c r="D12" s="192">
        <v>79700</v>
      </c>
      <c r="E12" s="192"/>
      <c r="F12" s="192">
        <v>5300</v>
      </c>
      <c r="G12" s="192"/>
      <c r="H12" s="192"/>
      <c r="I12" s="333">
        <f t="shared" ref="I12:I16" si="2">SUM(D12:H12)</f>
        <v>85000</v>
      </c>
      <c r="J12" s="319">
        <f t="shared" ref="J12:J23" si="3">C12-I12</f>
        <v>0</v>
      </c>
      <c r="K12" s="310">
        <f>SUM(C7:C12)</f>
        <v>363000</v>
      </c>
      <c r="L12" s="328" t="s">
        <v>218</v>
      </c>
      <c r="M12" s="334">
        <v>1000</v>
      </c>
      <c r="N12" s="369"/>
    </row>
    <row r="13" spans="1:14" ht="15.75" x14ac:dyDescent="0.25">
      <c r="A13" s="326" t="s">
        <v>110</v>
      </c>
      <c r="B13" s="466" t="s">
        <v>335</v>
      </c>
      <c r="C13" s="189">
        <v>202000</v>
      </c>
      <c r="D13" s="189">
        <f>105400+35350</f>
        <v>140750</v>
      </c>
      <c r="E13" s="189"/>
      <c r="F13" s="189">
        <v>61250</v>
      </c>
      <c r="G13" s="189"/>
      <c r="H13" s="189"/>
      <c r="I13" s="327">
        <f t="shared" si="2"/>
        <v>202000</v>
      </c>
      <c r="J13" s="319">
        <f t="shared" si="3"/>
        <v>0</v>
      </c>
      <c r="L13" s="370" t="s">
        <v>243</v>
      </c>
      <c r="M13" s="371">
        <v>1500</v>
      </c>
      <c r="N13" s="372"/>
    </row>
    <row r="14" spans="1:14" ht="15.75" x14ac:dyDescent="0.25">
      <c r="A14" s="316" t="s">
        <v>112</v>
      </c>
      <c r="B14" s="202" t="s">
        <v>221</v>
      </c>
      <c r="C14" s="195">
        <f>200000</f>
        <v>200000</v>
      </c>
      <c r="D14" s="195">
        <v>190000</v>
      </c>
      <c r="E14" s="195"/>
      <c r="F14" s="195">
        <v>10000</v>
      </c>
      <c r="G14" s="195"/>
      <c r="H14" s="195"/>
      <c r="I14" s="318">
        <f t="shared" si="2"/>
        <v>200000</v>
      </c>
      <c r="J14" s="319">
        <f t="shared" si="3"/>
        <v>0</v>
      </c>
      <c r="L14" s="370" t="s">
        <v>462</v>
      </c>
      <c r="M14" s="371">
        <v>12000</v>
      </c>
      <c r="N14" s="372"/>
    </row>
    <row r="15" spans="1:14" ht="16.5" thickBot="1" x14ac:dyDescent="0.3">
      <c r="A15" s="755" t="s">
        <v>112</v>
      </c>
      <c r="B15" s="630" t="s">
        <v>191</v>
      </c>
      <c r="C15" s="631">
        <f>100000+886-50000+323640+8000</f>
        <v>382526</v>
      </c>
      <c r="D15" s="631">
        <v>323640</v>
      </c>
      <c r="E15" s="199">
        <f>886</f>
        <v>886</v>
      </c>
      <c r="F15" s="627">
        <f>100000-50000+8000</f>
        <v>58000</v>
      </c>
      <c r="G15" s="191"/>
      <c r="H15" s="191"/>
      <c r="I15" s="329">
        <f t="shared" si="2"/>
        <v>382526</v>
      </c>
      <c r="J15" s="319">
        <f t="shared" si="3"/>
        <v>0</v>
      </c>
      <c r="K15" s="310">
        <f>SUM(C13:C15)</f>
        <v>784526</v>
      </c>
      <c r="L15" s="353" t="s">
        <v>219</v>
      </c>
      <c r="M15" s="354">
        <f>12000-12000</f>
        <v>0</v>
      </c>
      <c r="N15" s="373"/>
    </row>
    <row r="16" spans="1:14" ht="16.5" thickBot="1" x14ac:dyDescent="0.3">
      <c r="A16" s="326" t="s">
        <v>121</v>
      </c>
      <c r="B16" s="470" t="s">
        <v>244</v>
      </c>
      <c r="C16" s="189">
        <f>494700+91310+70000</f>
        <v>656010</v>
      </c>
      <c r="D16" s="189">
        <f>434700+91310</f>
        <v>526010</v>
      </c>
      <c r="E16" s="189"/>
      <c r="F16" s="189">
        <f>60000+70000</f>
        <v>130000</v>
      </c>
      <c r="G16" s="189"/>
      <c r="H16" s="189"/>
      <c r="I16" s="327">
        <f t="shared" si="2"/>
        <v>656010</v>
      </c>
      <c r="J16" s="319">
        <f t="shared" si="3"/>
        <v>0</v>
      </c>
      <c r="L16" s="355" t="s">
        <v>220</v>
      </c>
      <c r="M16" s="356">
        <f>SUM(M5:M15)</f>
        <v>30000</v>
      </c>
      <c r="N16" s="357"/>
    </row>
    <row r="17" spans="1:11" x14ac:dyDescent="0.25">
      <c r="A17" s="323" t="s">
        <v>123</v>
      </c>
      <c r="B17" s="473" t="s">
        <v>343</v>
      </c>
      <c r="C17" s="191">
        <v>0</v>
      </c>
      <c r="D17" s="191"/>
      <c r="E17" s="191"/>
      <c r="F17" s="191">
        <v>0</v>
      </c>
      <c r="G17" s="191"/>
      <c r="H17" s="191"/>
      <c r="I17" s="329">
        <f t="shared" ref="I17:I19" si="4">SUM(D17:H17)</f>
        <v>0</v>
      </c>
      <c r="J17" s="319">
        <f t="shared" si="3"/>
        <v>0</v>
      </c>
    </row>
    <row r="18" spans="1:11" x14ac:dyDescent="0.25">
      <c r="A18" s="323" t="s">
        <v>123</v>
      </c>
      <c r="B18" s="474" t="s">
        <v>520</v>
      </c>
      <c r="C18" s="191">
        <f>8200+1220380</f>
        <v>1228580</v>
      </c>
      <c r="D18" s="191">
        <v>1220380</v>
      </c>
      <c r="E18" s="191"/>
      <c r="F18" s="191">
        <v>8200</v>
      </c>
      <c r="G18" s="191"/>
      <c r="H18" s="191"/>
      <c r="I18" s="329">
        <f t="shared" si="4"/>
        <v>1228580</v>
      </c>
      <c r="J18" s="319">
        <f t="shared" si="3"/>
        <v>0</v>
      </c>
    </row>
    <row r="19" spans="1:11" ht="15.75" thickBot="1" x14ac:dyDescent="0.3">
      <c r="A19" s="471" t="s">
        <v>124</v>
      </c>
      <c r="B19" s="472" t="s">
        <v>521</v>
      </c>
      <c r="C19" s="193">
        <v>7450</v>
      </c>
      <c r="D19" s="193"/>
      <c r="E19" s="193"/>
      <c r="F19" s="193">
        <v>7450</v>
      </c>
      <c r="G19" s="193"/>
      <c r="H19" s="193"/>
      <c r="I19" s="469">
        <f t="shared" si="4"/>
        <v>7450</v>
      </c>
      <c r="J19" s="319">
        <f t="shared" si="3"/>
        <v>0</v>
      </c>
      <c r="K19" s="310">
        <f>SUM(C16:C19)</f>
        <v>1892040</v>
      </c>
    </row>
    <row r="20" spans="1:11" ht="15.75" thickBot="1" x14ac:dyDescent="0.3">
      <c r="A20" s="740" t="s">
        <v>222</v>
      </c>
      <c r="B20" s="741"/>
      <c r="C20" s="340">
        <f>SUM(C4:C19)</f>
        <v>3564666</v>
      </c>
      <c r="D20" s="340">
        <f t="shared" ref="D20:I20" si="5">SUM(D4:D19)</f>
        <v>3064780</v>
      </c>
      <c r="E20" s="340">
        <f t="shared" si="5"/>
        <v>5886</v>
      </c>
      <c r="F20" s="340">
        <f t="shared" si="5"/>
        <v>424000</v>
      </c>
      <c r="G20" s="340">
        <f t="shared" si="5"/>
        <v>0</v>
      </c>
      <c r="H20" s="340">
        <f t="shared" si="5"/>
        <v>70000</v>
      </c>
      <c r="I20" s="359">
        <f t="shared" si="5"/>
        <v>3564666</v>
      </c>
      <c r="J20" s="319">
        <f t="shared" si="3"/>
        <v>0</v>
      </c>
    </row>
    <row r="21" spans="1:11" ht="15.75" thickBot="1" x14ac:dyDescent="0.3">
      <c r="A21" s="316"/>
      <c r="B21" s="342"/>
      <c r="C21" s="343"/>
      <c r="D21" s="195"/>
      <c r="E21" s="195"/>
      <c r="F21" s="341"/>
      <c r="G21" s="341"/>
      <c r="H21" s="195"/>
      <c r="I21" s="318">
        <f>SUM(D21:H21)</f>
        <v>0</v>
      </c>
      <c r="J21" s="319">
        <f t="shared" si="3"/>
        <v>0</v>
      </c>
    </row>
    <row r="22" spans="1:11" ht="15.75" thickBot="1" x14ac:dyDescent="0.3">
      <c r="A22" s="740" t="s">
        <v>223</v>
      </c>
      <c r="B22" s="741"/>
      <c r="C22" s="340">
        <f>SUM(C21:C21)</f>
        <v>0</v>
      </c>
      <c r="D22" s="340">
        <f t="shared" ref="D22:H22" si="6">SUM(D21:D21)</f>
        <v>0</v>
      </c>
      <c r="E22" s="340">
        <f t="shared" si="6"/>
        <v>0</v>
      </c>
      <c r="F22" s="340">
        <f t="shared" si="6"/>
        <v>0</v>
      </c>
      <c r="G22" s="340">
        <f t="shared" si="6"/>
        <v>0</v>
      </c>
      <c r="H22" s="340">
        <f t="shared" si="6"/>
        <v>0</v>
      </c>
      <c r="I22" s="359">
        <f>SUM(I21:I21)</f>
        <v>0</v>
      </c>
      <c r="J22" s="319">
        <f t="shared" si="3"/>
        <v>0</v>
      </c>
    </row>
    <row r="23" spans="1:11" ht="15.75" thickBot="1" x14ac:dyDescent="0.3">
      <c r="A23" s="740" t="s">
        <v>248</v>
      </c>
      <c r="B23" s="741"/>
      <c r="C23" s="340">
        <f>C20+C22</f>
        <v>3564666</v>
      </c>
      <c r="D23" s="340">
        <f t="shared" ref="D23:H23" si="7">D20+D22</f>
        <v>3064780</v>
      </c>
      <c r="E23" s="340">
        <f t="shared" si="7"/>
        <v>5886</v>
      </c>
      <c r="F23" s="340">
        <f t="shared" si="7"/>
        <v>424000</v>
      </c>
      <c r="G23" s="340">
        <f t="shared" si="7"/>
        <v>0</v>
      </c>
      <c r="H23" s="340">
        <f t="shared" si="7"/>
        <v>70000</v>
      </c>
      <c r="I23" s="359">
        <f>I20+I22</f>
        <v>3564666</v>
      </c>
      <c r="J23" s="319">
        <f t="shared" si="3"/>
        <v>0</v>
      </c>
    </row>
    <row r="24" spans="1:11" x14ac:dyDescent="0.25">
      <c r="A24" s="344"/>
      <c r="B24" s="344"/>
      <c r="C24" s="345"/>
      <c r="E24" s="347"/>
      <c r="F24" s="346"/>
      <c r="G24" s="346"/>
      <c r="H24" s="348"/>
      <c r="I24" s="349"/>
      <c r="J24" s="350"/>
    </row>
    <row r="25" spans="1:11" x14ac:dyDescent="0.25">
      <c r="A25" s="312"/>
      <c r="B25" s="623" t="s">
        <v>464</v>
      </c>
      <c r="C25" s="478" t="s">
        <v>352</v>
      </c>
      <c r="D25" s="464">
        <f>35350+388940+45760+190000+300000+178000+191000-52700+1220380</f>
        <v>2496730</v>
      </c>
      <c r="E25" s="481">
        <f>D25+5000</f>
        <v>2501730</v>
      </c>
      <c r="F25" s="358"/>
      <c r="G25" s="358"/>
      <c r="H25" s="312"/>
      <c r="I25" s="312"/>
    </row>
    <row r="26" spans="1:11" x14ac:dyDescent="0.25">
      <c r="A26" s="312"/>
      <c r="C26" s="478" t="s">
        <v>353</v>
      </c>
      <c r="D26" s="476">
        <f>105400+79700+91310</f>
        <v>276410</v>
      </c>
      <c r="E26" s="475">
        <v>886</v>
      </c>
      <c r="G26" s="351"/>
      <c r="H26" s="475">
        <v>70000</v>
      </c>
      <c r="I26" s="644">
        <f>SUM(D26:H26)</f>
        <v>347296</v>
      </c>
    </row>
    <row r="27" spans="1:11" x14ac:dyDescent="0.25">
      <c r="A27" s="312"/>
      <c r="C27" s="312"/>
      <c r="D27" s="464">
        <f>SUM(D25:D26)</f>
        <v>2773140</v>
      </c>
      <c r="E27" s="312"/>
      <c r="F27" s="312"/>
      <c r="G27" s="312"/>
      <c r="H27" s="644">
        <f>SUM(D26:H26)</f>
        <v>347296</v>
      </c>
      <c r="I27" s="312"/>
      <c r="J27" s="312"/>
    </row>
    <row r="28" spans="1:11" x14ac:dyDescent="0.25">
      <c r="B28" s="352" t="s">
        <v>571</v>
      </c>
      <c r="D28" s="392">
        <f>D27-D23</f>
        <v>-291640</v>
      </c>
    </row>
    <row r="29" spans="1:11" x14ac:dyDescent="0.25">
      <c r="B29" t="s">
        <v>181</v>
      </c>
      <c r="F29">
        <f>362258+61900</f>
        <v>424158</v>
      </c>
      <c r="G29" t="s">
        <v>466</v>
      </c>
    </row>
    <row r="34" spans="1:14" ht="18" x14ac:dyDescent="0.25">
      <c r="A34" s="736" t="s">
        <v>305</v>
      </c>
      <c r="B34" s="736"/>
      <c r="C34" s="736"/>
      <c r="D34" s="736"/>
      <c r="E34" s="736"/>
      <c r="F34" s="736"/>
      <c r="G34" s="736"/>
      <c r="H34" s="736"/>
    </row>
    <row r="35" spans="1:14" ht="15.75" thickBot="1" x14ac:dyDescent="0.3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14" ht="60.75" thickBot="1" x14ac:dyDescent="0.3">
      <c r="A36" s="313" t="s">
        <v>207</v>
      </c>
      <c r="B36" s="313" t="s">
        <v>208</v>
      </c>
      <c r="C36" s="314" t="s">
        <v>209</v>
      </c>
      <c r="D36" s="314" t="s">
        <v>229</v>
      </c>
      <c r="E36" s="314" t="s">
        <v>238</v>
      </c>
      <c r="F36" s="314" t="s">
        <v>210</v>
      </c>
      <c r="G36" s="314" t="s">
        <v>226</v>
      </c>
      <c r="H36" s="314" t="s">
        <v>351</v>
      </c>
      <c r="I36" s="315" t="s">
        <v>211</v>
      </c>
      <c r="L36" s="737" t="s">
        <v>212</v>
      </c>
      <c r="M36" s="738"/>
      <c r="N36" s="739"/>
    </row>
    <row r="37" spans="1:14" ht="16.5" thickBot="1" x14ac:dyDescent="0.3">
      <c r="A37" s="316" t="s">
        <v>82</v>
      </c>
      <c r="B37" s="317" t="s">
        <v>159</v>
      </c>
      <c r="C37" s="195">
        <v>1500</v>
      </c>
      <c r="D37" s="195"/>
      <c r="E37" s="195"/>
      <c r="F37" s="195">
        <v>1500</v>
      </c>
      <c r="G37" s="195"/>
      <c r="H37" s="195"/>
      <c r="I37" s="318">
        <f t="shared" ref="I37:I43" si="8">SUM(D37:H37)</f>
        <v>1500</v>
      </c>
      <c r="J37" s="319">
        <f t="shared" ref="J37:J43" si="9">C37-I37</f>
        <v>0</v>
      </c>
      <c r="L37" s="320" t="s">
        <v>213</v>
      </c>
      <c r="M37" s="321" t="s">
        <v>214</v>
      </c>
      <c r="N37" s="322" t="s">
        <v>215</v>
      </c>
    </row>
    <row r="38" spans="1:14" ht="15.75" x14ac:dyDescent="0.25">
      <c r="A38" s="663" t="s">
        <v>87</v>
      </c>
      <c r="B38" s="621" t="s">
        <v>528</v>
      </c>
      <c r="C38" s="622">
        <f>191000+15300-52700</f>
        <v>153600</v>
      </c>
      <c r="D38" s="622">
        <f>191000-52700</f>
        <v>138300</v>
      </c>
      <c r="E38" s="198"/>
      <c r="F38" s="198">
        <f>15300</f>
        <v>15300</v>
      </c>
      <c r="G38" s="198"/>
      <c r="H38" s="198"/>
      <c r="I38" s="318">
        <f t="shared" si="8"/>
        <v>153600</v>
      </c>
      <c r="J38" s="319">
        <f t="shared" si="9"/>
        <v>0</v>
      </c>
      <c r="L38" s="324" t="s">
        <v>239</v>
      </c>
      <c r="M38" s="325">
        <v>500</v>
      </c>
      <c r="N38" s="365"/>
    </row>
    <row r="39" spans="1:14" ht="16.5" thickBot="1" x14ac:dyDescent="0.3">
      <c r="A39" s="331" t="s">
        <v>89</v>
      </c>
      <c r="B39" s="661" t="s">
        <v>334</v>
      </c>
      <c r="C39" s="192">
        <f>390000-20000</f>
        <v>370000</v>
      </c>
      <c r="D39" s="192">
        <f>300000</f>
        <v>300000</v>
      </c>
      <c r="E39" s="192"/>
      <c r="F39" s="192">
        <f>20000-20000</f>
        <v>0</v>
      </c>
      <c r="G39" s="332"/>
      <c r="H39" s="332">
        <v>70000</v>
      </c>
      <c r="I39" s="333">
        <f t="shared" si="8"/>
        <v>370000</v>
      </c>
      <c r="J39" s="319">
        <f t="shared" si="9"/>
        <v>0</v>
      </c>
      <c r="K39" s="310"/>
      <c r="L39" s="328" t="s">
        <v>240</v>
      </c>
      <c r="M39" s="325">
        <v>1000</v>
      </c>
      <c r="N39" s="365"/>
    </row>
    <row r="40" spans="1:14" ht="15.75" x14ac:dyDescent="0.25">
      <c r="A40" s="330" t="s">
        <v>160</v>
      </c>
      <c r="B40" s="339" t="s">
        <v>161</v>
      </c>
      <c r="C40" s="198">
        <f>25000</f>
        <v>25000</v>
      </c>
      <c r="D40" s="198"/>
      <c r="E40" s="198">
        <v>5000</v>
      </c>
      <c r="F40" s="198">
        <f>20000</f>
        <v>20000</v>
      </c>
      <c r="G40" s="198"/>
      <c r="H40" s="198"/>
      <c r="I40" s="318">
        <f t="shared" si="8"/>
        <v>25000</v>
      </c>
      <c r="J40" s="319">
        <f t="shared" si="9"/>
        <v>0</v>
      </c>
      <c r="L40" s="324" t="s">
        <v>522</v>
      </c>
      <c r="M40" s="325">
        <v>5000</v>
      </c>
      <c r="N40" s="365"/>
    </row>
    <row r="41" spans="1:14" ht="15.75" x14ac:dyDescent="0.25">
      <c r="A41" s="335" t="s">
        <v>160</v>
      </c>
      <c r="B41" s="336" t="s">
        <v>216</v>
      </c>
      <c r="C41" s="311">
        <v>30000</v>
      </c>
      <c r="D41" s="311"/>
      <c r="E41" s="311"/>
      <c r="F41" s="311">
        <v>30000</v>
      </c>
      <c r="G41" s="311"/>
      <c r="H41" s="311"/>
      <c r="I41" s="329">
        <f t="shared" si="8"/>
        <v>30000</v>
      </c>
      <c r="J41" s="319">
        <f t="shared" si="9"/>
        <v>0</v>
      </c>
      <c r="L41" s="328" t="s">
        <v>241</v>
      </c>
      <c r="M41" s="334">
        <f>5000-2000</f>
        <v>3000</v>
      </c>
      <c r="N41" s="366"/>
    </row>
    <row r="42" spans="1:14" ht="15.75" x14ac:dyDescent="0.25">
      <c r="A42" s="323" t="s">
        <v>96</v>
      </c>
      <c r="B42" s="338" t="s">
        <v>242</v>
      </c>
      <c r="C42" s="191">
        <v>10000</v>
      </c>
      <c r="D42" s="191"/>
      <c r="E42" s="191"/>
      <c r="F42" s="191">
        <v>10000</v>
      </c>
      <c r="G42" s="191"/>
      <c r="H42" s="191"/>
      <c r="I42" s="329">
        <f t="shared" si="8"/>
        <v>10000</v>
      </c>
      <c r="J42" s="319">
        <f t="shared" si="9"/>
        <v>0</v>
      </c>
      <c r="L42" s="328" t="s">
        <v>217</v>
      </c>
      <c r="M42" s="334">
        <v>3000</v>
      </c>
      <c r="N42" s="366"/>
    </row>
    <row r="43" spans="1:14" ht="15.75" x14ac:dyDescent="0.25">
      <c r="A43" s="323" t="s">
        <v>96</v>
      </c>
      <c r="B43" s="338" t="s">
        <v>529</v>
      </c>
      <c r="C43" s="191">
        <f>100000-50000</f>
        <v>50000</v>
      </c>
      <c r="D43" s="191"/>
      <c r="E43" s="191"/>
      <c r="F43" s="191">
        <f>100000-50000</f>
        <v>50000</v>
      </c>
      <c r="G43" s="191"/>
      <c r="H43" s="191"/>
      <c r="I43" s="329">
        <f t="shared" si="8"/>
        <v>50000</v>
      </c>
      <c r="J43" s="367">
        <f t="shared" si="9"/>
        <v>0</v>
      </c>
      <c r="K43" s="310"/>
      <c r="L43" s="328" t="s">
        <v>465</v>
      </c>
      <c r="M43" s="334">
        <v>2000</v>
      </c>
      <c r="N43" s="366"/>
    </row>
    <row r="44" spans="1:14" ht="15.75" x14ac:dyDescent="0.25">
      <c r="A44" s="316" t="s">
        <v>356</v>
      </c>
      <c r="B44" s="440" t="s">
        <v>342</v>
      </c>
      <c r="C44" s="343">
        <f>218000-15000</f>
        <v>203000</v>
      </c>
      <c r="D44" s="195">
        <v>178000</v>
      </c>
      <c r="E44" s="195"/>
      <c r="F44" s="195">
        <f>40000-15000</f>
        <v>25000</v>
      </c>
      <c r="G44" s="195"/>
      <c r="H44" s="195"/>
      <c r="I44" s="318">
        <f>SUM(D44:H44)</f>
        <v>203000</v>
      </c>
      <c r="J44" s="319">
        <f>C44-I44</f>
        <v>0</v>
      </c>
      <c r="L44" s="328" t="s">
        <v>225</v>
      </c>
      <c r="M44" s="334">
        <v>1000</v>
      </c>
      <c r="N44" s="368"/>
    </row>
    <row r="45" spans="1:14" ht="16.5" thickBot="1" x14ac:dyDescent="0.3">
      <c r="A45" s="331" t="s">
        <v>98</v>
      </c>
      <c r="B45" s="465" t="s">
        <v>336</v>
      </c>
      <c r="C45" s="192">
        <v>85000</v>
      </c>
      <c r="D45" s="192">
        <v>79700</v>
      </c>
      <c r="E45" s="192"/>
      <c r="F45" s="192">
        <v>5300</v>
      </c>
      <c r="G45" s="192"/>
      <c r="H45" s="192"/>
      <c r="I45" s="333">
        <f t="shared" ref="I45:I49" si="10">SUM(D45:H45)</f>
        <v>85000</v>
      </c>
      <c r="J45" s="319">
        <f t="shared" ref="J45:J56" si="11">C45-I45</f>
        <v>0</v>
      </c>
      <c r="K45" s="310">
        <f>SUM(C40:C45)</f>
        <v>403000</v>
      </c>
      <c r="L45" s="328" t="s">
        <v>218</v>
      </c>
      <c r="M45" s="334">
        <v>1000</v>
      </c>
      <c r="N45" s="369"/>
    </row>
    <row r="46" spans="1:14" ht="15.75" x14ac:dyDescent="0.25">
      <c r="A46" s="326" t="s">
        <v>110</v>
      </c>
      <c r="B46" s="466" t="s">
        <v>335</v>
      </c>
      <c r="C46" s="189">
        <v>202000</v>
      </c>
      <c r="D46" s="189">
        <f>105400+35350</f>
        <v>140750</v>
      </c>
      <c r="E46" s="189"/>
      <c r="F46" s="189">
        <v>61250</v>
      </c>
      <c r="G46" s="189"/>
      <c r="H46" s="189"/>
      <c r="I46" s="327">
        <f t="shared" si="10"/>
        <v>202000</v>
      </c>
      <c r="J46" s="319">
        <f t="shared" si="11"/>
        <v>0</v>
      </c>
      <c r="L46" s="370" t="s">
        <v>243</v>
      </c>
      <c r="M46" s="371">
        <v>1500</v>
      </c>
      <c r="N46" s="372"/>
    </row>
    <row r="47" spans="1:14" ht="15.75" x14ac:dyDescent="0.25">
      <c r="A47" s="316" t="s">
        <v>112</v>
      </c>
      <c r="B47" s="202" t="s">
        <v>221</v>
      </c>
      <c r="C47" s="195">
        <f>200000</f>
        <v>200000</v>
      </c>
      <c r="D47" s="195">
        <v>190000</v>
      </c>
      <c r="E47" s="195"/>
      <c r="F47" s="195">
        <v>10000</v>
      </c>
      <c r="G47" s="195"/>
      <c r="H47" s="195"/>
      <c r="I47" s="318">
        <f t="shared" si="10"/>
        <v>200000</v>
      </c>
      <c r="J47" s="319">
        <f t="shared" si="11"/>
        <v>0</v>
      </c>
      <c r="L47" s="370" t="s">
        <v>462</v>
      </c>
      <c r="M47" s="371">
        <v>12000</v>
      </c>
      <c r="N47" s="372"/>
    </row>
    <row r="48" spans="1:14" ht="16.5" thickBot="1" x14ac:dyDescent="0.3">
      <c r="A48" s="337" t="s">
        <v>112</v>
      </c>
      <c r="B48" s="637" t="s">
        <v>191</v>
      </c>
      <c r="C48" s="199">
        <f>100000+886-50000</f>
        <v>50886</v>
      </c>
      <c r="D48" s="199"/>
      <c r="E48" s="199">
        <f>886</f>
        <v>886</v>
      </c>
      <c r="F48" s="191">
        <f>100000-50000</f>
        <v>50000</v>
      </c>
      <c r="G48" s="191"/>
      <c r="H48" s="191"/>
      <c r="I48" s="329">
        <f t="shared" si="10"/>
        <v>50886</v>
      </c>
      <c r="J48" s="319">
        <f t="shared" si="11"/>
        <v>0</v>
      </c>
      <c r="K48" s="310">
        <f>SUM(C46:C48)</f>
        <v>452886</v>
      </c>
      <c r="L48" s="353" t="s">
        <v>219</v>
      </c>
      <c r="M48" s="354">
        <f>12000-12000</f>
        <v>0</v>
      </c>
      <c r="N48" s="373"/>
    </row>
    <row r="49" spans="1:14" ht="16.5" thickBot="1" x14ac:dyDescent="0.3">
      <c r="A49" s="326" t="s">
        <v>121</v>
      </c>
      <c r="B49" s="470" t="s">
        <v>244</v>
      </c>
      <c r="C49" s="189">
        <f>494700+91310+70000</f>
        <v>656010</v>
      </c>
      <c r="D49" s="189">
        <f>434700+91310</f>
        <v>526010</v>
      </c>
      <c r="E49" s="189"/>
      <c r="F49" s="189">
        <f>60000+70000</f>
        <v>130000</v>
      </c>
      <c r="G49" s="189"/>
      <c r="H49" s="189"/>
      <c r="I49" s="327">
        <f t="shared" si="10"/>
        <v>656010</v>
      </c>
      <c r="J49" s="319">
        <f t="shared" si="11"/>
        <v>0</v>
      </c>
      <c r="L49" s="355" t="s">
        <v>220</v>
      </c>
      <c r="M49" s="356">
        <f>SUM(M38:M48)</f>
        <v>30000</v>
      </c>
      <c r="N49" s="357"/>
    </row>
    <row r="50" spans="1:14" x14ac:dyDescent="0.25">
      <c r="A50" s="323" t="s">
        <v>123</v>
      </c>
      <c r="B50" s="473" t="s">
        <v>343</v>
      </c>
      <c r="C50" s="191">
        <v>0</v>
      </c>
      <c r="D50" s="191"/>
      <c r="E50" s="191"/>
      <c r="F50" s="191">
        <v>0</v>
      </c>
      <c r="G50" s="191"/>
      <c r="H50" s="191"/>
      <c r="I50" s="329">
        <f t="shared" ref="I50:I52" si="12">SUM(D50:H50)</f>
        <v>0</v>
      </c>
      <c r="J50" s="319">
        <f t="shared" si="11"/>
        <v>0</v>
      </c>
    </row>
    <row r="51" spans="1:14" x14ac:dyDescent="0.25">
      <c r="A51" s="664" t="s">
        <v>123</v>
      </c>
      <c r="B51" s="662" t="s">
        <v>520</v>
      </c>
      <c r="C51" s="627">
        <f>8200+1220380</f>
        <v>1228580</v>
      </c>
      <c r="D51" s="627">
        <v>1220380</v>
      </c>
      <c r="E51" s="191"/>
      <c r="F51" s="191">
        <v>8200</v>
      </c>
      <c r="G51" s="191"/>
      <c r="H51" s="191"/>
      <c r="I51" s="329">
        <f t="shared" si="12"/>
        <v>1228580</v>
      </c>
      <c r="J51" s="319">
        <f t="shared" si="11"/>
        <v>0</v>
      </c>
    </row>
    <row r="52" spans="1:14" ht="15.75" thickBot="1" x14ac:dyDescent="0.3">
      <c r="A52" s="471" t="s">
        <v>124</v>
      </c>
      <c r="B52" s="472" t="s">
        <v>521</v>
      </c>
      <c r="C52" s="193">
        <v>7450</v>
      </c>
      <c r="D52" s="193"/>
      <c r="E52" s="193"/>
      <c r="F52" s="193">
        <v>7450</v>
      </c>
      <c r="G52" s="193"/>
      <c r="H52" s="193"/>
      <c r="I52" s="469">
        <f t="shared" si="12"/>
        <v>7450</v>
      </c>
      <c r="J52" s="319">
        <f t="shared" si="11"/>
        <v>0</v>
      </c>
      <c r="K52" s="310">
        <f>SUM(C49:C52)</f>
        <v>1892040</v>
      </c>
    </row>
    <row r="53" spans="1:14" ht="15.75" thickBot="1" x14ac:dyDescent="0.3">
      <c r="A53" s="740" t="s">
        <v>222</v>
      </c>
      <c r="B53" s="741"/>
      <c r="C53" s="340">
        <f>SUM(C37:C52)</f>
        <v>3273026</v>
      </c>
      <c r="D53" s="340">
        <f t="shared" ref="D53:I53" si="13">SUM(D37:D52)</f>
        <v>2773140</v>
      </c>
      <c r="E53" s="340">
        <f t="shared" si="13"/>
        <v>5886</v>
      </c>
      <c r="F53" s="340">
        <f t="shared" si="13"/>
        <v>424000</v>
      </c>
      <c r="G53" s="340">
        <f t="shared" si="13"/>
        <v>0</v>
      </c>
      <c r="H53" s="340">
        <f t="shared" si="13"/>
        <v>70000</v>
      </c>
      <c r="I53" s="359">
        <f t="shared" si="13"/>
        <v>3273026</v>
      </c>
      <c r="J53" s="319">
        <f t="shared" si="11"/>
        <v>0</v>
      </c>
    </row>
    <row r="54" spans="1:14" ht="15.75" thickBot="1" x14ac:dyDescent="0.3">
      <c r="A54" s="316"/>
      <c r="B54" s="342"/>
      <c r="C54" s="343"/>
      <c r="D54" s="195"/>
      <c r="E54" s="195"/>
      <c r="F54" s="341"/>
      <c r="G54" s="341"/>
      <c r="H54" s="195"/>
      <c r="I54" s="318">
        <f>SUM(D54:H54)</f>
        <v>0</v>
      </c>
      <c r="J54" s="319">
        <f t="shared" si="11"/>
        <v>0</v>
      </c>
    </row>
    <row r="55" spans="1:14" ht="15.75" thickBot="1" x14ac:dyDescent="0.3">
      <c r="A55" s="740" t="s">
        <v>223</v>
      </c>
      <c r="B55" s="741"/>
      <c r="C55" s="340">
        <f>SUM(C54:C54)</f>
        <v>0</v>
      </c>
      <c r="D55" s="340">
        <f t="shared" ref="D55:H55" si="14">SUM(D54:D54)</f>
        <v>0</v>
      </c>
      <c r="E55" s="340">
        <f t="shared" si="14"/>
        <v>0</v>
      </c>
      <c r="F55" s="340">
        <f t="shared" si="14"/>
        <v>0</v>
      </c>
      <c r="G55" s="340">
        <f t="shared" si="14"/>
        <v>0</v>
      </c>
      <c r="H55" s="340">
        <f t="shared" si="14"/>
        <v>0</v>
      </c>
      <c r="I55" s="359">
        <f>SUM(I54:I54)</f>
        <v>0</v>
      </c>
      <c r="J55" s="319">
        <f t="shared" si="11"/>
        <v>0</v>
      </c>
    </row>
    <row r="56" spans="1:14" ht="15.75" thickBot="1" x14ac:dyDescent="0.3">
      <c r="A56" s="740" t="s">
        <v>248</v>
      </c>
      <c r="B56" s="741"/>
      <c r="C56" s="340">
        <f>C53+C55</f>
        <v>3273026</v>
      </c>
      <c r="D56" s="340">
        <f t="shared" ref="D56:H56" si="15">D53+D55</f>
        <v>2773140</v>
      </c>
      <c r="E56" s="340">
        <f t="shared" si="15"/>
        <v>5886</v>
      </c>
      <c r="F56" s="340">
        <f t="shared" si="15"/>
        <v>424000</v>
      </c>
      <c r="G56" s="340">
        <f t="shared" si="15"/>
        <v>0</v>
      </c>
      <c r="H56" s="340">
        <f t="shared" si="15"/>
        <v>70000</v>
      </c>
      <c r="I56" s="359">
        <f>I53+I55</f>
        <v>3273026</v>
      </c>
      <c r="J56" s="319">
        <f t="shared" si="11"/>
        <v>0</v>
      </c>
    </row>
    <row r="57" spans="1:14" x14ac:dyDescent="0.25">
      <c r="A57" s="344"/>
      <c r="B57" s="344"/>
      <c r="C57" s="345"/>
      <c r="E57" s="347"/>
      <c r="F57" s="346"/>
      <c r="G57" s="346"/>
      <c r="H57" s="348"/>
      <c r="I57" s="349"/>
      <c r="J57" s="350"/>
    </row>
    <row r="58" spans="1:14" x14ac:dyDescent="0.25">
      <c r="A58" s="312"/>
      <c r="B58" s="623" t="s">
        <v>464</v>
      </c>
      <c r="C58" s="478" t="s">
        <v>352</v>
      </c>
      <c r="D58" s="464">
        <f>35350+388940+45760+190000+300000+178000+191000-52700+1220380</f>
        <v>2496730</v>
      </c>
      <c r="E58" s="481">
        <f>D58+5000</f>
        <v>2501730</v>
      </c>
      <c r="F58" s="358"/>
      <c r="G58" s="358"/>
      <c r="H58" s="312"/>
      <c r="I58" s="312"/>
    </row>
    <row r="59" spans="1:14" x14ac:dyDescent="0.25">
      <c r="A59" s="312"/>
      <c r="C59" s="478" t="s">
        <v>353</v>
      </c>
      <c r="D59" s="476">
        <f>105400+79700+91310</f>
        <v>276410</v>
      </c>
      <c r="E59" s="475">
        <v>886</v>
      </c>
      <c r="G59" s="351"/>
      <c r="H59" s="475">
        <v>70000</v>
      </c>
      <c r="I59" s="644">
        <f>SUM(D59:H59)</f>
        <v>347296</v>
      </c>
    </row>
    <row r="60" spans="1:14" x14ac:dyDescent="0.25">
      <c r="A60" s="312"/>
      <c r="C60" s="312"/>
      <c r="D60" s="464">
        <f>SUM(D58:D59)</f>
        <v>2773140</v>
      </c>
      <c r="E60" s="312"/>
      <c r="F60" s="312"/>
      <c r="G60" s="312"/>
      <c r="H60" s="644">
        <f>SUM(D59:H59)</f>
        <v>347296</v>
      </c>
      <c r="I60" s="312"/>
      <c r="J60" s="312"/>
    </row>
    <row r="61" spans="1:14" x14ac:dyDescent="0.25">
      <c r="B61" s="352" t="s">
        <v>544</v>
      </c>
      <c r="D61" s="392">
        <f>D60-D56</f>
        <v>0</v>
      </c>
    </row>
    <row r="62" spans="1:14" x14ac:dyDescent="0.25">
      <c r="B62" t="s">
        <v>181</v>
      </c>
      <c r="F62">
        <f>362258+61900</f>
        <v>424158</v>
      </c>
      <c r="G62" t="s">
        <v>466</v>
      </c>
    </row>
    <row r="64" spans="1:14" ht="18" x14ac:dyDescent="0.25">
      <c r="A64" s="736" t="s">
        <v>305</v>
      </c>
      <c r="B64" s="736"/>
      <c r="C64" s="736"/>
      <c r="D64" s="736"/>
      <c r="E64" s="736"/>
      <c r="F64" s="736"/>
      <c r="G64" s="736"/>
      <c r="H64" s="736"/>
    </row>
    <row r="65" spans="1:14" ht="15.75" thickBot="1" x14ac:dyDescent="0.3">
      <c r="A65" s="312"/>
      <c r="B65" s="312"/>
      <c r="C65" s="312"/>
      <c r="D65" s="312"/>
      <c r="E65" s="312"/>
      <c r="F65" s="312"/>
      <c r="G65" s="312"/>
      <c r="H65" s="312"/>
      <c r="I65" s="312"/>
    </row>
    <row r="66" spans="1:14" ht="60.75" thickBot="1" x14ac:dyDescent="0.3">
      <c r="A66" s="313" t="s">
        <v>207</v>
      </c>
      <c r="B66" s="313" t="s">
        <v>208</v>
      </c>
      <c r="C66" s="314" t="s">
        <v>209</v>
      </c>
      <c r="D66" s="314" t="s">
        <v>229</v>
      </c>
      <c r="E66" s="314" t="s">
        <v>238</v>
      </c>
      <c r="F66" s="314" t="s">
        <v>210</v>
      </c>
      <c r="G66" s="314" t="s">
        <v>226</v>
      </c>
      <c r="H66" s="314" t="s">
        <v>351</v>
      </c>
      <c r="I66" s="315" t="s">
        <v>211</v>
      </c>
      <c r="L66" s="737" t="s">
        <v>212</v>
      </c>
      <c r="M66" s="738"/>
      <c r="N66" s="739"/>
    </row>
    <row r="67" spans="1:14" ht="16.5" thickBot="1" x14ac:dyDescent="0.3">
      <c r="A67" s="316" t="s">
        <v>82</v>
      </c>
      <c r="B67" s="317" t="s">
        <v>159</v>
      </c>
      <c r="C67" s="195">
        <v>1500</v>
      </c>
      <c r="D67" s="195"/>
      <c r="E67" s="195"/>
      <c r="F67" s="195">
        <v>1500</v>
      </c>
      <c r="G67" s="195"/>
      <c r="H67" s="195"/>
      <c r="I67" s="318">
        <f t="shared" ref="I67:I79" si="16">SUM(D67:H67)</f>
        <v>1500</v>
      </c>
      <c r="J67" s="319">
        <f t="shared" ref="J67:J86" si="17">C67-I67</f>
        <v>0</v>
      </c>
      <c r="L67" s="320" t="s">
        <v>213</v>
      </c>
      <c r="M67" s="321" t="s">
        <v>214</v>
      </c>
      <c r="N67" s="322" t="s">
        <v>215</v>
      </c>
    </row>
    <row r="68" spans="1:14" ht="15.75" x14ac:dyDescent="0.25">
      <c r="A68" s="330" t="s">
        <v>87</v>
      </c>
      <c r="B68" s="621" t="s">
        <v>461</v>
      </c>
      <c r="C68" s="622">
        <f>191000+15300</f>
        <v>206300</v>
      </c>
      <c r="D68" s="198">
        <f>191000</f>
        <v>191000</v>
      </c>
      <c r="E68" s="198"/>
      <c r="F68" s="198">
        <v>15300</v>
      </c>
      <c r="G68" s="198"/>
      <c r="H68" s="198"/>
      <c r="I68" s="318">
        <f t="shared" ref="I68" si="18">SUM(D68:H68)</f>
        <v>206300</v>
      </c>
      <c r="J68" s="319">
        <f t="shared" ref="J68" si="19">C68-I68</f>
        <v>0</v>
      </c>
      <c r="L68" s="324" t="s">
        <v>239</v>
      </c>
      <c r="M68" s="325">
        <v>500</v>
      </c>
      <c r="N68" s="365"/>
    </row>
    <row r="69" spans="1:14" ht="16.5" thickBot="1" x14ac:dyDescent="0.3">
      <c r="A69" s="331" t="s">
        <v>89</v>
      </c>
      <c r="B69" s="624" t="s">
        <v>334</v>
      </c>
      <c r="C69" s="625">
        <f>390000-20000</f>
        <v>370000</v>
      </c>
      <c r="D69" s="192">
        <f>300000</f>
        <v>300000</v>
      </c>
      <c r="E69" s="192"/>
      <c r="F69" s="192">
        <f>20000-20000</f>
        <v>0</v>
      </c>
      <c r="G69" s="332"/>
      <c r="H69" s="332">
        <v>70000</v>
      </c>
      <c r="I69" s="333">
        <f t="shared" si="16"/>
        <v>370000</v>
      </c>
      <c r="J69" s="319">
        <f t="shared" si="17"/>
        <v>0</v>
      </c>
      <c r="K69" s="310"/>
      <c r="L69" s="328" t="s">
        <v>240</v>
      </c>
      <c r="M69" s="325">
        <v>1000</v>
      </c>
      <c r="N69" s="365"/>
    </row>
    <row r="70" spans="1:14" ht="15.75" x14ac:dyDescent="0.25">
      <c r="A70" s="330" t="s">
        <v>160</v>
      </c>
      <c r="B70" s="339" t="s">
        <v>161</v>
      </c>
      <c r="C70" s="198">
        <f>25000</f>
        <v>25000</v>
      </c>
      <c r="D70" s="198"/>
      <c r="E70" s="198">
        <v>5000</v>
      </c>
      <c r="F70" s="198">
        <f>20000</f>
        <v>20000</v>
      </c>
      <c r="G70" s="198"/>
      <c r="H70" s="198"/>
      <c r="I70" s="318">
        <f t="shared" si="16"/>
        <v>25000</v>
      </c>
      <c r="J70" s="319">
        <f t="shared" si="17"/>
        <v>0</v>
      </c>
      <c r="L70" s="324" t="s">
        <v>224</v>
      </c>
      <c r="M70" s="325">
        <v>5000</v>
      </c>
      <c r="N70" s="365"/>
    </row>
    <row r="71" spans="1:14" ht="15.75" x14ac:dyDescent="0.25">
      <c r="A71" s="335" t="s">
        <v>160</v>
      </c>
      <c r="B71" s="336" t="s">
        <v>216</v>
      </c>
      <c r="C71" s="311">
        <v>30000</v>
      </c>
      <c r="D71" s="311"/>
      <c r="E71" s="311"/>
      <c r="F71" s="311">
        <v>30000</v>
      </c>
      <c r="G71" s="311"/>
      <c r="H71" s="311"/>
      <c r="I71" s="329">
        <f t="shared" si="16"/>
        <v>30000</v>
      </c>
      <c r="J71" s="319">
        <f t="shared" si="17"/>
        <v>0</v>
      </c>
      <c r="L71" s="633" t="s">
        <v>241</v>
      </c>
      <c r="M71" s="632">
        <f>5000-2000</f>
        <v>3000</v>
      </c>
      <c r="N71" s="366"/>
    </row>
    <row r="72" spans="1:14" ht="15.75" x14ac:dyDescent="0.25">
      <c r="A72" s="323" t="s">
        <v>96</v>
      </c>
      <c r="B72" s="338" t="s">
        <v>242</v>
      </c>
      <c r="C72" s="191">
        <v>10000</v>
      </c>
      <c r="D72" s="191"/>
      <c r="E72" s="191"/>
      <c r="F72" s="191">
        <v>10000</v>
      </c>
      <c r="G72" s="191"/>
      <c r="H72" s="191"/>
      <c r="I72" s="329">
        <f t="shared" si="16"/>
        <v>10000</v>
      </c>
      <c r="J72" s="319">
        <f t="shared" si="17"/>
        <v>0</v>
      </c>
      <c r="L72" s="324" t="s">
        <v>217</v>
      </c>
      <c r="M72" s="334">
        <v>3000</v>
      </c>
      <c r="N72" s="366"/>
    </row>
    <row r="73" spans="1:14" ht="15.75" x14ac:dyDescent="0.25">
      <c r="A73" s="323" t="s">
        <v>96</v>
      </c>
      <c r="B73" s="626" t="s">
        <v>192</v>
      </c>
      <c r="C73" s="627">
        <f>100000-50000</f>
        <v>50000</v>
      </c>
      <c r="D73" s="191"/>
      <c r="E73" s="191"/>
      <c r="F73" s="191">
        <f>100000-50000</f>
        <v>50000</v>
      </c>
      <c r="G73" s="191"/>
      <c r="H73" s="191"/>
      <c r="I73" s="329">
        <f t="shared" si="16"/>
        <v>50000</v>
      </c>
      <c r="J73" s="367">
        <f t="shared" si="17"/>
        <v>0</v>
      </c>
      <c r="K73" s="310"/>
      <c r="L73" s="633" t="s">
        <v>465</v>
      </c>
      <c r="M73" s="632">
        <v>2000</v>
      </c>
      <c r="N73" s="366"/>
    </row>
    <row r="74" spans="1:14" ht="15.75" x14ac:dyDescent="0.25">
      <c r="A74" s="316" t="s">
        <v>356</v>
      </c>
      <c r="B74" s="628" t="s">
        <v>342</v>
      </c>
      <c r="C74" s="629">
        <f>218000-15000</f>
        <v>203000</v>
      </c>
      <c r="D74" s="195">
        <v>178000</v>
      </c>
      <c r="E74" s="195"/>
      <c r="F74" s="195">
        <f>40000-15000</f>
        <v>25000</v>
      </c>
      <c r="G74" s="195"/>
      <c r="H74" s="195"/>
      <c r="I74" s="318">
        <f>SUM(D74:H74)</f>
        <v>203000</v>
      </c>
      <c r="J74" s="319">
        <f>C74-I74</f>
        <v>0</v>
      </c>
      <c r="L74" s="328" t="s">
        <v>225</v>
      </c>
      <c r="M74" s="334">
        <v>1000</v>
      </c>
      <c r="N74" s="368"/>
    </row>
    <row r="75" spans="1:14" ht="16.5" thickBot="1" x14ac:dyDescent="0.3">
      <c r="A75" s="331" t="s">
        <v>98</v>
      </c>
      <c r="B75" s="465" t="s">
        <v>336</v>
      </c>
      <c r="C75" s="192">
        <v>85000</v>
      </c>
      <c r="D75" s="192">
        <v>79700</v>
      </c>
      <c r="E75" s="192"/>
      <c r="F75" s="192">
        <v>5300</v>
      </c>
      <c r="G75" s="192"/>
      <c r="H75" s="192"/>
      <c r="I75" s="333">
        <f t="shared" si="16"/>
        <v>85000</v>
      </c>
      <c r="J75" s="319">
        <f t="shared" si="17"/>
        <v>0</v>
      </c>
      <c r="K75" s="310">
        <f>SUM(C70:C75)</f>
        <v>403000</v>
      </c>
      <c r="L75" s="328" t="s">
        <v>218</v>
      </c>
      <c r="M75" s="334">
        <v>1000</v>
      </c>
      <c r="N75" s="369"/>
    </row>
    <row r="76" spans="1:14" ht="15.75" x14ac:dyDescent="0.25">
      <c r="A76" s="326" t="s">
        <v>110</v>
      </c>
      <c r="B76" s="466" t="s">
        <v>335</v>
      </c>
      <c r="C76" s="189">
        <v>202000</v>
      </c>
      <c r="D76" s="189">
        <f>105400+35350</f>
        <v>140750</v>
      </c>
      <c r="E76" s="189"/>
      <c r="F76" s="189">
        <v>61250</v>
      </c>
      <c r="G76" s="189"/>
      <c r="H76" s="189"/>
      <c r="I76" s="327">
        <f t="shared" si="16"/>
        <v>202000</v>
      </c>
      <c r="J76" s="319">
        <f t="shared" si="17"/>
        <v>0</v>
      </c>
      <c r="L76" s="370" t="s">
        <v>243</v>
      </c>
      <c r="M76" s="371">
        <v>1500</v>
      </c>
      <c r="N76" s="372"/>
    </row>
    <row r="77" spans="1:14" ht="15.75" x14ac:dyDescent="0.25">
      <c r="A77" s="316" t="s">
        <v>112</v>
      </c>
      <c r="B77" s="202" t="s">
        <v>221</v>
      </c>
      <c r="C77" s="195">
        <f>200000</f>
        <v>200000</v>
      </c>
      <c r="D77" s="195">
        <v>190000</v>
      </c>
      <c r="E77" s="195"/>
      <c r="F77" s="195">
        <v>10000</v>
      </c>
      <c r="G77" s="195"/>
      <c r="H77" s="195"/>
      <c r="I77" s="318">
        <f t="shared" si="16"/>
        <v>200000</v>
      </c>
      <c r="J77" s="319">
        <f t="shared" si="17"/>
        <v>0</v>
      </c>
      <c r="L77" s="634" t="s">
        <v>462</v>
      </c>
      <c r="M77" s="635">
        <v>12000</v>
      </c>
      <c r="N77" s="372"/>
    </row>
    <row r="78" spans="1:14" ht="16.5" thickBot="1" x14ac:dyDescent="0.3">
      <c r="A78" s="337" t="s">
        <v>112</v>
      </c>
      <c r="B78" s="630" t="s">
        <v>191</v>
      </c>
      <c r="C78" s="631">
        <f>100000+886-50000</f>
        <v>50886</v>
      </c>
      <c r="D78" s="199"/>
      <c r="E78" s="199">
        <f>886</f>
        <v>886</v>
      </c>
      <c r="F78" s="191">
        <f>100000-50000</f>
        <v>50000</v>
      </c>
      <c r="G78" s="191"/>
      <c r="H78" s="191"/>
      <c r="I78" s="329">
        <f t="shared" si="16"/>
        <v>50886</v>
      </c>
      <c r="J78" s="319">
        <f t="shared" si="17"/>
        <v>0</v>
      </c>
      <c r="K78" s="310">
        <f>SUM(C76:C78)</f>
        <v>452886</v>
      </c>
      <c r="L78" s="353" t="s">
        <v>219</v>
      </c>
      <c r="M78" s="354">
        <f>12000-12000</f>
        <v>0</v>
      </c>
      <c r="N78" s="373"/>
    </row>
    <row r="79" spans="1:14" ht="16.5" thickBot="1" x14ac:dyDescent="0.3">
      <c r="A79" s="326" t="s">
        <v>121</v>
      </c>
      <c r="B79" s="470" t="s">
        <v>244</v>
      </c>
      <c r="C79" s="189">
        <f>494700+91310+70000</f>
        <v>656010</v>
      </c>
      <c r="D79" s="189">
        <f>434700+91310</f>
        <v>526010</v>
      </c>
      <c r="E79" s="189"/>
      <c r="F79" s="189">
        <f>60000+70000</f>
        <v>130000</v>
      </c>
      <c r="G79" s="189"/>
      <c r="H79" s="189"/>
      <c r="I79" s="327">
        <f t="shared" si="16"/>
        <v>656010</v>
      </c>
      <c r="J79" s="319">
        <f t="shared" si="17"/>
        <v>0</v>
      </c>
      <c r="L79" s="355" t="s">
        <v>220</v>
      </c>
      <c r="M79" s="356">
        <f>SUM(M68:M78)</f>
        <v>30000</v>
      </c>
      <c r="N79" s="357"/>
    </row>
    <row r="80" spans="1:14" x14ac:dyDescent="0.25">
      <c r="A80" s="323" t="s">
        <v>123</v>
      </c>
      <c r="B80" s="473" t="s">
        <v>343</v>
      </c>
      <c r="C80" s="191">
        <v>0</v>
      </c>
      <c r="D80" s="191"/>
      <c r="E80" s="191"/>
      <c r="F80" s="191">
        <v>0</v>
      </c>
      <c r="G80" s="191"/>
      <c r="H80" s="191"/>
      <c r="I80" s="329">
        <f t="shared" ref="I80" si="20">SUM(D80:H80)</f>
        <v>0</v>
      </c>
      <c r="J80" s="319">
        <f t="shared" ref="J80" si="21">C80-I80</f>
        <v>0</v>
      </c>
    </row>
    <row r="81" spans="1:14" x14ac:dyDescent="0.25">
      <c r="A81" s="323" t="s">
        <v>123</v>
      </c>
      <c r="B81" s="474" t="s">
        <v>346</v>
      </c>
      <c r="C81" s="191">
        <v>8200</v>
      </c>
      <c r="D81" s="191"/>
      <c r="E81" s="191"/>
      <c r="F81" s="191">
        <v>8200</v>
      </c>
      <c r="G81" s="191"/>
      <c r="H81" s="191"/>
      <c r="I81" s="329">
        <f t="shared" ref="I81:I82" si="22">SUM(D81:H81)</f>
        <v>8200</v>
      </c>
      <c r="J81" s="319">
        <f t="shared" ref="J81:J82" si="23">C81-I81</f>
        <v>0</v>
      </c>
    </row>
    <row r="82" spans="1:14" ht="15.75" thickBot="1" x14ac:dyDescent="0.3">
      <c r="A82" s="471" t="s">
        <v>124</v>
      </c>
      <c r="B82" s="472" t="s">
        <v>347</v>
      </c>
      <c r="C82" s="193">
        <v>7450</v>
      </c>
      <c r="D82" s="193"/>
      <c r="E82" s="193"/>
      <c r="F82" s="193">
        <v>7450</v>
      </c>
      <c r="G82" s="193"/>
      <c r="H82" s="193"/>
      <c r="I82" s="469">
        <f t="shared" si="22"/>
        <v>7450</v>
      </c>
      <c r="J82" s="319">
        <f t="shared" si="23"/>
        <v>0</v>
      </c>
      <c r="K82" s="310">
        <f>SUM(C79:C82)</f>
        <v>671660</v>
      </c>
    </row>
    <row r="83" spans="1:14" ht="15.75" thickBot="1" x14ac:dyDescent="0.3">
      <c r="A83" s="740" t="s">
        <v>222</v>
      </c>
      <c r="B83" s="741"/>
      <c r="C83" s="340">
        <f>SUM(C67:C82)</f>
        <v>2105346</v>
      </c>
      <c r="D83" s="340">
        <f t="shared" ref="D83:I83" si="24">SUM(D67:D82)</f>
        <v>1605460</v>
      </c>
      <c r="E83" s="340">
        <f t="shared" si="24"/>
        <v>5886</v>
      </c>
      <c r="F83" s="340">
        <f t="shared" si="24"/>
        <v>424000</v>
      </c>
      <c r="G83" s="340">
        <f t="shared" si="24"/>
        <v>0</v>
      </c>
      <c r="H83" s="340">
        <f t="shared" si="24"/>
        <v>70000</v>
      </c>
      <c r="I83" s="359">
        <f t="shared" si="24"/>
        <v>2105346</v>
      </c>
      <c r="J83" s="319">
        <f t="shared" si="17"/>
        <v>0</v>
      </c>
    </row>
    <row r="84" spans="1:14" ht="15.75" thickBot="1" x14ac:dyDescent="0.3">
      <c r="A84" s="316"/>
      <c r="B84" s="342"/>
      <c r="C84" s="343"/>
      <c r="D84" s="195"/>
      <c r="E84" s="195"/>
      <c r="F84" s="341"/>
      <c r="G84" s="341"/>
      <c r="H84" s="195"/>
      <c r="I84" s="318">
        <f>SUM(D84:H84)</f>
        <v>0</v>
      </c>
      <c r="J84" s="319">
        <f t="shared" si="17"/>
        <v>0</v>
      </c>
    </row>
    <row r="85" spans="1:14" ht="15.75" thickBot="1" x14ac:dyDescent="0.3">
      <c r="A85" s="740" t="s">
        <v>223</v>
      </c>
      <c r="B85" s="741"/>
      <c r="C85" s="340">
        <f>SUM(C84:C84)</f>
        <v>0</v>
      </c>
      <c r="D85" s="340">
        <f t="shared" ref="D85:H85" si="25">SUM(D84:D84)</f>
        <v>0</v>
      </c>
      <c r="E85" s="340">
        <f t="shared" si="25"/>
        <v>0</v>
      </c>
      <c r="F85" s="340">
        <f t="shared" si="25"/>
        <v>0</v>
      </c>
      <c r="G85" s="340">
        <f t="shared" si="25"/>
        <v>0</v>
      </c>
      <c r="H85" s="340">
        <f t="shared" si="25"/>
        <v>0</v>
      </c>
      <c r="I85" s="359">
        <f>SUM(I84:I84)</f>
        <v>0</v>
      </c>
      <c r="J85" s="319">
        <f t="shared" si="17"/>
        <v>0</v>
      </c>
    </row>
    <row r="86" spans="1:14" ht="15.75" thickBot="1" x14ac:dyDescent="0.3">
      <c r="A86" s="740" t="s">
        <v>248</v>
      </c>
      <c r="B86" s="741"/>
      <c r="C86" s="340">
        <f>C83+C85</f>
        <v>2105346</v>
      </c>
      <c r="D86" s="340">
        <f t="shared" ref="D86:H86" si="26">D83+D85</f>
        <v>1605460</v>
      </c>
      <c r="E86" s="340">
        <f t="shared" si="26"/>
        <v>5886</v>
      </c>
      <c r="F86" s="340">
        <f t="shared" si="26"/>
        <v>424000</v>
      </c>
      <c r="G86" s="340">
        <f t="shared" si="26"/>
        <v>0</v>
      </c>
      <c r="H86" s="340">
        <f t="shared" si="26"/>
        <v>70000</v>
      </c>
      <c r="I86" s="359">
        <f>I83+I85</f>
        <v>2105346</v>
      </c>
      <c r="J86" s="319">
        <f t="shared" si="17"/>
        <v>0</v>
      </c>
    </row>
    <row r="87" spans="1:14" x14ac:dyDescent="0.25">
      <c r="A87" s="344"/>
      <c r="B87" s="344"/>
      <c r="C87" s="345"/>
      <c r="E87" s="347"/>
      <c r="F87" s="346"/>
      <c r="G87" s="346"/>
      <c r="H87" s="348"/>
      <c r="I87" s="349"/>
      <c r="J87" s="350"/>
    </row>
    <row r="88" spans="1:14" x14ac:dyDescent="0.25">
      <c r="A88" s="312"/>
      <c r="B88" s="623" t="s">
        <v>464</v>
      </c>
      <c r="C88" s="478" t="s">
        <v>352</v>
      </c>
      <c r="D88" s="464">
        <f>35350+388940+45760+190000+300000+178000+191000</f>
        <v>1329050</v>
      </c>
      <c r="E88" s="481">
        <f>D88+5000</f>
        <v>1334050</v>
      </c>
      <c r="F88" s="358"/>
      <c r="G88" s="358"/>
      <c r="H88" s="312"/>
      <c r="I88" s="312"/>
    </row>
    <row r="89" spans="1:14" x14ac:dyDescent="0.25">
      <c r="A89" s="312"/>
      <c r="C89" s="478" t="s">
        <v>353</v>
      </c>
      <c r="D89" s="476">
        <f>105400+79700+91310</f>
        <v>276410</v>
      </c>
      <c r="E89" s="475">
        <v>886</v>
      </c>
      <c r="G89" s="351"/>
      <c r="H89" s="475">
        <v>70000</v>
      </c>
      <c r="I89" s="644">
        <f>SUM(D89:H89)</f>
        <v>347296</v>
      </c>
    </row>
    <row r="90" spans="1:14" x14ac:dyDescent="0.25">
      <c r="A90" s="312"/>
      <c r="C90" s="312"/>
      <c r="D90" s="464">
        <f>SUM(D88:D89)</f>
        <v>1605460</v>
      </c>
      <c r="E90" s="312"/>
      <c r="F90" s="312"/>
      <c r="G90" s="312"/>
      <c r="H90" s="644">
        <f>SUM(D89:H89)</f>
        <v>347296</v>
      </c>
      <c r="I90" s="312"/>
      <c r="J90" s="312"/>
    </row>
    <row r="91" spans="1:14" x14ac:dyDescent="0.25">
      <c r="B91" s="352" t="s">
        <v>463</v>
      </c>
      <c r="D91" s="392">
        <f>D90-D86</f>
        <v>0</v>
      </c>
    </row>
    <row r="92" spans="1:14" x14ac:dyDescent="0.25">
      <c r="B92" t="s">
        <v>181</v>
      </c>
      <c r="F92">
        <f>362258+61900</f>
        <v>424158</v>
      </c>
      <c r="G92" t="s">
        <v>466</v>
      </c>
    </row>
    <row r="94" spans="1:14" ht="18" x14ac:dyDescent="0.25">
      <c r="A94" s="736" t="s">
        <v>305</v>
      </c>
      <c r="B94" s="736"/>
      <c r="C94" s="736"/>
      <c r="D94" s="736"/>
      <c r="E94" s="736"/>
      <c r="F94" s="736"/>
      <c r="G94" s="736"/>
      <c r="H94" s="736"/>
    </row>
    <row r="95" spans="1:14" ht="15.75" thickBot="1" x14ac:dyDescent="0.3">
      <c r="A95" s="312"/>
      <c r="B95" s="312"/>
      <c r="C95" s="312"/>
      <c r="D95" s="312"/>
      <c r="E95" s="312"/>
      <c r="F95" s="312"/>
      <c r="G95" s="312"/>
      <c r="H95" s="312"/>
      <c r="I95" s="312"/>
    </row>
    <row r="96" spans="1:14" ht="60.75" thickBot="1" x14ac:dyDescent="0.3">
      <c r="A96" s="313" t="s">
        <v>207</v>
      </c>
      <c r="B96" s="313" t="s">
        <v>208</v>
      </c>
      <c r="C96" s="314" t="s">
        <v>209</v>
      </c>
      <c r="D96" s="314" t="s">
        <v>229</v>
      </c>
      <c r="E96" s="314" t="s">
        <v>238</v>
      </c>
      <c r="F96" s="314" t="s">
        <v>210</v>
      </c>
      <c r="G96" s="314" t="s">
        <v>226</v>
      </c>
      <c r="H96" s="314" t="s">
        <v>351</v>
      </c>
      <c r="I96" s="315" t="s">
        <v>211</v>
      </c>
      <c r="L96" s="737" t="s">
        <v>212</v>
      </c>
      <c r="M96" s="738"/>
      <c r="N96" s="739"/>
    </row>
    <row r="97" spans="1:14" ht="16.5" thickBot="1" x14ac:dyDescent="0.3">
      <c r="A97" s="316" t="s">
        <v>82</v>
      </c>
      <c r="B97" s="317" t="s">
        <v>159</v>
      </c>
      <c r="C97" s="195">
        <v>1500</v>
      </c>
      <c r="D97" s="195"/>
      <c r="E97" s="195"/>
      <c r="F97" s="195">
        <v>1500</v>
      </c>
      <c r="G97" s="195"/>
      <c r="H97" s="195"/>
      <c r="I97" s="318">
        <f t="shared" ref="I97:I108" si="27">SUM(D97:H97)</f>
        <v>1500</v>
      </c>
      <c r="J97" s="319">
        <f t="shared" ref="J97:J115" si="28">C97-I97</f>
        <v>0</v>
      </c>
      <c r="L97" s="320" t="s">
        <v>213</v>
      </c>
      <c r="M97" s="321" t="s">
        <v>214</v>
      </c>
      <c r="N97" s="322" t="s">
        <v>215</v>
      </c>
    </row>
    <row r="98" spans="1:14" ht="16.5" thickBot="1" x14ac:dyDescent="0.3">
      <c r="A98" s="331" t="s">
        <v>89</v>
      </c>
      <c r="B98" s="636" t="s">
        <v>334</v>
      </c>
      <c r="C98" s="192">
        <f>390000</f>
        <v>390000</v>
      </c>
      <c r="D98" s="192">
        <f>300000</f>
        <v>300000</v>
      </c>
      <c r="E98" s="192"/>
      <c r="F98" s="192">
        <v>20000</v>
      </c>
      <c r="G98" s="332"/>
      <c r="H98" s="332">
        <v>70000</v>
      </c>
      <c r="I98" s="333">
        <f t="shared" si="27"/>
        <v>390000</v>
      </c>
      <c r="J98" s="319">
        <f t="shared" si="28"/>
        <v>0</v>
      </c>
      <c r="K98" s="310"/>
      <c r="L98" s="324" t="s">
        <v>239</v>
      </c>
      <c r="M98" s="325">
        <v>500</v>
      </c>
      <c r="N98" s="365"/>
    </row>
    <row r="99" spans="1:14" ht="15.75" x14ac:dyDescent="0.25">
      <c r="A99" s="330" t="s">
        <v>160</v>
      </c>
      <c r="B99" s="339" t="s">
        <v>161</v>
      </c>
      <c r="C99" s="198">
        <f>25000</f>
        <v>25000</v>
      </c>
      <c r="D99" s="198"/>
      <c r="E99" s="198">
        <v>5000</v>
      </c>
      <c r="F99" s="198">
        <f>20000</f>
        <v>20000</v>
      </c>
      <c r="G99" s="198"/>
      <c r="H99" s="198"/>
      <c r="I99" s="318">
        <f t="shared" si="27"/>
        <v>25000</v>
      </c>
      <c r="J99" s="319">
        <f t="shared" si="28"/>
        <v>0</v>
      </c>
      <c r="L99" s="328" t="s">
        <v>240</v>
      </c>
      <c r="M99" s="325">
        <v>1000</v>
      </c>
      <c r="N99" s="365"/>
    </row>
    <row r="100" spans="1:14" ht="15.75" x14ac:dyDescent="0.25">
      <c r="A100" s="335" t="s">
        <v>160</v>
      </c>
      <c r="B100" s="336" t="s">
        <v>216</v>
      </c>
      <c r="C100" s="311">
        <v>30000</v>
      </c>
      <c r="D100" s="311"/>
      <c r="E100" s="311"/>
      <c r="F100" s="311">
        <v>30000</v>
      </c>
      <c r="G100" s="311"/>
      <c r="H100" s="311"/>
      <c r="I100" s="329">
        <f t="shared" si="27"/>
        <v>30000</v>
      </c>
      <c r="J100" s="319">
        <f t="shared" si="28"/>
        <v>0</v>
      </c>
      <c r="L100" s="324" t="s">
        <v>224</v>
      </c>
      <c r="M100" s="325">
        <v>5000</v>
      </c>
      <c r="N100" s="365"/>
    </row>
    <row r="101" spans="1:14" ht="15.75" x14ac:dyDescent="0.25">
      <c r="A101" s="323" t="s">
        <v>96</v>
      </c>
      <c r="B101" s="338" t="s">
        <v>242</v>
      </c>
      <c r="C101" s="191">
        <v>10000</v>
      </c>
      <c r="D101" s="191"/>
      <c r="E101" s="191"/>
      <c r="F101" s="191">
        <v>10000</v>
      </c>
      <c r="G101" s="191"/>
      <c r="H101" s="191"/>
      <c r="I101" s="329">
        <f t="shared" si="27"/>
        <v>10000</v>
      </c>
      <c r="J101" s="319">
        <f t="shared" si="28"/>
        <v>0</v>
      </c>
      <c r="L101" s="324" t="s">
        <v>241</v>
      </c>
      <c r="M101" s="334">
        <v>5000</v>
      </c>
      <c r="N101" s="366"/>
    </row>
    <row r="102" spans="1:14" ht="15.75" x14ac:dyDescent="0.25">
      <c r="A102" s="323" t="s">
        <v>96</v>
      </c>
      <c r="B102" s="338" t="s">
        <v>192</v>
      </c>
      <c r="C102" s="191">
        <v>100000</v>
      </c>
      <c r="D102" s="191"/>
      <c r="E102" s="191"/>
      <c r="F102" s="191">
        <v>100000</v>
      </c>
      <c r="G102" s="191"/>
      <c r="H102" s="191"/>
      <c r="I102" s="329">
        <f t="shared" si="27"/>
        <v>100000</v>
      </c>
      <c r="J102" s="367">
        <f t="shared" si="28"/>
        <v>0</v>
      </c>
      <c r="K102" s="310"/>
      <c r="L102" s="324" t="s">
        <v>217</v>
      </c>
      <c r="M102" s="334">
        <v>3000</v>
      </c>
      <c r="N102" s="366"/>
    </row>
    <row r="103" spans="1:14" ht="15.75" x14ac:dyDescent="0.25">
      <c r="A103" s="316" t="s">
        <v>356</v>
      </c>
      <c r="B103" s="342" t="s">
        <v>342</v>
      </c>
      <c r="C103" s="343">
        <v>218000</v>
      </c>
      <c r="D103" s="195">
        <v>178000</v>
      </c>
      <c r="E103" s="195"/>
      <c r="F103" s="195">
        <v>40000</v>
      </c>
      <c r="G103" s="195"/>
      <c r="H103" s="195"/>
      <c r="I103" s="318">
        <f>SUM(D103:H103)</f>
        <v>218000</v>
      </c>
      <c r="J103" s="319">
        <f>C103-I103</f>
        <v>0</v>
      </c>
      <c r="L103" s="328" t="s">
        <v>225</v>
      </c>
      <c r="M103" s="334">
        <v>1000</v>
      </c>
      <c r="N103" s="368"/>
    </row>
    <row r="104" spans="1:14" ht="16.5" thickBot="1" x14ac:dyDescent="0.3">
      <c r="A104" s="331" t="s">
        <v>98</v>
      </c>
      <c r="B104" s="465" t="s">
        <v>336</v>
      </c>
      <c r="C104" s="192">
        <v>85000</v>
      </c>
      <c r="D104" s="192">
        <v>79700</v>
      </c>
      <c r="E104" s="192"/>
      <c r="F104" s="192">
        <v>5300</v>
      </c>
      <c r="G104" s="192"/>
      <c r="H104" s="192"/>
      <c r="I104" s="333">
        <f t="shared" si="27"/>
        <v>85000</v>
      </c>
      <c r="J104" s="319">
        <f t="shared" si="28"/>
        <v>0</v>
      </c>
      <c r="K104" s="310">
        <f>SUM(C99:C104)</f>
        <v>468000</v>
      </c>
      <c r="L104" s="328" t="s">
        <v>218</v>
      </c>
      <c r="M104" s="334">
        <v>1000</v>
      </c>
      <c r="N104" s="369"/>
    </row>
    <row r="105" spans="1:14" ht="15.75" x14ac:dyDescent="0.25">
      <c r="A105" s="326" t="s">
        <v>110</v>
      </c>
      <c r="B105" s="466" t="s">
        <v>335</v>
      </c>
      <c r="C105" s="189">
        <v>202000</v>
      </c>
      <c r="D105" s="189">
        <f>105400+35350</f>
        <v>140750</v>
      </c>
      <c r="E105" s="189"/>
      <c r="F105" s="189">
        <v>61250</v>
      </c>
      <c r="G105" s="189"/>
      <c r="H105" s="189"/>
      <c r="I105" s="327">
        <f t="shared" si="27"/>
        <v>202000</v>
      </c>
      <c r="J105" s="319">
        <f t="shared" si="28"/>
        <v>0</v>
      </c>
      <c r="L105" s="370" t="s">
        <v>243</v>
      </c>
      <c r="M105" s="371">
        <v>1500</v>
      </c>
      <c r="N105" s="372"/>
    </row>
    <row r="106" spans="1:14" ht="15.75" x14ac:dyDescent="0.25">
      <c r="A106" s="316" t="s">
        <v>112</v>
      </c>
      <c r="B106" s="202" t="s">
        <v>221</v>
      </c>
      <c r="C106" s="195">
        <f>200000</f>
        <v>200000</v>
      </c>
      <c r="D106" s="195">
        <v>190000</v>
      </c>
      <c r="E106" s="195"/>
      <c r="F106" s="195">
        <v>10000</v>
      </c>
      <c r="G106" s="195"/>
      <c r="H106" s="195"/>
      <c r="I106" s="318">
        <f t="shared" si="27"/>
        <v>200000</v>
      </c>
      <c r="J106" s="319">
        <f t="shared" si="28"/>
        <v>0</v>
      </c>
      <c r="L106" s="370"/>
      <c r="M106" s="371"/>
      <c r="N106" s="372"/>
    </row>
    <row r="107" spans="1:14" ht="16.5" thickBot="1" x14ac:dyDescent="0.3">
      <c r="A107" s="337" t="s">
        <v>112</v>
      </c>
      <c r="B107" s="637" t="s">
        <v>191</v>
      </c>
      <c r="C107" s="199">
        <f>100000+886</f>
        <v>100886</v>
      </c>
      <c r="D107" s="199"/>
      <c r="E107" s="199">
        <f>886</f>
        <v>886</v>
      </c>
      <c r="F107" s="191">
        <v>100000</v>
      </c>
      <c r="G107" s="191"/>
      <c r="H107" s="191"/>
      <c r="I107" s="329">
        <f t="shared" si="27"/>
        <v>100886</v>
      </c>
      <c r="J107" s="319">
        <f t="shared" si="28"/>
        <v>0</v>
      </c>
      <c r="K107" s="310">
        <f>SUM(C105:C107)</f>
        <v>502886</v>
      </c>
      <c r="L107" s="353" t="s">
        <v>219</v>
      </c>
      <c r="M107" s="354">
        <v>12000</v>
      </c>
      <c r="N107" s="373"/>
    </row>
    <row r="108" spans="1:14" ht="16.5" thickBot="1" x14ac:dyDescent="0.3">
      <c r="A108" s="326" t="s">
        <v>121</v>
      </c>
      <c r="B108" s="470" t="s">
        <v>244</v>
      </c>
      <c r="C108" s="189">
        <f>494700+91310+70000</f>
        <v>656010</v>
      </c>
      <c r="D108" s="189">
        <f>434700+91310</f>
        <v>526010</v>
      </c>
      <c r="E108" s="189"/>
      <c r="F108" s="189">
        <f>60000+70000</f>
        <v>130000</v>
      </c>
      <c r="G108" s="189"/>
      <c r="H108" s="189"/>
      <c r="I108" s="327">
        <f t="shared" si="27"/>
        <v>656010</v>
      </c>
      <c r="J108" s="319">
        <f t="shared" si="28"/>
        <v>0</v>
      </c>
      <c r="L108" s="355" t="s">
        <v>220</v>
      </c>
      <c r="M108" s="356">
        <f>SUM(M98:M107)</f>
        <v>30000</v>
      </c>
      <c r="N108" s="357"/>
    </row>
    <row r="109" spans="1:14" x14ac:dyDescent="0.25">
      <c r="A109" s="323" t="s">
        <v>123</v>
      </c>
      <c r="B109" s="473" t="s">
        <v>343</v>
      </c>
      <c r="C109" s="191">
        <v>0</v>
      </c>
      <c r="D109" s="191"/>
      <c r="E109" s="191"/>
      <c r="F109" s="191">
        <v>0</v>
      </c>
      <c r="G109" s="191"/>
      <c r="H109" s="191"/>
      <c r="I109" s="329">
        <f t="shared" ref="I109:I111" si="29">SUM(D109:H109)</f>
        <v>0</v>
      </c>
      <c r="J109" s="319">
        <f t="shared" si="28"/>
        <v>0</v>
      </c>
    </row>
    <row r="110" spans="1:14" x14ac:dyDescent="0.25">
      <c r="A110" s="323" t="s">
        <v>123</v>
      </c>
      <c r="B110" s="474" t="s">
        <v>346</v>
      </c>
      <c r="C110" s="191">
        <v>8200</v>
      </c>
      <c r="D110" s="191"/>
      <c r="E110" s="191"/>
      <c r="F110" s="191">
        <v>8200</v>
      </c>
      <c r="G110" s="191"/>
      <c r="H110" s="191"/>
      <c r="I110" s="329">
        <f t="shared" si="29"/>
        <v>8200</v>
      </c>
      <c r="J110" s="319">
        <f t="shared" si="28"/>
        <v>0</v>
      </c>
    </row>
    <row r="111" spans="1:14" ht="15.75" thickBot="1" x14ac:dyDescent="0.3">
      <c r="A111" s="471" t="s">
        <v>124</v>
      </c>
      <c r="B111" s="472" t="s">
        <v>347</v>
      </c>
      <c r="C111" s="193">
        <v>7450</v>
      </c>
      <c r="D111" s="193"/>
      <c r="E111" s="193"/>
      <c r="F111" s="193">
        <v>7450</v>
      </c>
      <c r="G111" s="193"/>
      <c r="H111" s="193"/>
      <c r="I111" s="469">
        <f t="shared" si="29"/>
        <v>7450</v>
      </c>
      <c r="J111" s="319">
        <f t="shared" si="28"/>
        <v>0</v>
      </c>
      <c r="K111" s="310">
        <f>SUM(C108:C111)</f>
        <v>671660</v>
      </c>
    </row>
    <row r="112" spans="1:14" ht="15.75" thickBot="1" x14ac:dyDescent="0.3">
      <c r="A112" s="740" t="s">
        <v>222</v>
      </c>
      <c r="B112" s="741"/>
      <c r="C112" s="340">
        <f t="shared" ref="C112:I112" si="30">SUM(C97:C111)</f>
        <v>2034046</v>
      </c>
      <c r="D112" s="340">
        <f t="shared" si="30"/>
        <v>1414460</v>
      </c>
      <c r="E112" s="340">
        <f t="shared" si="30"/>
        <v>5886</v>
      </c>
      <c r="F112" s="340">
        <f t="shared" si="30"/>
        <v>543700</v>
      </c>
      <c r="G112" s="340">
        <f t="shared" si="30"/>
        <v>0</v>
      </c>
      <c r="H112" s="340">
        <f t="shared" si="30"/>
        <v>70000</v>
      </c>
      <c r="I112" s="359">
        <f t="shared" si="30"/>
        <v>2034046</v>
      </c>
      <c r="J112" s="319">
        <f t="shared" si="28"/>
        <v>0</v>
      </c>
    </row>
    <row r="113" spans="1:10" ht="15.75" thickBot="1" x14ac:dyDescent="0.3">
      <c r="A113" s="316"/>
      <c r="B113" s="342"/>
      <c r="C113" s="343"/>
      <c r="D113" s="195"/>
      <c r="E113" s="195"/>
      <c r="F113" s="341"/>
      <c r="G113" s="341"/>
      <c r="H113" s="195"/>
      <c r="I113" s="318">
        <f>SUM(D113:H113)</f>
        <v>0</v>
      </c>
      <c r="J113" s="319">
        <f t="shared" si="28"/>
        <v>0</v>
      </c>
    </row>
    <row r="114" spans="1:10" ht="15.75" thickBot="1" x14ac:dyDescent="0.3">
      <c r="A114" s="740" t="s">
        <v>223</v>
      </c>
      <c r="B114" s="741"/>
      <c r="C114" s="340">
        <f>SUM(C113:C113)</f>
        <v>0</v>
      </c>
      <c r="D114" s="340">
        <f t="shared" ref="D114:H114" si="31">SUM(D113:D113)</f>
        <v>0</v>
      </c>
      <c r="E114" s="340">
        <f t="shared" si="31"/>
        <v>0</v>
      </c>
      <c r="F114" s="340">
        <f t="shared" si="31"/>
        <v>0</v>
      </c>
      <c r="G114" s="340">
        <f t="shared" si="31"/>
        <v>0</v>
      </c>
      <c r="H114" s="340">
        <f t="shared" si="31"/>
        <v>0</v>
      </c>
      <c r="I114" s="359">
        <f>SUM(I113:I113)</f>
        <v>0</v>
      </c>
      <c r="J114" s="319">
        <f t="shared" si="28"/>
        <v>0</v>
      </c>
    </row>
    <row r="115" spans="1:10" ht="15.75" thickBot="1" x14ac:dyDescent="0.3">
      <c r="A115" s="740" t="s">
        <v>248</v>
      </c>
      <c r="B115" s="741"/>
      <c r="C115" s="340">
        <f>C112+C114</f>
        <v>2034046</v>
      </c>
      <c r="D115" s="340">
        <f t="shared" ref="D115:H115" si="32">D112+D114</f>
        <v>1414460</v>
      </c>
      <c r="E115" s="340">
        <f t="shared" si="32"/>
        <v>5886</v>
      </c>
      <c r="F115" s="340">
        <f t="shared" si="32"/>
        <v>543700</v>
      </c>
      <c r="G115" s="340">
        <f t="shared" si="32"/>
        <v>0</v>
      </c>
      <c r="H115" s="340">
        <f t="shared" si="32"/>
        <v>70000</v>
      </c>
      <c r="I115" s="359">
        <f>I112+I114</f>
        <v>2034046</v>
      </c>
      <c r="J115" s="319">
        <f t="shared" si="28"/>
        <v>0</v>
      </c>
    </row>
    <row r="116" spans="1:10" x14ac:dyDescent="0.25">
      <c r="A116" s="344"/>
      <c r="B116" s="344"/>
      <c r="C116" s="345"/>
      <c r="E116" s="347"/>
      <c r="F116" s="346"/>
      <c r="G116" s="346"/>
      <c r="H116" s="348"/>
      <c r="I116" s="349"/>
      <c r="J116" s="350"/>
    </row>
    <row r="117" spans="1:10" x14ac:dyDescent="0.25">
      <c r="A117" s="312"/>
      <c r="C117" s="478" t="s">
        <v>352</v>
      </c>
      <c r="D117" s="464">
        <f>35350+388940+45760+190000+300000+178000</f>
        <v>1138050</v>
      </c>
      <c r="E117" s="481">
        <f>D117+5000</f>
        <v>1143050</v>
      </c>
      <c r="F117" s="358"/>
      <c r="G117" s="358"/>
      <c r="H117" s="312"/>
      <c r="I117" s="312"/>
    </row>
    <row r="118" spans="1:10" x14ac:dyDescent="0.25">
      <c r="A118" s="312"/>
      <c r="C118" s="478" t="s">
        <v>353</v>
      </c>
      <c r="D118" s="476">
        <f>105400+79700+91310</f>
        <v>276410</v>
      </c>
      <c r="E118" s="475">
        <v>886</v>
      </c>
      <c r="G118" s="351"/>
      <c r="H118" s="475">
        <v>70000</v>
      </c>
    </row>
    <row r="119" spans="1:10" x14ac:dyDescent="0.25">
      <c r="A119" s="312"/>
      <c r="C119" s="312"/>
      <c r="D119" s="464">
        <f>SUM(D117:D118)</f>
        <v>1414460</v>
      </c>
      <c r="E119" s="312"/>
      <c r="F119" s="312"/>
      <c r="G119" s="312"/>
      <c r="H119" s="477">
        <f>SUM(D118:H118)</f>
        <v>347296</v>
      </c>
      <c r="I119" s="312"/>
      <c r="J119" s="312"/>
    </row>
    <row r="120" spans="1:10" x14ac:dyDescent="0.25">
      <c r="D120" s="392">
        <f>D119-D115</f>
        <v>0</v>
      </c>
    </row>
    <row r="121" spans="1:10" x14ac:dyDescent="0.25">
      <c r="B121" s="352" t="s">
        <v>467</v>
      </c>
    </row>
    <row r="122" spans="1:10" x14ac:dyDescent="0.25">
      <c r="B122" t="s">
        <v>181</v>
      </c>
    </row>
  </sheetData>
  <mergeCells count="20">
    <mergeCell ref="A1:H1"/>
    <mergeCell ref="L3:N3"/>
    <mergeCell ref="A20:B20"/>
    <mergeCell ref="A22:B22"/>
    <mergeCell ref="A23:B23"/>
    <mergeCell ref="A34:H34"/>
    <mergeCell ref="L36:N36"/>
    <mergeCell ref="A53:B53"/>
    <mergeCell ref="A55:B55"/>
    <mergeCell ref="A56:B56"/>
    <mergeCell ref="A94:H94"/>
    <mergeCell ref="L96:N96"/>
    <mergeCell ref="A112:B112"/>
    <mergeCell ref="A114:B114"/>
    <mergeCell ref="A115:B115"/>
    <mergeCell ref="A64:H64"/>
    <mergeCell ref="L66:N66"/>
    <mergeCell ref="A83:B83"/>
    <mergeCell ref="A85:B85"/>
    <mergeCell ref="A86:B8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19A6-85A1-4FF8-A040-D24B8C027679}">
  <dimension ref="A1:G37"/>
  <sheetViews>
    <sheetView workbookViewId="0">
      <selection sqref="A1:G1"/>
    </sheetView>
  </sheetViews>
  <sheetFormatPr defaultRowHeight="15" x14ac:dyDescent="0.25"/>
  <cols>
    <col min="5" max="5" width="23.42578125" customWidth="1"/>
    <col min="6" max="6" width="11.7109375" customWidth="1"/>
    <col min="7" max="7" width="12.28515625" customWidth="1"/>
  </cols>
  <sheetData>
    <row r="1" spans="1:7" ht="18" x14ac:dyDescent="0.25">
      <c r="A1" s="730" t="s">
        <v>418</v>
      </c>
      <c r="B1" s="730"/>
      <c r="C1" s="730"/>
      <c r="D1" s="730"/>
      <c r="E1" s="730"/>
      <c r="F1" s="730"/>
      <c r="G1" s="730"/>
    </row>
    <row r="4" spans="1:7" ht="15.75" x14ac:dyDescent="0.25">
      <c r="A4" s="743" t="s">
        <v>419</v>
      </c>
      <c r="B4" s="743"/>
      <c r="C4" s="743"/>
      <c r="D4" s="743"/>
      <c r="E4" s="743"/>
      <c r="F4" s="743"/>
      <c r="G4" s="743"/>
    </row>
    <row r="5" spans="1:7" ht="15.75" x14ac:dyDescent="0.25">
      <c r="A5" s="743" t="s">
        <v>445</v>
      </c>
      <c r="B5" s="743"/>
      <c r="C5" s="743"/>
      <c r="D5" s="743"/>
      <c r="E5" s="743"/>
      <c r="F5" s="743"/>
      <c r="G5" s="743"/>
    </row>
    <row r="6" spans="1:7" ht="15.75" thickBot="1" x14ac:dyDescent="0.3"/>
    <row r="7" spans="1:7" ht="39" thickBot="1" x14ac:dyDescent="0.3">
      <c r="A7" s="571" t="s">
        <v>420</v>
      </c>
      <c r="B7" s="572" t="s">
        <v>421</v>
      </c>
      <c r="C7" s="572" t="s">
        <v>422</v>
      </c>
      <c r="D7" s="572" t="s">
        <v>423</v>
      </c>
      <c r="E7" s="573" t="s">
        <v>424</v>
      </c>
      <c r="F7" s="574" t="s">
        <v>425</v>
      </c>
      <c r="G7" s="575" t="s">
        <v>426</v>
      </c>
    </row>
    <row r="8" spans="1:7" x14ac:dyDescent="0.25">
      <c r="A8" s="576" t="s">
        <v>427</v>
      </c>
      <c r="B8" s="577"/>
      <c r="C8" s="578" t="s">
        <v>428</v>
      </c>
      <c r="D8" s="577">
        <v>45317</v>
      </c>
      <c r="E8" s="578" t="s">
        <v>472</v>
      </c>
      <c r="F8" s="579">
        <v>57801</v>
      </c>
      <c r="G8" s="580">
        <v>57801</v>
      </c>
    </row>
    <row r="9" spans="1:7" x14ac:dyDescent="0.25">
      <c r="A9" s="581" t="s">
        <v>429</v>
      </c>
      <c r="B9" s="582" t="s">
        <v>498</v>
      </c>
      <c r="C9" s="583" t="s">
        <v>430</v>
      </c>
      <c r="D9" s="584">
        <v>45344</v>
      </c>
      <c r="E9" s="593" t="s">
        <v>472</v>
      </c>
      <c r="F9" s="586">
        <v>79000</v>
      </c>
      <c r="G9" s="587">
        <v>79000</v>
      </c>
    </row>
    <row r="10" spans="1:7" x14ac:dyDescent="0.25">
      <c r="A10" s="588" t="s">
        <v>431</v>
      </c>
      <c r="B10" s="585"/>
      <c r="C10" s="585" t="s">
        <v>499</v>
      </c>
      <c r="D10" s="589">
        <v>45345</v>
      </c>
      <c r="E10" s="585" t="s">
        <v>500</v>
      </c>
      <c r="F10" s="590">
        <v>52100</v>
      </c>
      <c r="G10" s="591">
        <v>52100</v>
      </c>
    </row>
    <row r="11" spans="1:7" x14ac:dyDescent="0.25">
      <c r="A11" s="592" t="s">
        <v>432</v>
      </c>
      <c r="B11" s="593" t="s">
        <v>566</v>
      </c>
      <c r="C11" s="585" t="s">
        <v>518</v>
      </c>
      <c r="D11" s="589">
        <v>45372</v>
      </c>
      <c r="E11" s="585" t="s">
        <v>500</v>
      </c>
      <c r="F11" s="586">
        <v>1179100</v>
      </c>
      <c r="G11" s="587">
        <v>1179100</v>
      </c>
    </row>
    <row r="12" spans="1:7" x14ac:dyDescent="0.25">
      <c r="A12" s="592" t="s">
        <v>433</v>
      </c>
      <c r="B12" s="593"/>
      <c r="C12" s="585" t="s">
        <v>539</v>
      </c>
      <c r="D12" s="589">
        <v>45377</v>
      </c>
      <c r="E12" s="585" t="s">
        <v>500</v>
      </c>
      <c r="F12" s="586">
        <v>3132</v>
      </c>
      <c r="G12" s="587">
        <v>3132</v>
      </c>
    </row>
    <row r="13" spans="1:7" x14ac:dyDescent="0.25">
      <c r="A13" s="592" t="s">
        <v>434</v>
      </c>
      <c r="B13" s="583"/>
      <c r="C13" s="585"/>
      <c r="D13" s="584"/>
      <c r="E13" s="585"/>
      <c r="F13" s="586"/>
      <c r="G13" s="587"/>
    </row>
    <row r="14" spans="1:7" x14ac:dyDescent="0.25">
      <c r="A14" s="592" t="s">
        <v>435</v>
      </c>
      <c r="B14" s="593"/>
      <c r="C14" s="585"/>
      <c r="D14" s="584"/>
      <c r="E14" s="585"/>
      <c r="F14" s="586"/>
      <c r="G14" s="587"/>
    </row>
    <row r="15" spans="1:7" x14ac:dyDescent="0.25">
      <c r="A15" s="592" t="s">
        <v>436</v>
      </c>
      <c r="B15" s="583"/>
      <c r="C15" s="585"/>
      <c r="D15" s="584"/>
      <c r="E15" s="585"/>
      <c r="F15" s="586"/>
      <c r="G15" s="587"/>
    </row>
    <row r="16" spans="1:7" x14ac:dyDescent="0.25">
      <c r="A16" s="592" t="s">
        <v>437</v>
      </c>
      <c r="B16" s="583"/>
      <c r="C16" s="585"/>
      <c r="D16" s="584"/>
      <c r="E16" s="585"/>
      <c r="F16" s="586"/>
      <c r="G16" s="587"/>
    </row>
    <row r="17" spans="1:7" x14ac:dyDescent="0.25">
      <c r="A17" s="592">
        <v>10</v>
      </c>
      <c r="B17" s="583"/>
      <c r="C17" s="585"/>
      <c r="D17" s="584"/>
      <c r="E17" s="585"/>
      <c r="F17" s="586"/>
      <c r="G17" s="587"/>
    </row>
    <row r="18" spans="1:7" x14ac:dyDescent="0.25">
      <c r="A18" s="592">
        <v>11</v>
      </c>
      <c r="B18" s="583"/>
      <c r="C18" s="585"/>
      <c r="D18" s="584"/>
      <c r="E18" s="585"/>
      <c r="F18" s="586"/>
      <c r="G18" s="587"/>
    </row>
    <row r="19" spans="1:7" x14ac:dyDescent="0.25">
      <c r="A19" s="592">
        <v>12</v>
      </c>
      <c r="B19" s="583"/>
      <c r="C19" s="585"/>
      <c r="D19" s="584"/>
      <c r="E19" s="585"/>
      <c r="F19" s="586"/>
      <c r="G19" s="587"/>
    </row>
    <row r="20" spans="1:7" x14ac:dyDescent="0.25">
      <c r="A20" s="592">
        <v>13</v>
      </c>
      <c r="B20" s="583"/>
      <c r="C20" s="585"/>
      <c r="D20" s="584"/>
      <c r="E20" s="585"/>
      <c r="F20" s="586"/>
      <c r="G20" s="587"/>
    </row>
    <row r="21" spans="1:7" x14ac:dyDescent="0.25">
      <c r="A21" s="592">
        <v>14</v>
      </c>
      <c r="B21" s="583"/>
      <c r="C21" s="585"/>
      <c r="D21" s="584"/>
      <c r="E21" s="585"/>
      <c r="F21" s="586"/>
      <c r="G21" s="587"/>
    </row>
    <row r="22" spans="1:7" x14ac:dyDescent="0.25">
      <c r="A22" s="592">
        <v>15</v>
      </c>
      <c r="B22" s="583"/>
      <c r="C22" s="593"/>
      <c r="D22" s="584"/>
      <c r="E22" s="585"/>
      <c r="F22" s="586"/>
      <c r="G22" s="587"/>
    </row>
    <row r="23" spans="1:7" x14ac:dyDescent="0.25">
      <c r="A23" s="592">
        <v>16</v>
      </c>
      <c r="B23" s="583"/>
      <c r="C23" s="585"/>
      <c r="D23" s="584"/>
      <c r="E23" s="585"/>
      <c r="F23" s="586"/>
      <c r="G23" s="587"/>
    </row>
    <row r="24" spans="1:7" x14ac:dyDescent="0.25">
      <c r="A24" s="592">
        <v>17</v>
      </c>
      <c r="B24" s="583"/>
      <c r="C24" s="585"/>
      <c r="D24" s="584"/>
      <c r="E24" s="585"/>
      <c r="F24" s="586"/>
      <c r="G24" s="587"/>
    </row>
    <row r="25" spans="1:7" x14ac:dyDescent="0.25">
      <c r="A25" s="592">
        <v>18</v>
      </c>
      <c r="B25" s="583"/>
      <c r="C25" s="585"/>
      <c r="D25" s="584"/>
      <c r="E25" s="585"/>
      <c r="F25" s="586"/>
      <c r="G25" s="587"/>
    </row>
    <row r="26" spans="1:7" ht="15.75" thickBot="1" x14ac:dyDescent="0.3">
      <c r="A26" s="594"/>
      <c r="B26" s="595"/>
      <c r="C26" s="596"/>
      <c r="D26" s="597"/>
      <c r="E26" s="596"/>
      <c r="F26" s="598"/>
      <c r="G26" s="599"/>
    </row>
    <row r="28" spans="1:7" x14ac:dyDescent="0.25">
      <c r="A28" s="600" t="s">
        <v>438</v>
      </c>
      <c r="B28" s="601"/>
      <c r="C28" s="601"/>
      <c r="D28" s="600" t="s">
        <v>439</v>
      </c>
      <c r="E28" s="601"/>
      <c r="F28" s="601"/>
      <c r="G28" s="601"/>
    </row>
    <row r="29" spans="1:7" ht="26.45" customHeight="1" x14ac:dyDescent="0.25">
      <c r="A29" s="742" t="s">
        <v>440</v>
      </c>
      <c r="B29" s="742"/>
      <c r="C29" s="742"/>
      <c r="D29" s="742"/>
      <c r="E29" s="742"/>
      <c r="F29" s="742"/>
      <c r="G29" s="742"/>
    </row>
    <row r="30" spans="1:7" x14ac:dyDescent="0.25">
      <c r="A30" s="742" t="s">
        <v>441</v>
      </c>
      <c r="B30" s="742"/>
      <c r="C30" s="742"/>
      <c r="D30" s="742"/>
      <c r="E30" s="742"/>
      <c r="F30" s="742"/>
      <c r="G30" s="742"/>
    </row>
    <row r="31" spans="1:7" x14ac:dyDescent="0.25">
      <c r="A31" s="742" t="s">
        <v>442</v>
      </c>
      <c r="B31" s="742"/>
      <c r="C31" s="742"/>
      <c r="D31" s="742"/>
      <c r="E31" s="742"/>
      <c r="F31" s="742"/>
      <c r="G31" s="742"/>
    </row>
    <row r="32" spans="1:7" x14ac:dyDescent="0.25">
      <c r="A32" s="742" t="s">
        <v>443</v>
      </c>
      <c r="B32" s="742"/>
      <c r="C32" s="742"/>
      <c r="D32" s="742"/>
      <c r="E32" s="742"/>
      <c r="F32" s="742"/>
      <c r="G32" s="742"/>
    </row>
    <row r="34" spans="1:1" x14ac:dyDescent="0.25">
      <c r="A34" s="554" t="s">
        <v>554</v>
      </c>
    </row>
    <row r="35" spans="1:1" x14ac:dyDescent="0.25">
      <c r="A35" t="s">
        <v>181</v>
      </c>
    </row>
    <row r="37" spans="1:1" x14ac:dyDescent="0.25">
      <c r="A37" t="s">
        <v>444</v>
      </c>
    </row>
  </sheetData>
  <mergeCells count="7">
    <mergeCell ref="A32:G32"/>
    <mergeCell ref="A1:G1"/>
    <mergeCell ref="A4:G4"/>
    <mergeCell ref="A5:G5"/>
    <mergeCell ref="A29:G29"/>
    <mergeCell ref="A30:G30"/>
    <mergeCell ref="A31:G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3CC6C-77CB-4049-AA75-5B4325ACD69A}">
  <dimension ref="A1:P90"/>
  <sheetViews>
    <sheetView workbookViewId="0">
      <selection sqref="A1:M1"/>
    </sheetView>
  </sheetViews>
  <sheetFormatPr defaultRowHeight="15" x14ac:dyDescent="0.25"/>
  <cols>
    <col min="2" max="2" width="57.28515625" customWidth="1"/>
    <col min="3" max="13" width="10.7109375" customWidth="1"/>
  </cols>
  <sheetData>
    <row r="1" spans="1:16" ht="18.75" thickBot="1" x14ac:dyDescent="0.3">
      <c r="A1" s="675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1"/>
    </row>
    <row r="2" spans="1:16" ht="26.25" thickBot="1" x14ac:dyDescent="0.3">
      <c r="A2" s="677" t="s">
        <v>1</v>
      </c>
      <c r="B2" s="678"/>
      <c r="C2" s="291" t="s">
        <v>2</v>
      </c>
      <c r="D2" s="290" t="s">
        <v>3</v>
      </c>
      <c r="E2" s="290" t="s">
        <v>182</v>
      </c>
      <c r="F2" s="290" t="s">
        <v>195</v>
      </c>
      <c r="G2" s="375" t="s">
        <v>230</v>
      </c>
      <c r="H2" s="375" t="s">
        <v>306</v>
      </c>
      <c r="I2" s="289" t="s">
        <v>307</v>
      </c>
      <c r="J2" s="289" t="s">
        <v>344</v>
      </c>
      <c r="K2" s="289">
        <v>2024</v>
      </c>
      <c r="L2" s="289">
        <v>2025</v>
      </c>
      <c r="M2" s="289">
        <v>2026</v>
      </c>
      <c r="N2" s="1"/>
    </row>
    <row r="3" spans="1:16" ht="15.75" thickBot="1" x14ac:dyDescent="0.3">
      <c r="A3" s="679" t="s">
        <v>4</v>
      </c>
      <c r="B3" s="680"/>
      <c r="C3" s="248">
        <f t="shared" ref="C3:M3" si="0">SUM(C4:C10)</f>
        <v>1027468</v>
      </c>
      <c r="D3" s="2">
        <f t="shared" si="0"/>
        <v>1080198</v>
      </c>
      <c r="E3" s="2">
        <f t="shared" si="0"/>
        <v>1187235</v>
      </c>
      <c r="F3" s="2">
        <f t="shared" si="0"/>
        <v>1227590</v>
      </c>
      <c r="G3" s="2">
        <f t="shared" si="0"/>
        <v>1222598</v>
      </c>
      <c r="H3" s="2">
        <f t="shared" si="0"/>
        <v>1302175</v>
      </c>
      <c r="I3" s="2">
        <f t="shared" si="0"/>
        <v>1452500</v>
      </c>
      <c r="J3" s="2">
        <f t="shared" si="0"/>
        <v>1463600</v>
      </c>
      <c r="K3" s="2">
        <f t="shared" si="0"/>
        <v>1485800</v>
      </c>
      <c r="L3" s="2">
        <f t="shared" si="0"/>
        <v>1525800</v>
      </c>
      <c r="M3" s="2">
        <f t="shared" si="0"/>
        <v>1612800</v>
      </c>
      <c r="N3" s="1"/>
    </row>
    <row r="4" spans="1:16" ht="15.75" thickBot="1" x14ac:dyDescent="0.3">
      <c r="A4" s="3">
        <v>111</v>
      </c>
      <c r="B4" s="114" t="s">
        <v>5</v>
      </c>
      <c r="C4" s="4">
        <v>972038</v>
      </c>
      <c r="D4" s="5">
        <v>1022504</v>
      </c>
      <c r="E4" s="6">
        <v>1127294</v>
      </c>
      <c r="F4" s="6">
        <v>1165143</v>
      </c>
      <c r="G4" s="6">
        <v>1156712</v>
      </c>
      <c r="H4" s="6">
        <v>1229241</v>
      </c>
      <c r="I4" s="6">
        <v>1368000</v>
      </c>
      <c r="J4" s="6">
        <v>1379000</v>
      </c>
      <c r="K4" s="6">
        <v>1373000</v>
      </c>
      <c r="L4" s="6">
        <v>1413000</v>
      </c>
      <c r="M4" s="6">
        <v>1500000</v>
      </c>
      <c r="N4" s="1"/>
    </row>
    <row r="5" spans="1:16" ht="15.75" thickBot="1" x14ac:dyDescent="0.3">
      <c r="A5" s="7">
        <v>121</v>
      </c>
      <c r="B5" s="244" t="s">
        <v>6</v>
      </c>
      <c r="C5" s="9">
        <v>31944</v>
      </c>
      <c r="D5" s="10">
        <v>32263</v>
      </c>
      <c r="E5" s="10">
        <v>32335</v>
      </c>
      <c r="F5" s="11">
        <v>34337</v>
      </c>
      <c r="G5" s="11">
        <v>34690</v>
      </c>
      <c r="H5" s="11">
        <v>39338</v>
      </c>
      <c r="I5" s="11">
        <v>43200</v>
      </c>
      <c r="J5" s="11">
        <v>43200</v>
      </c>
      <c r="K5" s="11">
        <v>60400</v>
      </c>
      <c r="L5" s="11">
        <v>60400</v>
      </c>
      <c r="M5" s="11">
        <v>60400</v>
      </c>
      <c r="N5" s="1"/>
    </row>
    <row r="6" spans="1:16" x14ac:dyDescent="0.25">
      <c r="A6" s="12">
        <v>133</v>
      </c>
      <c r="B6" s="245" t="s">
        <v>7</v>
      </c>
      <c r="C6" s="14">
        <v>894</v>
      </c>
      <c r="D6" s="15">
        <v>882</v>
      </c>
      <c r="E6" s="15">
        <v>837</v>
      </c>
      <c r="F6" s="16">
        <v>807</v>
      </c>
      <c r="G6" s="16">
        <v>771</v>
      </c>
      <c r="H6" s="16">
        <v>1052</v>
      </c>
      <c r="I6" s="16">
        <v>1100</v>
      </c>
      <c r="J6" s="16">
        <v>1100</v>
      </c>
      <c r="K6" s="16">
        <v>2000</v>
      </c>
      <c r="L6" s="16">
        <v>2000</v>
      </c>
      <c r="M6" s="16">
        <v>2000</v>
      </c>
      <c r="N6" s="1"/>
    </row>
    <row r="7" spans="1:16" x14ac:dyDescent="0.25">
      <c r="A7" s="17">
        <v>133</v>
      </c>
      <c r="B7" s="246" t="s">
        <v>8</v>
      </c>
      <c r="C7" s="19">
        <v>280</v>
      </c>
      <c r="D7" s="20">
        <v>280</v>
      </c>
      <c r="E7" s="20">
        <v>520</v>
      </c>
      <c r="F7" s="21">
        <v>160</v>
      </c>
      <c r="G7" s="21">
        <v>327</v>
      </c>
      <c r="H7" s="21">
        <v>160</v>
      </c>
      <c r="I7" s="21">
        <v>200</v>
      </c>
      <c r="J7" s="21">
        <v>160</v>
      </c>
      <c r="K7" s="21">
        <v>400</v>
      </c>
      <c r="L7" s="21">
        <v>400</v>
      </c>
      <c r="M7" s="21">
        <v>400</v>
      </c>
      <c r="N7" s="1"/>
    </row>
    <row r="8" spans="1:16" x14ac:dyDescent="0.25">
      <c r="A8" s="17">
        <v>133</v>
      </c>
      <c r="B8" s="246" t="s">
        <v>9</v>
      </c>
      <c r="C8" s="19">
        <v>1454</v>
      </c>
      <c r="D8" s="20">
        <v>1587</v>
      </c>
      <c r="E8" s="20">
        <v>2465</v>
      </c>
      <c r="F8" s="21">
        <v>1486</v>
      </c>
      <c r="G8" s="21">
        <v>385</v>
      </c>
      <c r="H8" s="21">
        <v>1464</v>
      </c>
      <c r="I8" s="21">
        <v>2000</v>
      </c>
      <c r="J8" s="21">
        <v>2040</v>
      </c>
      <c r="K8" s="21">
        <v>5000</v>
      </c>
      <c r="L8" s="21">
        <v>5000</v>
      </c>
      <c r="M8" s="21">
        <v>5000</v>
      </c>
      <c r="N8" s="1"/>
    </row>
    <row r="9" spans="1:16" x14ac:dyDescent="0.25">
      <c r="A9" s="17">
        <v>133</v>
      </c>
      <c r="B9" s="246" t="s">
        <v>10</v>
      </c>
      <c r="C9" s="19">
        <v>3624</v>
      </c>
      <c r="D9" s="20">
        <v>3468</v>
      </c>
      <c r="E9" s="20">
        <v>5114</v>
      </c>
      <c r="F9" s="21">
        <v>1386</v>
      </c>
      <c r="G9" s="21">
        <v>1483</v>
      </c>
      <c r="H9" s="21">
        <v>5319</v>
      </c>
      <c r="I9" s="21">
        <v>6000</v>
      </c>
      <c r="J9" s="21">
        <v>6100</v>
      </c>
      <c r="K9" s="21">
        <v>7000</v>
      </c>
      <c r="L9" s="21">
        <v>7000</v>
      </c>
      <c r="M9" s="21">
        <v>7000</v>
      </c>
      <c r="N9" s="1"/>
    </row>
    <row r="10" spans="1:16" ht="15.75" thickBot="1" x14ac:dyDescent="0.3">
      <c r="A10" s="22">
        <v>133</v>
      </c>
      <c r="B10" s="247" t="s">
        <v>11</v>
      </c>
      <c r="C10" s="24">
        <v>17234</v>
      </c>
      <c r="D10" s="25">
        <v>19214</v>
      </c>
      <c r="E10" s="26">
        <v>18670</v>
      </c>
      <c r="F10" s="26">
        <v>24271</v>
      </c>
      <c r="G10" s="26">
        <v>28230</v>
      </c>
      <c r="H10" s="26">
        <v>25601</v>
      </c>
      <c r="I10" s="26">
        <v>32000</v>
      </c>
      <c r="J10" s="26">
        <v>32000</v>
      </c>
      <c r="K10" s="26">
        <v>38000</v>
      </c>
      <c r="L10" s="26">
        <v>38000</v>
      </c>
      <c r="M10" s="26">
        <v>38000</v>
      </c>
      <c r="N10" s="27">
        <f>SUM(K6:K10)</f>
        <v>52400</v>
      </c>
      <c r="O10" s="27">
        <f t="shared" ref="O10:P10" si="1">SUM(L6:L10)</f>
        <v>52400</v>
      </c>
      <c r="P10" s="27">
        <f t="shared" si="1"/>
        <v>52400</v>
      </c>
    </row>
    <row r="11" spans="1:16" ht="15.75" thickBot="1" x14ac:dyDescent="0.3">
      <c r="A11" s="679" t="s">
        <v>12</v>
      </c>
      <c r="B11" s="680"/>
      <c r="C11" s="248">
        <f t="shared" ref="C11:M11" si="2">SUM(C12:C31)</f>
        <v>132648</v>
      </c>
      <c r="D11" s="248">
        <f t="shared" si="2"/>
        <v>200169</v>
      </c>
      <c r="E11" s="248">
        <f t="shared" si="2"/>
        <v>185006</v>
      </c>
      <c r="F11" s="248">
        <f t="shared" si="2"/>
        <v>130051</v>
      </c>
      <c r="G11" s="248">
        <f t="shared" si="2"/>
        <v>158058</v>
      </c>
      <c r="H11" s="248">
        <f t="shared" si="2"/>
        <v>165802</v>
      </c>
      <c r="I11" s="248">
        <f t="shared" si="2"/>
        <v>245915</v>
      </c>
      <c r="J11" s="248">
        <f t="shared" si="2"/>
        <v>255615</v>
      </c>
      <c r="K11" s="248">
        <f t="shared" si="2"/>
        <v>246161</v>
      </c>
      <c r="L11" s="248">
        <f t="shared" si="2"/>
        <v>242861</v>
      </c>
      <c r="M11" s="248">
        <f t="shared" si="2"/>
        <v>242861</v>
      </c>
      <c r="N11" s="1"/>
    </row>
    <row r="12" spans="1:16" x14ac:dyDescent="0.25">
      <c r="A12" s="28">
        <v>212</v>
      </c>
      <c r="B12" s="29" t="s">
        <v>13</v>
      </c>
      <c r="C12" s="30">
        <v>2027</v>
      </c>
      <c r="D12" s="31">
        <v>2117</v>
      </c>
      <c r="E12" s="32">
        <v>2105</v>
      </c>
      <c r="F12" s="32">
        <v>1874</v>
      </c>
      <c r="G12" s="32">
        <v>1824</v>
      </c>
      <c r="H12" s="32">
        <v>1294</v>
      </c>
      <c r="I12" s="32">
        <v>1294</v>
      </c>
      <c r="J12" s="32">
        <v>2373</v>
      </c>
      <c r="K12" s="32">
        <v>2913</v>
      </c>
      <c r="L12" s="32">
        <v>2913</v>
      </c>
      <c r="M12" s="32">
        <v>2913</v>
      </c>
      <c r="N12" s="1"/>
    </row>
    <row r="13" spans="1:16" ht="15.75" thickBot="1" x14ac:dyDescent="0.3">
      <c r="A13" s="22">
        <v>212</v>
      </c>
      <c r="B13" s="23" t="s">
        <v>14</v>
      </c>
      <c r="C13" s="24">
        <v>189</v>
      </c>
      <c r="D13" s="48">
        <v>23970</v>
      </c>
      <c r="E13" s="79">
        <v>7680</v>
      </c>
      <c r="F13" s="79">
        <v>2530</v>
      </c>
      <c r="G13" s="79">
        <v>1030</v>
      </c>
      <c r="H13" s="79">
        <v>540</v>
      </c>
      <c r="I13" s="79">
        <v>1000</v>
      </c>
      <c r="J13" s="79">
        <v>1000</v>
      </c>
      <c r="K13" s="79">
        <v>1000</v>
      </c>
      <c r="L13" s="79">
        <v>1000</v>
      </c>
      <c r="M13" s="79">
        <v>1000</v>
      </c>
      <c r="N13" s="27">
        <f>SUM(K12:K13)</f>
        <v>3913</v>
      </c>
    </row>
    <row r="14" spans="1:16" x14ac:dyDescent="0.25">
      <c r="A14" s="12">
        <v>212</v>
      </c>
      <c r="B14" s="13" t="s">
        <v>15</v>
      </c>
      <c r="C14" s="14">
        <v>3975</v>
      </c>
      <c r="D14" s="15">
        <v>3731</v>
      </c>
      <c r="E14" s="82">
        <v>3649</v>
      </c>
      <c r="F14" s="82">
        <v>3815</v>
      </c>
      <c r="G14" s="82">
        <v>3729</v>
      </c>
      <c r="H14" s="82">
        <v>3121</v>
      </c>
      <c r="I14" s="82">
        <v>3713</v>
      </c>
      <c r="J14" s="82">
        <v>3484</v>
      </c>
      <c r="K14" s="82">
        <v>3425</v>
      </c>
      <c r="L14" s="82">
        <v>3425</v>
      </c>
      <c r="M14" s="82">
        <v>3425</v>
      </c>
      <c r="N14" s="1"/>
    </row>
    <row r="15" spans="1:16" x14ac:dyDescent="0.25">
      <c r="A15" s="17">
        <v>212</v>
      </c>
      <c r="B15" s="18" t="s">
        <v>16</v>
      </c>
      <c r="C15" s="34">
        <v>17332</v>
      </c>
      <c r="D15" s="21">
        <v>17507</v>
      </c>
      <c r="E15" s="21">
        <v>17433</v>
      </c>
      <c r="F15" s="21">
        <v>15521</v>
      </c>
      <c r="G15" s="21">
        <v>19016</v>
      </c>
      <c r="H15" s="21">
        <v>15195</v>
      </c>
      <c r="I15" s="21">
        <v>19848</v>
      </c>
      <c r="J15" s="21">
        <v>19808</v>
      </c>
      <c r="K15" s="21">
        <v>19813</v>
      </c>
      <c r="L15" s="21">
        <v>19813</v>
      </c>
      <c r="M15" s="21">
        <v>19813</v>
      </c>
      <c r="N15" s="27"/>
    </row>
    <row r="16" spans="1:16" ht="15.75" thickBot="1" x14ac:dyDescent="0.3">
      <c r="A16" s="35">
        <v>212</v>
      </c>
      <c r="B16" s="36" t="s">
        <v>17</v>
      </c>
      <c r="C16" s="37">
        <v>5</v>
      </c>
      <c r="D16" s="38">
        <v>400</v>
      </c>
      <c r="E16" s="39">
        <v>1280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10">
        <f>SUM(K12:K16)</f>
        <v>27151</v>
      </c>
      <c r="O16" s="310">
        <f t="shared" ref="O16:P16" si="3">SUM(L12:L16)</f>
        <v>27151</v>
      </c>
      <c r="P16" s="310">
        <f t="shared" si="3"/>
        <v>27151</v>
      </c>
    </row>
    <row r="17" spans="1:16" ht="15.75" thickBot="1" x14ac:dyDescent="0.3">
      <c r="A17" s="7">
        <v>221</v>
      </c>
      <c r="B17" s="8" t="s">
        <v>18</v>
      </c>
      <c r="C17" s="9">
        <v>4093</v>
      </c>
      <c r="D17" s="40">
        <v>4796</v>
      </c>
      <c r="E17" s="41">
        <v>5069</v>
      </c>
      <c r="F17" s="41">
        <v>3283</v>
      </c>
      <c r="G17" s="41">
        <v>3292</v>
      </c>
      <c r="H17" s="41">
        <v>4693</v>
      </c>
      <c r="I17" s="41">
        <v>5100</v>
      </c>
      <c r="J17" s="41">
        <v>5100</v>
      </c>
      <c r="K17" s="41">
        <v>7200</v>
      </c>
      <c r="L17" s="41">
        <v>7200</v>
      </c>
      <c r="M17" s="41">
        <v>7200</v>
      </c>
      <c r="N17" s="1"/>
    </row>
    <row r="18" spans="1:16" ht="15.75" thickBot="1" x14ac:dyDescent="0.3">
      <c r="A18" s="35">
        <v>222</v>
      </c>
      <c r="B18" s="36" t="s">
        <v>19</v>
      </c>
      <c r="C18" s="37">
        <v>0</v>
      </c>
      <c r="D18" s="38">
        <v>90</v>
      </c>
      <c r="E18" s="39">
        <v>400</v>
      </c>
      <c r="F18" s="39">
        <v>0</v>
      </c>
      <c r="G18" s="39">
        <v>0</v>
      </c>
      <c r="H18" s="39">
        <v>200</v>
      </c>
      <c r="I18" s="39">
        <v>0</v>
      </c>
      <c r="J18" s="39">
        <v>30</v>
      </c>
      <c r="K18" s="39">
        <v>0</v>
      </c>
      <c r="L18" s="39">
        <v>0</v>
      </c>
      <c r="M18" s="39">
        <v>0</v>
      </c>
      <c r="N18" s="1"/>
    </row>
    <row r="19" spans="1:16" x14ac:dyDescent="0.25">
      <c r="A19" s="12">
        <v>223</v>
      </c>
      <c r="B19" s="13" t="s">
        <v>20</v>
      </c>
      <c r="C19" s="14">
        <v>713</v>
      </c>
      <c r="D19" s="15">
        <v>671</v>
      </c>
      <c r="E19" s="16">
        <v>503</v>
      </c>
      <c r="F19" s="16">
        <v>143</v>
      </c>
      <c r="G19" s="16">
        <v>448</v>
      </c>
      <c r="H19" s="16">
        <v>536</v>
      </c>
      <c r="I19" s="16">
        <v>750</v>
      </c>
      <c r="J19" s="16">
        <v>750</v>
      </c>
      <c r="K19" s="16">
        <v>1000</v>
      </c>
      <c r="L19" s="16">
        <v>1000</v>
      </c>
      <c r="M19" s="16">
        <v>1000</v>
      </c>
      <c r="N19" s="1"/>
    </row>
    <row r="20" spans="1:16" x14ac:dyDescent="0.25">
      <c r="A20" s="17">
        <v>223</v>
      </c>
      <c r="B20" s="18" t="s">
        <v>21</v>
      </c>
      <c r="C20" s="19">
        <v>16518</v>
      </c>
      <c r="D20" s="20">
        <v>17452</v>
      </c>
      <c r="E20" s="21">
        <v>15427</v>
      </c>
      <c r="F20" s="21">
        <v>15517</v>
      </c>
      <c r="G20" s="21">
        <v>15804</v>
      </c>
      <c r="H20" s="21">
        <v>17265</v>
      </c>
      <c r="I20" s="21">
        <f t="shared" ref="I20" si="4">19000+3000</f>
        <v>22000</v>
      </c>
      <c r="J20" s="21">
        <v>19000</v>
      </c>
      <c r="K20" s="21">
        <v>21000</v>
      </c>
      <c r="L20" s="21">
        <v>21000</v>
      </c>
      <c r="M20" s="21">
        <v>21000</v>
      </c>
      <c r="N20" s="1"/>
    </row>
    <row r="21" spans="1:16" x14ac:dyDescent="0.25">
      <c r="A21" s="17">
        <v>223</v>
      </c>
      <c r="B21" s="18" t="s">
        <v>22</v>
      </c>
      <c r="C21" s="19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1">
        <v>50</v>
      </c>
      <c r="J21" s="21">
        <v>50</v>
      </c>
      <c r="K21" s="21">
        <v>50</v>
      </c>
      <c r="L21" s="21">
        <v>50</v>
      </c>
      <c r="M21" s="21">
        <v>50</v>
      </c>
      <c r="N21" s="1"/>
    </row>
    <row r="22" spans="1:16" x14ac:dyDescent="0.25">
      <c r="A22" s="17">
        <v>223</v>
      </c>
      <c r="B22" s="18" t="s">
        <v>333</v>
      </c>
      <c r="C22" s="19">
        <v>34491</v>
      </c>
      <c r="D22" s="20">
        <v>32466</v>
      </c>
      <c r="E22" s="21">
        <v>31823</v>
      </c>
      <c r="F22" s="21">
        <v>630</v>
      </c>
      <c r="G22" s="21">
        <v>182</v>
      </c>
      <c r="H22" s="21">
        <v>1540</v>
      </c>
      <c r="I22" s="21">
        <v>2000</v>
      </c>
      <c r="J22" s="21">
        <v>4630</v>
      </c>
      <c r="K22" s="21">
        <v>4000</v>
      </c>
      <c r="L22" s="21">
        <v>4000</v>
      </c>
      <c r="M22" s="21">
        <v>4000</v>
      </c>
      <c r="N22" s="1"/>
    </row>
    <row r="23" spans="1:16" x14ac:dyDescent="0.25">
      <c r="A23" s="17">
        <v>223</v>
      </c>
      <c r="B23" s="18" t="s">
        <v>23</v>
      </c>
      <c r="C23" s="19">
        <v>519</v>
      </c>
      <c r="D23" s="20">
        <v>342</v>
      </c>
      <c r="E23" s="21">
        <v>255</v>
      </c>
      <c r="F23" s="21">
        <v>257</v>
      </c>
      <c r="G23" s="21">
        <v>656</v>
      </c>
      <c r="H23" s="21">
        <v>362</v>
      </c>
      <c r="I23" s="21">
        <v>1000</v>
      </c>
      <c r="J23" s="21">
        <v>1000</v>
      </c>
      <c r="K23" s="21">
        <v>1000</v>
      </c>
      <c r="L23" s="21">
        <v>1000</v>
      </c>
      <c r="M23" s="21">
        <v>1000</v>
      </c>
      <c r="N23" s="1"/>
    </row>
    <row r="24" spans="1:16" x14ac:dyDescent="0.25">
      <c r="A24" s="17">
        <v>223</v>
      </c>
      <c r="B24" s="18" t="s">
        <v>24</v>
      </c>
      <c r="C24" s="19">
        <v>490</v>
      </c>
      <c r="D24" s="20">
        <v>597</v>
      </c>
      <c r="E24" s="21">
        <v>913</v>
      </c>
      <c r="F24" s="21">
        <v>1080</v>
      </c>
      <c r="G24" s="21">
        <v>730</v>
      </c>
      <c r="H24" s="21">
        <v>480</v>
      </c>
      <c r="I24" s="21">
        <v>1000</v>
      </c>
      <c r="J24" s="21">
        <v>1000</v>
      </c>
      <c r="K24" s="21">
        <v>1000</v>
      </c>
      <c r="L24" s="21">
        <v>1000</v>
      </c>
      <c r="M24" s="21">
        <v>1000</v>
      </c>
      <c r="N24" s="1"/>
    </row>
    <row r="25" spans="1:16" x14ac:dyDescent="0.25">
      <c r="A25" s="17">
        <v>223</v>
      </c>
      <c r="B25" s="18" t="s">
        <v>25</v>
      </c>
      <c r="C25" s="19">
        <v>33709</v>
      </c>
      <c r="D25" s="20">
        <v>32850</v>
      </c>
      <c r="E25" s="21">
        <v>30304</v>
      </c>
      <c r="F25" s="21">
        <v>33431</v>
      </c>
      <c r="G25" s="21">
        <v>43133</v>
      </c>
      <c r="H25" s="21">
        <v>36866</v>
      </c>
      <c r="I25" s="21">
        <v>40000</v>
      </c>
      <c r="J25" s="21">
        <v>46000</v>
      </c>
      <c r="K25" s="21">
        <v>46000</v>
      </c>
      <c r="L25" s="21">
        <v>46000</v>
      </c>
      <c r="M25" s="21">
        <v>46000</v>
      </c>
      <c r="N25" s="1"/>
    </row>
    <row r="26" spans="1:16" x14ac:dyDescent="0.25">
      <c r="A26" s="17">
        <v>223</v>
      </c>
      <c r="B26" s="18" t="s">
        <v>26</v>
      </c>
      <c r="C26" s="19">
        <f>17009</f>
        <v>17009</v>
      </c>
      <c r="D26" s="20">
        <v>17553</v>
      </c>
      <c r="E26" s="21">
        <v>24783</v>
      </c>
      <c r="F26" s="21">
        <v>26360</v>
      </c>
      <c r="G26" s="21">
        <v>30450</v>
      </c>
      <c r="H26" s="21">
        <v>34393</v>
      </c>
      <c r="I26" s="21">
        <v>59000</v>
      </c>
      <c r="J26" s="21">
        <v>59000</v>
      </c>
      <c r="K26" s="21">
        <v>45000</v>
      </c>
      <c r="L26" s="21">
        <v>45000</v>
      </c>
      <c r="M26" s="21">
        <v>45000</v>
      </c>
      <c r="N26" s="1"/>
    </row>
    <row r="27" spans="1:16" x14ac:dyDescent="0.25">
      <c r="A27" s="17">
        <v>223</v>
      </c>
      <c r="B27" s="18" t="s">
        <v>27</v>
      </c>
      <c r="C27" s="19">
        <v>4</v>
      </c>
      <c r="D27" s="20">
        <v>87</v>
      </c>
      <c r="E27" s="21">
        <v>43</v>
      </c>
      <c r="F27" s="21">
        <v>27</v>
      </c>
      <c r="G27" s="21">
        <v>10</v>
      </c>
      <c r="H27" s="21">
        <v>13</v>
      </c>
      <c r="I27" s="21">
        <v>60</v>
      </c>
      <c r="J27" s="21">
        <v>60</v>
      </c>
      <c r="K27" s="21">
        <v>60</v>
      </c>
      <c r="L27" s="21">
        <v>60</v>
      </c>
      <c r="M27" s="21">
        <v>60</v>
      </c>
      <c r="N27" s="27"/>
    </row>
    <row r="28" spans="1:16" x14ac:dyDescent="0.25">
      <c r="A28" s="17">
        <v>223</v>
      </c>
      <c r="B28" s="18" t="s">
        <v>28</v>
      </c>
      <c r="C28" s="19">
        <v>1568</v>
      </c>
      <c r="D28" s="42">
        <v>45540</v>
      </c>
      <c r="E28" s="45">
        <v>2057</v>
      </c>
      <c r="F28" s="20">
        <v>1746</v>
      </c>
      <c r="G28" s="21">
        <v>2040</v>
      </c>
      <c r="H28" s="21">
        <v>1902</v>
      </c>
      <c r="I28" s="21">
        <v>2400</v>
      </c>
      <c r="J28" s="21">
        <v>2400</v>
      </c>
      <c r="K28" s="21">
        <v>2100</v>
      </c>
      <c r="L28" s="21">
        <v>2100</v>
      </c>
      <c r="M28" s="21">
        <v>2100</v>
      </c>
      <c r="N28" s="1"/>
    </row>
    <row r="29" spans="1:16" x14ac:dyDescent="0.25">
      <c r="A29" s="17">
        <v>223</v>
      </c>
      <c r="B29" s="18" t="s">
        <v>201</v>
      </c>
      <c r="C29" s="19"/>
      <c r="D29" s="20">
        <v>0</v>
      </c>
      <c r="E29" s="46">
        <v>0</v>
      </c>
      <c r="F29" s="268">
        <v>0</v>
      </c>
      <c r="G29" s="21">
        <v>390</v>
      </c>
      <c r="H29" s="21">
        <v>1080</v>
      </c>
      <c r="I29" s="21">
        <v>2600</v>
      </c>
      <c r="J29" s="21">
        <v>2600</v>
      </c>
      <c r="K29" s="21">
        <v>1300</v>
      </c>
      <c r="L29" s="21">
        <v>1300</v>
      </c>
      <c r="M29" s="21">
        <v>1300</v>
      </c>
      <c r="N29" s="1"/>
    </row>
    <row r="30" spans="1:16" x14ac:dyDescent="0.25">
      <c r="A30" s="43">
        <v>223</v>
      </c>
      <c r="B30" s="44" t="s">
        <v>29</v>
      </c>
      <c r="C30" s="19">
        <v>0</v>
      </c>
      <c r="D30" s="45">
        <v>0</v>
      </c>
      <c r="E30" s="80">
        <v>41282</v>
      </c>
      <c r="F30" s="80">
        <v>23837</v>
      </c>
      <c r="G30" s="46">
        <v>35324</v>
      </c>
      <c r="H30" s="46">
        <v>46322</v>
      </c>
      <c r="I30" s="46">
        <v>84000</v>
      </c>
      <c r="J30" s="46">
        <v>84000</v>
      </c>
      <c r="K30" s="46">
        <v>85900</v>
      </c>
      <c r="L30" s="46">
        <v>85900</v>
      </c>
      <c r="M30" s="46">
        <v>85900</v>
      </c>
      <c r="N30" s="27"/>
    </row>
    <row r="31" spans="1:16" ht="15.75" thickBot="1" x14ac:dyDescent="0.3">
      <c r="A31" s="22">
        <v>223</v>
      </c>
      <c r="B31" s="23" t="s">
        <v>30</v>
      </c>
      <c r="C31" s="24">
        <v>6</v>
      </c>
      <c r="D31" s="47">
        <v>0</v>
      </c>
      <c r="E31" s="48">
        <v>0</v>
      </c>
      <c r="F31" s="48">
        <v>0</v>
      </c>
      <c r="G31" s="48">
        <v>0</v>
      </c>
      <c r="H31" s="48">
        <v>0</v>
      </c>
      <c r="I31" s="48">
        <v>100</v>
      </c>
      <c r="J31" s="48">
        <v>3330</v>
      </c>
      <c r="K31" s="79">
        <v>3400</v>
      </c>
      <c r="L31" s="48">
        <v>100</v>
      </c>
      <c r="M31" s="48">
        <v>100</v>
      </c>
      <c r="N31" s="27">
        <f>SUM(K19:K31)</f>
        <v>211810</v>
      </c>
      <c r="O31" s="27">
        <f t="shared" ref="O31:P31" si="5">SUM(L19:L31)</f>
        <v>208510</v>
      </c>
      <c r="P31" s="27">
        <f t="shared" si="5"/>
        <v>208510</v>
      </c>
    </row>
    <row r="32" spans="1:16" ht="15.75" thickBot="1" x14ac:dyDescent="0.3">
      <c r="A32" s="482" t="s">
        <v>31</v>
      </c>
      <c r="B32" s="483"/>
      <c r="C32" s="248">
        <f t="shared" ref="C32:M32" si="6">SUM(C33)</f>
        <v>363</v>
      </c>
      <c r="D32" s="249">
        <f t="shared" si="6"/>
        <v>258</v>
      </c>
      <c r="E32" s="2">
        <f t="shared" si="6"/>
        <v>396</v>
      </c>
      <c r="F32" s="2">
        <f t="shared" si="6"/>
        <v>52</v>
      </c>
      <c r="G32" s="2">
        <f t="shared" si="6"/>
        <v>9</v>
      </c>
      <c r="H32" s="2">
        <f t="shared" si="6"/>
        <v>11</v>
      </c>
      <c r="I32" s="2">
        <f t="shared" si="6"/>
        <v>50</v>
      </c>
      <c r="J32" s="2">
        <f t="shared" si="6"/>
        <v>50</v>
      </c>
      <c r="K32" s="2">
        <f t="shared" si="6"/>
        <v>50</v>
      </c>
      <c r="L32" s="2">
        <f t="shared" si="6"/>
        <v>50</v>
      </c>
      <c r="M32" s="2">
        <f t="shared" si="6"/>
        <v>50</v>
      </c>
      <c r="N32" s="1"/>
    </row>
    <row r="33" spans="1:16" ht="15.75" thickBot="1" x14ac:dyDescent="0.3">
      <c r="A33" s="51">
        <v>240</v>
      </c>
      <c r="B33" s="47" t="s">
        <v>32</v>
      </c>
      <c r="C33" s="251">
        <v>363</v>
      </c>
      <c r="D33" s="250">
        <v>258</v>
      </c>
      <c r="E33" s="38">
        <v>396</v>
      </c>
      <c r="F33" s="38">
        <v>52</v>
      </c>
      <c r="G33" s="38">
        <v>9</v>
      </c>
      <c r="H33" s="38">
        <v>11</v>
      </c>
      <c r="I33" s="38">
        <v>50</v>
      </c>
      <c r="J33" s="38">
        <v>50</v>
      </c>
      <c r="K33" s="38">
        <v>50</v>
      </c>
      <c r="L33" s="38">
        <v>50</v>
      </c>
      <c r="M33" s="38">
        <v>50</v>
      </c>
      <c r="N33" s="1"/>
    </row>
    <row r="34" spans="1:16" ht="15.75" thickBot="1" x14ac:dyDescent="0.3">
      <c r="A34" s="482" t="s">
        <v>33</v>
      </c>
      <c r="B34" s="483"/>
      <c r="C34" s="248">
        <f t="shared" ref="C34:M34" si="7">SUM(C35:C41)</f>
        <v>36541</v>
      </c>
      <c r="D34" s="248">
        <f t="shared" si="7"/>
        <v>32063</v>
      </c>
      <c r="E34" s="248">
        <f t="shared" si="7"/>
        <v>24990</v>
      </c>
      <c r="F34" s="248">
        <f t="shared" si="7"/>
        <v>28915</v>
      </c>
      <c r="G34" s="248">
        <f t="shared" si="7"/>
        <v>44894</v>
      </c>
      <c r="H34" s="248">
        <f t="shared" si="7"/>
        <v>41751</v>
      </c>
      <c r="I34" s="248">
        <f t="shared" si="7"/>
        <v>71875</v>
      </c>
      <c r="J34" s="248">
        <f t="shared" si="7"/>
        <v>73505</v>
      </c>
      <c r="K34" s="248">
        <f t="shared" si="7"/>
        <v>71070</v>
      </c>
      <c r="L34" s="248">
        <f t="shared" si="7"/>
        <v>67880</v>
      </c>
      <c r="M34" s="248">
        <f t="shared" si="7"/>
        <v>67890</v>
      </c>
      <c r="N34" s="1"/>
    </row>
    <row r="35" spans="1:16" x14ac:dyDescent="0.25">
      <c r="A35" s="52">
        <v>292</v>
      </c>
      <c r="B35" s="53" t="s">
        <v>34</v>
      </c>
      <c r="C35" s="54">
        <v>1054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830</v>
      </c>
      <c r="K35" s="55">
        <v>0</v>
      </c>
      <c r="L35" s="55"/>
      <c r="M35" s="55">
        <v>0</v>
      </c>
      <c r="N35" s="1"/>
    </row>
    <row r="36" spans="1:16" x14ac:dyDescent="0.25">
      <c r="A36" s="52">
        <v>292</v>
      </c>
      <c r="B36" s="53" t="s">
        <v>35</v>
      </c>
      <c r="C36" s="54">
        <v>326</v>
      </c>
      <c r="D36" s="56">
        <v>279</v>
      </c>
      <c r="E36" s="55">
        <v>241</v>
      </c>
      <c r="F36" s="55">
        <v>247</v>
      </c>
      <c r="G36" s="55">
        <v>152</v>
      </c>
      <c r="H36" s="55">
        <v>25</v>
      </c>
      <c r="I36" s="55">
        <v>200</v>
      </c>
      <c r="J36" s="55">
        <v>200</v>
      </c>
      <c r="K36" s="55">
        <v>0</v>
      </c>
      <c r="L36" s="55">
        <v>0</v>
      </c>
      <c r="M36" s="55">
        <v>0</v>
      </c>
      <c r="N36" s="1"/>
    </row>
    <row r="37" spans="1:16" x14ac:dyDescent="0.25">
      <c r="A37" s="57">
        <v>292</v>
      </c>
      <c r="B37" s="58" t="s">
        <v>36</v>
      </c>
      <c r="C37" s="59">
        <v>1998</v>
      </c>
      <c r="D37" s="60">
        <v>3206</v>
      </c>
      <c r="E37" s="61">
        <v>2949</v>
      </c>
      <c r="F37" s="61">
        <v>441</v>
      </c>
      <c r="G37" s="61">
        <v>10988</v>
      </c>
      <c r="H37" s="61">
        <v>413</v>
      </c>
      <c r="I37" s="61">
        <v>1000</v>
      </c>
      <c r="J37" s="61">
        <v>1000</v>
      </c>
      <c r="K37" s="61">
        <v>1000</v>
      </c>
      <c r="L37" s="61">
        <v>1000</v>
      </c>
      <c r="M37" s="61">
        <v>1000</v>
      </c>
      <c r="N37" s="1"/>
    </row>
    <row r="38" spans="1:16" x14ac:dyDescent="0.25">
      <c r="A38" s="57">
        <v>292</v>
      </c>
      <c r="B38" s="58" t="s">
        <v>37</v>
      </c>
      <c r="C38" s="59">
        <v>16161</v>
      </c>
      <c r="D38" s="60">
        <v>7460</v>
      </c>
      <c r="E38" s="60">
        <v>308</v>
      </c>
      <c r="F38" s="60">
        <v>19</v>
      </c>
      <c r="G38" s="60">
        <v>240</v>
      </c>
      <c r="H38" s="60">
        <v>6</v>
      </c>
      <c r="I38" s="60">
        <v>500</v>
      </c>
      <c r="J38" s="60">
        <v>500</v>
      </c>
      <c r="K38" s="60">
        <v>500</v>
      </c>
      <c r="L38" s="60">
        <v>500</v>
      </c>
      <c r="M38" s="60">
        <v>500</v>
      </c>
      <c r="N38" s="1"/>
    </row>
    <row r="39" spans="1:16" x14ac:dyDescent="0.25">
      <c r="A39" s="57">
        <v>292</v>
      </c>
      <c r="B39" s="18" t="s">
        <v>38</v>
      </c>
      <c r="C39" s="62">
        <v>210</v>
      </c>
      <c r="D39" s="63">
        <v>232</v>
      </c>
      <c r="E39" s="64">
        <v>252</v>
      </c>
      <c r="F39" s="64">
        <v>280</v>
      </c>
      <c r="G39" s="64">
        <v>301</v>
      </c>
      <c r="H39" s="64">
        <v>312</v>
      </c>
      <c r="I39" s="64">
        <v>340</v>
      </c>
      <c r="J39" s="64">
        <v>340</v>
      </c>
      <c r="K39" s="64">
        <v>350</v>
      </c>
      <c r="L39" s="64">
        <v>360</v>
      </c>
      <c r="M39" s="64">
        <v>370</v>
      </c>
      <c r="N39" s="1"/>
    </row>
    <row r="40" spans="1:16" x14ac:dyDescent="0.25">
      <c r="A40" s="57">
        <v>292</v>
      </c>
      <c r="B40" s="58" t="s">
        <v>183</v>
      </c>
      <c r="C40" s="59">
        <f>16422-C39</f>
        <v>16212</v>
      </c>
      <c r="D40" s="61">
        <f>21118-D39</f>
        <v>20886</v>
      </c>
      <c r="E40" s="60">
        <v>21100</v>
      </c>
      <c r="F40" s="60">
        <v>27928</v>
      </c>
      <c r="G40" s="60">
        <v>33213</v>
      </c>
      <c r="H40" s="60">
        <v>40995</v>
      </c>
      <c r="I40" s="60">
        <v>69785</v>
      </c>
      <c r="J40" s="60">
        <v>70585</v>
      </c>
      <c r="K40" s="60">
        <v>69200</v>
      </c>
      <c r="L40" s="60">
        <v>66000</v>
      </c>
      <c r="M40" s="60">
        <v>66000</v>
      </c>
      <c r="N40" s="27"/>
      <c r="O40" s="27"/>
      <c r="P40" s="27"/>
    </row>
    <row r="41" spans="1:16" ht="15.75" thickBot="1" x14ac:dyDescent="0.3">
      <c r="A41" s="57">
        <v>292</v>
      </c>
      <c r="B41" s="58" t="s">
        <v>254</v>
      </c>
      <c r="C41" s="59">
        <v>580</v>
      </c>
      <c r="D41" s="60">
        <v>0</v>
      </c>
      <c r="E41" s="60">
        <v>140</v>
      </c>
      <c r="F41" s="60">
        <v>0</v>
      </c>
      <c r="G41" s="60">
        <v>0</v>
      </c>
      <c r="H41" s="60">
        <v>0</v>
      </c>
      <c r="I41" s="60">
        <v>50</v>
      </c>
      <c r="J41" s="60">
        <v>50</v>
      </c>
      <c r="K41" s="60">
        <v>20</v>
      </c>
      <c r="L41" s="60">
        <v>20</v>
      </c>
      <c r="M41" s="60">
        <v>20</v>
      </c>
      <c r="N41" s="1"/>
    </row>
    <row r="42" spans="1:16" ht="15.75" thickBot="1" x14ac:dyDescent="0.3">
      <c r="A42" s="65" t="s">
        <v>39</v>
      </c>
      <c r="B42" s="252"/>
      <c r="C42" s="248">
        <f t="shared" ref="C42:M42" si="8">SUM(C43:C80)</f>
        <v>537043</v>
      </c>
      <c r="D42" s="271">
        <f t="shared" si="8"/>
        <v>553992</v>
      </c>
      <c r="E42" s="248">
        <f t="shared" si="8"/>
        <v>673247</v>
      </c>
      <c r="F42" s="248">
        <f t="shared" si="8"/>
        <v>814828</v>
      </c>
      <c r="G42" s="248">
        <f t="shared" si="8"/>
        <v>864949</v>
      </c>
      <c r="H42" s="248">
        <f t="shared" si="8"/>
        <v>772149</v>
      </c>
      <c r="I42" s="248">
        <f t="shared" si="8"/>
        <v>761910</v>
      </c>
      <c r="J42" s="248">
        <f t="shared" si="8"/>
        <v>1079376</v>
      </c>
      <c r="K42" s="248">
        <f t="shared" si="8"/>
        <v>955422</v>
      </c>
      <c r="L42" s="248">
        <f t="shared" si="8"/>
        <v>903110</v>
      </c>
      <c r="M42" s="248">
        <f t="shared" si="8"/>
        <v>903110</v>
      </c>
      <c r="N42" s="1"/>
    </row>
    <row r="43" spans="1:16" x14ac:dyDescent="0.25">
      <c r="A43" s="67">
        <v>311</v>
      </c>
      <c r="B43" s="253" t="s">
        <v>40</v>
      </c>
      <c r="C43" s="261">
        <v>2000</v>
      </c>
      <c r="D43" s="272">
        <v>8000</v>
      </c>
      <c r="E43" s="261">
        <v>3000</v>
      </c>
      <c r="F43" s="292">
        <v>0</v>
      </c>
      <c r="G43" s="68">
        <v>0</v>
      </c>
      <c r="H43" s="68">
        <v>8000</v>
      </c>
      <c r="I43" s="68">
        <v>0</v>
      </c>
      <c r="J43" s="68">
        <v>3000</v>
      </c>
      <c r="K43" s="68">
        <v>0</v>
      </c>
      <c r="L43" s="68">
        <v>0</v>
      </c>
      <c r="M43" s="68">
        <v>0</v>
      </c>
      <c r="N43" s="1"/>
    </row>
    <row r="44" spans="1:16" x14ac:dyDescent="0.25">
      <c r="A44" s="71">
        <v>312</v>
      </c>
      <c r="B44" s="76" t="s">
        <v>196</v>
      </c>
      <c r="C44" s="262"/>
      <c r="D44" s="361">
        <v>0</v>
      </c>
      <c r="E44" s="262">
        <v>0</v>
      </c>
      <c r="F44" s="293">
        <v>8895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1"/>
    </row>
    <row r="45" spans="1:16" x14ac:dyDescent="0.25">
      <c r="A45" s="67">
        <v>312</v>
      </c>
      <c r="B45" s="253" t="s">
        <v>249</v>
      </c>
      <c r="C45" s="261">
        <v>2089</v>
      </c>
      <c r="D45" s="259">
        <v>2072</v>
      </c>
      <c r="E45" s="261">
        <v>6211</v>
      </c>
      <c r="F45" s="292">
        <v>3420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1"/>
    </row>
    <row r="46" spans="1:16" x14ac:dyDescent="0.25">
      <c r="A46" s="67">
        <v>312</v>
      </c>
      <c r="B46" s="253" t="s">
        <v>202</v>
      </c>
      <c r="C46" s="262"/>
      <c r="D46" s="259">
        <v>0</v>
      </c>
      <c r="E46" s="262">
        <v>0</v>
      </c>
      <c r="F46" s="293">
        <v>0</v>
      </c>
      <c r="G46" s="70">
        <v>13857</v>
      </c>
      <c r="H46" s="70">
        <v>4619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1"/>
    </row>
    <row r="47" spans="1:16" x14ac:dyDescent="0.25">
      <c r="A47" s="69">
        <v>312</v>
      </c>
      <c r="B47" s="304" t="s">
        <v>231</v>
      </c>
      <c r="C47" s="262"/>
      <c r="D47" s="259">
        <v>0</v>
      </c>
      <c r="E47" s="262">
        <v>0</v>
      </c>
      <c r="F47" s="293">
        <v>0</v>
      </c>
      <c r="G47" s="70">
        <v>0</v>
      </c>
      <c r="H47" s="70">
        <v>2881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1"/>
    </row>
    <row r="48" spans="1:16" x14ac:dyDescent="0.25">
      <c r="A48" s="69">
        <v>312</v>
      </c>
      <c r="B48" s="304" t="s">
        <v>247</v>
      </c>
      <c r="C48" s="262"/>
      <c r="D48" s="259">
        <v>0</v>
      </c>
      <c r="E48" s="262">
        <v>0</v>
      </c>
      <c r="F48" s="293">
        <v>0</v>
      </c>
      <c r="G48" s="70">
        <f>52865+150</f>
        <v>53015</v>
      </c>
      <c r="H48" s="70">
        <v>767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1"/>
    </row>
    <row r="49" spans="1:15" x14ac:dyDescent="0.25">
      <c r="A49" s="67">
        <v>312</v>
      </c>
      <c r="B49" s="253" t="s">
        <v>321</v>
      </c>
      <c r="C49" s="262"/>
      <c r="D49" s="259"/>
      <c r="E49" s="262"/>
      <c r="F49" s="293">
        <v>0</v>
      </c>
      <c r="G49" s="293">
        <v>0</v>
      </c>
      <c r="H49" s="293">
        <v>0</v>
      </c>
      <c r="I49" s="293">
        <v>0</v>
      </c>
      <c r="J49" s="443">
        <v>22165</v>
      </c>
      <c r="K49" s="70">
        <v>0</v>
      </c>
      <c r="L49" s="70">
        <v>0</v>
      </c>
      <c r="M49" s="70">
        <v>0</v>
      </c>
      <c r="N49" s="1"/>
    </row>
    <row r="50" spans="1:15" x14ac:dyDescent="0.25">
      <c r="A50" s="67">
        <v>312</v>
      </c>
      <c r="B50" s="246" t="s">
        <v>322</v>
      </c>
      <c r="C50" s="262"/>
      <c r="D50" s="259"/>
      <c r="E50" s="262"/>
      <c r="F50" s="293">
        <v>0</v>
      </c>
      <c r="G50" s="293">
        <v>0</v>
      </c>
      <c r="H50" s="293">
        <v>0</v>
      </c>
      <c r="I50" s="293">
        <v>0</v>
      </c>
      <c r="J50" s="444">
        <v>0</v>
      </c>
      <c r="K50" s="70">
        <v>0</v>
      </c>
      <c r="L50" s="70">
        <v>0</v>
      </c>
      <c r="M50" s="70">
        <v>0</v>
      </c>
      <c r="N50" s="1"/>
    </row>
    <row r="51" spans="1:15" x14ac:dyDescent="0.25">
      <c r="A51" s="67">
        <v>312</v>
      </c>
      <c r="B51" s="253" t="s">
        <v>323</v>
      </c>
      <c r="C51" s="262"/>
      <c r="D51" s="259"/>
      <c r="E51" s="262"/>
      <c r="F51" s="293">
        <v>0</v>
      </c>
      <c r="G51" s="293">
        <v>0</v>
      </c>
      <c r="H51" s="293">
        <v>0</v>
      </c>
      <c r="I51" s="293">
        <v>0</v>
      </c>
      <c r="J51" s="68">
        <v>60000</v>
      </c>
      <c r="K51" s="70">
        <v>28000</v>
      </c>
      <c r="L51" s="70">
        <v>0</v>
      </c>
      <c r="M51" s="70">
        <v>0</v>
      </c>
      <c r="N51" s="1"/>
    </row>
    <row r="52" spans="1:15" x14ac:dyDescent="0.25">
      <c r="A52" s="426">
        <v>312</v>
      </c>
      <c r="B52" s="442" t="s">
        <v>324</v>
      </c>
      <c r="C52" s="262"/>
      <c r="D52" s="259"/>
      <c r="E52" s="262"/>
      <c r="F52" s="293">
        <v>0</v>
      </c>
      <c r="G52" s="293">
        <v>0</v>
      </c>
      <c r="H52" s="293">
        <v>0</v>
      </c>
      <c r="I52" s="293">
        <v>0</v>
      </c>
      <c r="J52" s="445">
        <v>18200</v>
      </c>
      <c r="K52" s="70">
        <v>0</v>
      </c>
      <c r="L52" s="70">
        <v>0</v>
      </c>
      <c r="M52" s="70">
        <v>0</v>
      </c>
      <c r="N52" s="1"/>
    </row>
    <row r="53" spans="1:15" x14ac:dyDescent="0.25">
      <c r="A53" s="71">
        <v>312</v>
      </c>
      <c r="B53" s="246" t="s">
        <v>185</v>
      </c>
      <c r="C53" s="263">
        <v>5791</v>
      </c>
      <c r="D53" s="259">
        <v>2899</v>
      </c>
      <c r="E53" s="263">
        <v>27030</v>
      </c>
      <c r="F53" s="294">
        <v>39080</v>
      </c>
      <c r="G53" s="16">
        <v>33071</v>
      </c>
      <c r="H53" s="16">
        <v>5899</v>
      </c>
      <c r="I53" s="16">
        <f>7600+500</f>
        <v>8100</v>
      </c>
      <c r="J53" s="16">
        <v>48950</v>
      </c>
      <c r="K53" s="16">
        <v>55000</v>
      </c>
      <c r="L53" s="16">
        <v>55000</v>
      </c>
      <c r="M53" s="16">
        <v>55000</v>
      </c>
      <c r="N53" s="1"/>
    </row>
    <row r="54" spans="1:15" x14ac:dyDescent="0.25">
      <c r="A54" s="71">
        <v>312</v>
      </c>
      <c r="B54" s="246" t="s">
        <v>186</v>
      </c>
      <c r="C54" s="263">
        <v>645</v>
      </c>
      <c r="D54" s="259">
        <v>739</v>
      </c>
      <c r="E54" s="263">
        <v>227</v>
      </c>
      <c r="F54" s="294">
        <v>225</v>
      </c>
      <c r="G54" s="16">
        <v>25</v>
      </c>
      <c r="H54" s="16">
        <v>0</v>
      </c>
      <c r="I54" s="16">
        <v>0</v>
      </c>
      <c r="J54" s="16">
        <v>480</v>
      </c>
      <c r="K54" s="16">
        <v>180</v>
      </c>
      <c r="L54" s="16">
        <v>0</v>
      </c>
      <c r="M54" s="16">
        <v>0</v>
      </c>
      <c r="N54" s="27"/>
    </row>
    <row r="55" spans="1:15" x14ac:dyDescent="0.25">
      <c r="A55" s="71">
        <v>312</v>
      </c>
      <c r="B55" s="111" t="s">
        <v>41</v>
      </c>
      <c r="C55" s="264">
        <v>13737</v>
      </c>
      <c r="D55" s="259">
        <v>15058</v>
      </c>
      <c r="E55" s="14">
        <v>3305</v>
      </c>
      <c r="F55" s="295">
        <v>3082</v>
      </c>
      <c r="G55" s="73">
        <v>1195</v>
      </c>
      <c r="H55" s="73">
        <v>405</v>
      </c>
      <c r="I55" s="73">
        <v>2040</v>
      </c>
      <c r="J55" s="73">
        <v>2040</v>
      </c>
      <c r="K55" s="73">
        <v>600</v>
      </c>
      <c r="L55" s="73">
        <v>0</v>
      </c>
      <c r="M55" s="73">
        <v>0</v>
      </c>
      <c r="N55" s="27"/>
    </row>
    <row r="56" spans="1:15" x14ac:dyDescent="0.25">
      <c r="A56" s="71">
        <v>312</v>
      </c>
      <c r="B56" s="245" t="s">
        <v>237</v>
      </c>
      <c r="C56" s="264">
        <v>0</v>
      </c>
      <c r="D56" s="259">
        <v>0</v>
      </c>
      <c r="E56" s="14">
        <v>0</v>
      </c>
      <c r="F56" s="295">
        <v>18563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1"/>
    </row>
    <row r="57" spans="1:15" x14ac:dyDescent="0.25">
      <c r="A57" s="71">
        <v>312</v>
      </c>
      <c r="B57" s="245" t="s">
        <v>325</v>
      </c>
      <c r="C57" s="264"/>
      <c r="D57" s="259"/>
      <c r="E57" s="14"/>
      <c r="F57" s="295">
        <v>0</v>
      </c>
      <c r="G57" s="295">
        <v>0</v>
      </c>
      <c r="H57" s="295">
        <v>0</v>
      </c>
      <c r="I57" s="295">
        <v>14170</v>
      </c>
      <c r="J57" s="295">
        <v>14300</v>
      </c>
      <c r="K57" s="73"/>
      <c r="L57" s="73"/>
      <c r="M57" s="73"/>
      <c r="N57" s="1"/>
    </row>
    <row r="58" spans="1:15" x14ac:dyDescent="0.25">
      <c r="A58" s="83">
        <v>312</v>
      </c>
      <c r="B58" s="246" t="s">
        <v>326</v>
      </c>
      <c r="C58" s="264"/>
      <c r="D58" s="259"/>
      <c r="E58" s="14"/>
      <c r="F58" s="295">
        <v>0</v>
      </c>
      <c r="G58" s="295">
        <v>0</v>
      </c>
      <c r="H58" s="295">
        <v>0</v>
      </c>
      <c r="I58" s="295">
        <v>0</v>
      </c>
      <c r="J58" s="295">
        <v>15050</v>
      </c>
      <c r="K58" s="73"/>
      <c r="L58" s="73"/>
      <c r="M58" s="73"/>
      <c r="N58" s="1"/>
    </row>
    <row r="59" spans="1:15" x14ac:dyDescent="0.25">
      <c r="A59" s="71">
        <v>312</v>
      </c>
      <c r="B59" s="76" t="s">
        <v>245</v>
      </c>
      <c r="C59" s="264"/>
      <c r="D59" s="259">
        <v>0</v>
      </c>
      <c r="E59" s="14">
        <v>0</v>
      </c>
      <c r="F59" s="295">
        <v>12159</v>
      </c>
      <c r="G59" s="73">
        <f>12025+8883</f>
        <v>20908</v>
      </c>
      <c r="H59" s="73">
        <v>0</v>
      </c>
      <c r="I59" s="73">
        <v>0</v>
      </c>
      <c r="J59" s="73">
        <v>0</v>
      </c>
      <c r="K59" s="73">
        <v>0</v>
      </c>
      <c r="L59" s="73"/>
      <c r="M59" s="73">
        <v>0</v>
      </c>
      <c r="N59" s="1"/>
    </row>
    <row r="60" spans="1:15" x14ac:dyDescent="0.25">
      <c r="A60" s="71">
        <v>312</v>
      </c>
      <c r="B60" s="111" t="s">
        <v>42</v>
      </c>
      <c r="C60" s="264">
        <v>0</v>
      </c>
      <c r="D60" s="259">
        <v>0</v>
      </c>
      <c r="E60" s="14">
        <v>0</v>
      </c>
      <c r="F60" s="295">
        <v>3669</v>
      </c>
      <c r="G60" s="73">
        <v>0</v>
      </c>
      <c r="H60" s="73"/>
      <c r="I60" s="73">
        <v>0</v>
      </c>
      <c r="J60" s="73">
        <v>0</v>
      </c>
      <c r="K60" s="73">
        <v>0</v>
      </c>
      <c r="L60" s="73"/>
      <c r="M60" s="73">
        <v>0</v>
      </c>
      <c r="N60" s="27"/>
      <c r="O60" s="310"/>
    </row>
    <row r="61" spans="1:15" ht="15.75" thickBot="1" x14ac:dyDescent="0.3">
      <c r="A61" s="74">
        <v>312</v>
      </c>
      <c r="B61" s="81" t="s">
        <v>43</v>
      </c>
      <c r="C61" s="267">
        <v>0</v>
      </c>
      <c r="D61" s="299">
        <v>0</v>
      </c>
      <c r="E61" s="267">
        <v>30</v>
      </c>
      <c r="F61" s="297">
        <v>33</v>
      </c>
      <c r="G61" s="75">
        <v>1536</v>
      </c>
      <c r="H61" s="75">
        <v>37</v>
      </c>
      <c r="I61" s="75">
        <v>40</v>
      </c>
      <c r="J61" s="75">
        <v>41</v>
      </c>
      <c r="K61" s="75">
        <v>50</v>
      </c>
      <c r="L61" s="75">
        <v>50</v>
      </c>
      <c r="M61" s="75">
        <v>50</v>
      </c>
      <c r="N61" s="1"/>
    </row>
    <row r="62" spans="1:15" ht="15.75" thickBot="1" x14ac:dyDescent="0.3">
      <c r="A62" s="242">
        <v>312</v>
      </c>
      <c r="B62" s="254" t="s">
        <v>318</v>
      </c>
      <c r="C62" s="265">
        <v>0</v>
      </c>
      <c r="D62" s="274">
        <v>0</v>
      </c>
      <c r="E62" s="265">
        <v>0</v>
      </c>
      <c r="F62" s="296">
        <v>4439</v>
      </c>
      <c r="G62" s="243">
        <v>4026</v>
      </c>
      <c r="H62" s="243">
        <v>2190</v>
      </c>
      <c r="I62" s="243">
        <v>3000</v>
      </c>
      <c r="J62" s="243">
        <v>4300</v>
      </c>
      <c r="K62" s="243">
        <v>5000</v>
      </c>
      <c r="L62" s="243">
        <v>5000</v>
      </c>
      <c r="M62" s="243">
        <v>5000</v>
      </c>
      <c r="N62" s="27"/>
    </row>
    <row r="63" spans="1:15" x14ac:dyDescent="0.25">
      <c r="A63" s="71">
        <v>312</v>
      </c>
      <c r="B63" s="84" t="s">
        <v>44</v>
      </c>
      <c r="C63" s="264">
        <v>12616</v>
      </c>
      <c r="D63" s="259">
        <v>16521</v>
      </c>
      <c r="E63" s="263">
        <v>19278</v>
      </c>
      <c r="F63" s="16">
        <v>14249</v>
      </c>
      <c r="G63" s="16">
        <v>16620</v>
      </c>
      <c r="H63" s="16">
        <v>19147</v>
      </c>
      <c r="I63" s="16">
        <v>20100</v>
      </c>
      <c r="J63" s="16">
        <v>21000</v>
      </c>
      <c r="K63" s="16">
        <v>21500</v>
      </c>
      <c r="L63" s="16">
        <v>21500</v>
      </c>
      <c r="M63" s="16">
        <v>21500</v>
      </c>
      <c r="N63" s="1"/>
    </row>
    <row r="64" spans="1:15" x14ac:dyDescent="0.25">
      <c r="A64" s="71">
        <v>312</v>
      </c>
      <c r="B64" s="111" t="s">
        <v>45</v>
      </c>
      <c r="C64" s="264">
        <v>22490</v>
      </c>
      <c r="D64" s="259">
        <v>18300</v>
      </c>
      <c r="E64" s="263">
        <v>8700</v>
      </c>
      <c r="F64" s="15">
        <v>10200</v>
      </c>
      <c r="G64" s="16">
        <v>10200</v>
      </c>
      <c r="H64" s="16">
        <v>11000</v>
      </c>
      <c r="I64" s="16">
        <v>12500</v>
      </c>
      <c r="J64" s="16">
        <v>13000</v>
      </c>
      <c r="K64" s="16">
        <v>0</v>
      </c>
      <c r="L64" s="16">
        <v>0</v>
      </c>
      <c r="M64" s="16">
        <v>0</v>
      </c>
      <c r="N64" s="1"/>
    </row>
    <row r="65" spans="1:16" ht="15.75" thickBot="1" x14ac:dyDescent="0.3">
      <c r="A65" s="77">
        <v>312</v>
      </c>
      <c r="B65" s="135" t="s">
        <v>46</v>
      </c>
      <c r="C65" s="266">
        <v>7511</v>
      </c>
      <c r="D65" s="275">
        <v>7851</v>
      </c>
      <c r="E65" s="280">
        <v>8430</v>
      </c>
      <c r="F65" s="79">
        <v>9770</v>
      </c>
      <c r="G65" s="79">
        <v>13229</v>
      </c>
      <c r="H65" s="79">
        <v>8419</v>
      </c>
      <c r="I65" s="79">
        <f>3000+5600</f>
        <v>8600</v>
      </c>
      <c r="J65" s="79">
        <v>8800</v>
      </c>
      <c r="K65" s="79">
        <f>3350+5600</f>
        <v>8950</v>
      </c>
      <c r="L65" s="79">
        <f t="shared" ref="L65:M65" si="9">3350+5600</f>
        <v>8950</v>
      </c>
      <c r="M65" s="79">
        <f t="shared" si="9"/>
        <v>8950</v>
      </c>
      <c r="N65" s="1"/>
    </row>
    <row r="66" spans="1:16" x14ac:dyDescent="0.25">
      <c r="A66" s="71">
        <v>312</v>
      </c>
      <c r="B66" s="84" t="s">
        <v>190</v>
      </c>
      <c r="C66" s="264">
        <v>2100</v>
      </c>
      <c r="D66" s="276">
        <v>2000</v>
      </c>
      <c r="E66" s="263">
        <v>3500</v>
      </c>
      <c r="F66" s="294">
        <v>0</v>
      </c>
      <c r="G66" s="16">
        <v>0</v>
      </c>
      <c r="H66" s="16">
        <v>3200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"/>
    </row>
    <row r="67" spans="1:16" ht="15.75" thickBot="1" x14ac:dyDescent="0.3">
      <c r="A67" s="74">
        <v>312</v>
      </c>
      <c r="B67" s="81" t="s">
        <v>48</v>
      </c>
      <c r="C67" s="267">
        <v>8000</v>
      </c>
      <c r="D67" s="258">
        <v>11300</v>
      </c>
      <c r="E67" s="267">
        <v>13785</v>
      </c>
      <c r="F67" s="297">
        <v>0</v>
      </c>
      <c r="G67" s="75">
        <v>7000</v>
      </c>
      <c r="H67" s="75">
        <v>3200</v>
      </c>
      <c r="I67" s="75">
        <v>3000</v>
      </c>
      <c r="J67" s="75">
        <v>3000</v>
      </c>
      <c r="K67" s="75">
        <v>0</v>
      </c>
      <c r="L67" s="75">
        <v>0</v>
      </c>
      <c r="M67" s="75">
        <v>0</v>
      </c>
      <c r="N67" s="1"/>
    </row>
    <row r="68" spans="1:16" x14ac:dyDescent="0.25">
      <c r="A68" s="71">
        <v>312</v>
      </c>
      <c r="B68" s="245" t="s">
        <v>49</v>
      </c>
      <c r="C68" s="263">
        <v>3966</v>
      </c>
      <c r="D68" s="273">
        <v>4139</v>
      </c>
      <c r="E68" s="281">
        <v>4569</v>
      </c>
      <c r="F68" s="82">
        <v>4904</v>
      </c>
      <c r="G68" s="82">
        <v>5027</v>
      </c>
      <c r="H68" s="82">
        <v>5067</v>
      </c>
      <c r="I68" s="82">
        <v>5120</v>
      </c>
      <c r="J68" s="82">
        <v>5200</v>
      </c>
      <c r="K68" s="82">
        <v>5310</v>
      </c>
      <c r="L68" s="82">
        <v>5310</v>
      </c>
      <c r="M68" s="82">
        <v>5310</v>
      </c>
      <c r="N68" s="27"/>
      <c r="O68" s="27"/>
      <c r="P68" s="27"/>
    </row>
    <row r="69" spans="1:16" x14ac:dyDescent="0.25">
      <c r="A69" s="83">
        <v>312</v>
      </c>
      <c r="B69" s="255" t="s">
        <v>50</v>
      </c>
      <c r="C69" s="268">
        <v>3018</v>
      </c>
      <c r="D69" s="277">
        <v>3476</v>
      </c>
      <c r="E69" s="268">
        <v>3771</v>
      </c>
      <c r="F69" s="21">
        <v>4169</v>
      </c>
      <c r="G69" s="21">
        <v>3664</v>
      </c>
      <c r="H69" s="21">
        <v>3593</v>
      </c>
      <c r="I69" s="21">
        <v>3700</v>
      </c>
      <c r="J69" s="21">
        <v>4160</v>
      </c>
      <c r="K69" s="21">
        <v>4250</v>
      </c>
      <c r="L69" s="21">
        <v>4250</v>
      </c>
      <c r="M69" s="21">
        <v>4250</v>
      </c>
      <c r="N69" s="27"/>
      <c r="O69" s="27"/>
      <c r="P69" s="27"/>
    </row>
    <row r="70" spans="1:16" x14ac:dyDescent="0.25">
      <c r="A70" s="83">
        <v>312</v>
      </c>
      <c r="B70" s="256" t="s">
        <v>228</v>
      </c>
      <c r="C70" s="269">
        <v>2774</v>
      </c>
      <c r="D70" s="278">
        <v>2919</v>
      </c>
      <c r="E70" s="282">
        <v>2837</v>
      </c>
      <c r="F70" s="33">
        <v>3186</v>
      </c>
      <c r="G70" s="33">
        <v>6764</v>
      </c>
      <c r="H70" s="33">
        <v>11269</v>
      </c>
      <c r="I70" s="33">
        <v>5000</v>
      </c>
      <c r="J70" s="33">
        <v>15205</v>
      </c>
      <c r="K70" s="33">
        <v>13200</v>
      </c>
      <c r="L70" s="33">
        <v>13200</v>
      </c>
      <c r="M70" s="33">
        <v>13200</v>
      </c>
      <c r="N70" s="27"/>
      <c r="O70" s="27"/>
      <c r="P70" s="27"/>
    </row>
    <row r="71" spans="1:16" x14ac:dyDescent="0.25">
      <c r="A71" s="71">
        <v>312</v>
      </c>
      <c r="B71" s="111" t="s">
        <v>246</v>
      </c>
      <c r="C71" s="264">
        <v>12162</v>
      </c>
      <c r="D71" s="259">
        <v>12162</v>
      </c>
      <c r="E71" s="283">
        <v>50858</v>
      </c>
      <c r="F71" s="16">
        <v>84215</v>
      </c>
      <c r="G71" s="16">
        <f>11938+71808</f>
        <v>83746</v>
      </c>
      <c r="H71" s="16">
        <v>37246</v>
      </c>
      <c r="I71" s="16">
        <v>52550</v>
      </c>
      <c r="J71" s="16">
        <v>78251</v>
      </c>
      <c r="K71" s="16">
        <v>90000</v>
      </c>
      <c r="L71" s="16">
        <v>90000</v>
      </c>
      <c r="M71" s="16">
        <v>90000</v>
      </c>
      <c r="N71" s="27"/>
    </row>
    <row r="72" spans="1:16" x14ac:dyDescent="0.25">
      <c r="A72" s="71">
        <v>312</v>
      </c>
      <c r="B72" s="245" t="s">
        <v>184</v>
      </c>
      <c r="C72" s="264">
        <v>0</v>
      </c>
      <c r="D72" s="259">
        <v>0</v>
      </c>
      <c r="E72" s="283">
        <v>0</v>
      </c>
      <c r="F72" s="82">
        <v>4640</v>
      </c>
      <c r="G72" s="16">
        <v>5205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27"/>
    </row>
    <row r="73" spans="1:16" x14ac:dyDescent="0.25">
      <c r="A73" s="83">
        <v>312</v>
      </c>
      <c r="B73" s="111" t="s">
        <v>51</v>
      </c>
      <c r="C73" s="429">
        <v>0</v>
      </c>
      <c r="D73" s="143"/>
      <c r="E73" s="268">
        <v>31104</v>
      </c>
      <c r="F73" s="21">
        <v>33696</v>
      </c>
      <c r="G73" s="21">
        <v>16565</v>
      </c>
      <c r="H73" s="21">
        <v>30801</v>
      </c>
      <c r="I73" s="21">
        <v>47340</v>
      </c>
      <c r="J73" s="21">
        <v>49320</v>
      </c>
      <c r="K73" s="21">
        <v>55400</v>
      </c>
      <c r="L73" s="21">
        <v>55400</v>
      </c>
      <c r="M73" s="21">
        <v>55400</v>
      </c>
      <c r="N73" s="27"/>
    </row>
    <row r="74" spans="1:16" x14ac:dyDescent="0.25">
      <c r="A74" s="430">
        <v>312</v>
      </c>
      <c r="B74" s="431" t="s">
        <v>308</v>
      </c>
      <c r="C74" s="427"/>
      <c r="D74" s="226"/>
      <c r="E74" s="428"/>
      <c r="F74" s="428">
        <v>0</v>
      </c>
      <c r="G74" s="80">
        <v>0</v>
      </c>
      <c r="H74" s="80">
        <v>10524</v>
      </c>
      <c r="I74" s="80">
        <v>2000</v>
      </c>
      <c r="J74" s="80">
        <v>4940</v>
      </c>
      <c r="K74" s="80">
        <v>10600</v>
      </c>
      <c r="L74" s="80">
        <v>0</v>
      </c>
      <c r="M74" s="80">
        <v>0</v>
      </c>
      <c r="N74" s="27"/>
      <c r="O74" s="27"/>
      <c r="P74" s="27"/>
    </row>
    <row r="75" spans="1:16" ht="15.75" thickBot="1" x14ac:dyDescent="0.3">
      <c r="A75" s="77">
        <v>312</v>
      </c>
      <c r="B75" s="135" t="s">
        <v>309</v>
      </c>
      <c r="C75" s="266"/>
      <c r="D75" s="362"/>
      <c r="E75" s="363"/>
      <c r="F75" s="363">
        <v>0</v>
      </c>
      <c r="G75" s="79">
        <v>0</v>
      </c>
      <c r="H75" s="79">
        <v>4230</v>
      </c>
      <c r="I75" s="79">
        <v>0</v>
      </c>
      <c r="J75" s="79">
        <v>26200</v>
      </c>
      <c r="K75" s="79">
        <v>0</v>
      </c>
      <c r="L75" s="79">
        <v>0</v>
      </c>
      <c r="M75" s="79">
        <v>0</v>
      </c>
      <c r="N75" s="1"/>
    </row>
    <row r="76" spans="1:16" x14ac:dyDescent="0.25">
      <c r="A76" s="71">
        <v>315</v>
      </c>
      <c r="B76" s="76" t="s">
        <v>47</v>
      </c>
      <c r="C76" s="264"/>
      <c r="D76" s="260">
        <v>0</v>
      </c>
      <c r="E76" s="283">
        <v>0</v>
      </c>
      <c r="F76" s="298">
        <v>3000</v>
      </c>
      <c r="G76" s="16">
        <v>3000</v>
      </c>
      <c r="H76" s="16">
        <v>3000</v>
      </c>
      <c r="I76" s="16">
        <v>3000</v>
      </c>
      <c r="J76" s="16">
        <v>3000</v>
      </c>
      <c r="K76" s="16">
        <v>3000</v>
      </c>
      <c r="L76" s="16">
        <v>3000</v>
      </c>
      <c r="M76" s="16">
        <v>3000</v>
      </c>
      <c r="N76" s="1"/>
    </row>
    <row r="77" spans="1:16" ht="15.75" thickBot="1" x14ac:dyDescent="0.3">
      <c r="A77" s="77">
        <v>315</v>
      </c>
      <c r="B77" s="78" t="s">
        <v>227</v>
      </c>
      <c r="C77" s="266"/>
      <c r="D77" s="362">
        <v>0</v>
      </c>
      <c r="E77" s="363">
        <v>0</v>
      </c>
      <c r="F77" s="364">
        <v>0</v>
      </c>
      <c r="G77" s="79">
        <v>100</v>
      </c>
      <c r="H77" s="79">
        <v>200</v>
      </c>
      <c r="I77" s="79">
        <v>200</v>
      </c>
      <c r="J77" s="79">
        <v>400</v>
      </c>
      <c r="K77" s="79">
        <v>300</v>
      </c>
      <c r="L77" s="79">
        <v>0</v>
      </c>
      <c r="M77" s="79">
        <v>0</v>
      </c>
      <c r="N77" s="1"/>
    </row>
    <row r="78" spans="1:16" x14ac:dyDescent="0.25">
      <c r="A78" s="451">
        <v>312</v>
      </c>
      <c r="B78" s="452" t="s">
        <v>197</v>
      </c>
      <c r="C78" s="453"/>
      <c r="D78" s="454">
        <v>0</v>
      </c>
      <c r="E78" s="455">
        <v>0</v>
      </c>
      <c r="F78" s="456">
        <v>38</v>
      </c>
      <c r="G78" s="457">
        <v>420</v>
      </c>
      <c r="H78" s="457">
        <v>0</v>
      </c>
      <c r="I78" s="457">
        <v>0</v>
      </c>
      <c r="J78" s="457">
        <v>0</v>
      </c>
      <c r="K78" s="457">
        <v>0</v>
      </c>
      <c r="L78" s="457">
        <v>0</v>
      </c>
      <c r="M78" s="457">
        <v>0</v>
      </c>
      <c r="N78" s="1"/>
    </row>
    <row r="79" spans="1:16" x14ac:dyDescent="0.25">
      <c r="A79" s="451">
        <v>312</v>
      </c>
      <c r="B79" s="452" t="s">
        <v>327</v>
      </c>
      <c r="C79" s="453"/>
      <c r="D79" s="454"/>
      <c r="E79" s="455"/>
      <c r="F79" s="456">
        <v>0</v>
      </c>
      <c r="G79" s="457">
        <v>0</v>
      </c>
      <c r="H79" s="457">
        <v>0</v>
      </c>
      <c r="I79" s="457">
        <v>0</v>
      </c>
      <c r="J79" s="457">
        <v>6800</v>
      </c>
      <c r="K79" s="457">
        <f>16381+2891</f>
        <v>19272</v>
      </c>
      <c r="L79" s="457">
        <v>0</v>
      </c>
      <c r="M79" s="457">
        <v>0</v>
      </c>
      <c r="N79" s="1"/>
    </row>
    <row r="80" spans="1:16" ht="15.75" thickBot="1" x14ac:dyDescent="0.3">
      <c r="A80" s="458">
        <v>312</v>
      </c>
      <c r="B80" s="459" t="s">
        <v>52</v>
      </c>
      <c r="C80" s="460">
        <v>438144</v>
      </c>
      <c r="D80" s="461">
        <v>446556</v>
      </c>
      <c r="E80" s="460">
        <v>486612</v>
      </c>
      <c r="F80" s="462">
        <v>549196</v>
      </c>
      <c r="G80" s="463">
        <v>565776</v>
      </c>
      <c r="H80" s="463">
        <v>596455</v>
      </c>
      <c r="I80" s="463">
        <v>571450</v>
      </c>
      <c r="J80" s="463">
        <v>651574</v>
      </c>
      <c r="K80" s="463">
        <v>634810</v>
      </c>
      <c r="L80" s="463">
        <v>641450</v>
      </c>
      <c r="M80" s="463">
        <v>641450</v>
      </c>
      <c r="N80" s="27">
        <f>SUM(K44:K75)+K79+K80</f>
        <v>952122</v>
      </c>
      <c r="O80" s="27">
        <f>SUM(L44:L75)+L80</f>
        <v>900110</v>
      </c>
      <c r="P80" s="27">
        <f>SUM(M44:M75)+M80</f>
        <v>900110</v>
      </c>
    </row>
    <row r="81" spans="1:14" ht="16.5" thickBot="1" x14ac:dyDescent="0.3">
      <c r="A81" s="85" t="s">
        <v>53</v>
      </c>
      <c r="B81" s="257"/>
      <c r="C81" s="270">
        <f t="shared" ref="C81:M81" si="10">SUM(C3+C11+C32+C34+C42)</f>
        <v>1734063</v>
      </c>
      <c r="D81" s="279">
        <f t="shared" si="10"/>
        <v>1866680</v>
      </c>
      <c r="E81" s="270">
        <f t="shared" si="10"/>
        <v>2070874</v>
      </c>
      <c r="F81" s="270">
        <f t="shared" si="10"/>
        <v>2201436</v>
      </c>
      <c r="G81" s="270">
        <f t="shared" si="10"/>
        <v>2290508</v>
      </c>
      <c r="H81" s="270">
        <f t="shared" si="10"/>
        <v>2281888</v>
      </c>
      <c r="I81" s="270">
        <f t="shared" si="10"/>
        <v>2532250</v>
      </c>
      <c r="J81" s="270">
        <f t="shared" si="10"/>
        <v>2872146</v>
      </c>
      <c r="K81" s="270">
        <f t="shared" si="10"/>
        <v>2758503</v>
      </c>
      <c r="L81" s="270">
        <f t="shared" si="10"/>
        <v>2739701</v>
      </c>
      <c r="M81" s="270">
        <f t="shared" si="10"/>
        <v>2826711</v>
      </c>
      <c r="N81" s="1"/>
    </row>
    <row r="82" spans="1:14" x14ac:dyDescent="0.25">
      <c r="A82" s="87" t="s">
        <v>54</v>
      </c>
      <c r="B82" s="88" t="s">
        <v>55</v>
      </c>
      <c r="C82" s="89">
        <v>5446</v>
      </c>
      <c r="D82" s="89">
        <v>7593</v>
      </c>
      <c r="E82" s="89">
        <v>7551</v>
      </c>
      <c r="F82" s="89">
        <v>355</v>
      </c>
      <c r="G82" s="89">
        <v>1801</v>
      </c>
      <c r="H82" s="89">
        <v>3603</v>
      </c>
      <c r="I82" s="89">
        <v>2450</v>
      </c>
      <c r="J82" s="89">
        <v>2450</v>
      </c>
      <c r="K82" s="89">
        <v>1550</v>
      </c>
      <c r="L82" s="89">
        <v>1550</v>
      </c>
      <c r="M82" s="89">
        <v>1550</v>
      </c>
      <c r="N82" s="1"/>
    </row>
    <row r="83" spans="1:14" x14ac:dyDescent="0.25">
      <c r="A83" s="90" t="s">
        <v>54</v>
      </c>
      <c r="B83" s="88" t="s">
        <v>56</v>
      </c>
      <c r="C83" s="91">
        <v>1300</v>
      </c>
      <c r="D83" s="91">
        <v>1300</v>
      </c>
      <c r="E83" s="91">
        <v>1308</v>
      </c>
      <c r="F83" s="91">
        <v>1250</v>
      </c>
      <c r="G83" s="91">
        <v>1468</v>
      </c>
      <c r="H83" s="91">
        <v>1752</v>
      </c>
      <c r="I83" s="91">
        <v>2600</v>
      </c>
      <c r="J83" s="91">
        <v>2600</v>
      </c>
      <c r="K83" s="91">
        <v>3600</v>
      </c>
      <c r="L83" s="91">
        <v>3600</v>
      </c>
      <c r="M83" s="91">
        <v>3600</v>
      </c>
      <c r="N83" s="1"/>
    </row>
    <row r="84" spans="1:14" ht="15.75" thickBot="1" x14ac:dyDescent="0.3">
      <c r="A84" s="92" t="s">
        <v>54</v>
      </c>
      <c r="B84" s="93" t="s">
        <v>57</v>
      </c>
      <c r="C84" s="94">
        <v>0</v>
      </c>
      <c r="D84" s="94">
        <v>0</v>
      </c>
      <c r="E84" s="94">
        <v>50402</v>
      </c>
      <c r="F84" s="94">
        <v>28608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/>
      <c r="M84" s="94">
        <v>0</v>
      </c>
      <c r="N84" s="1"/>
    </row>
    <row r="85" spans="1:14" ht="15.75" thickBot="1" x14ac:dyDescent="0.3">
      <c r="A85" s="673" t="s">
        <v>58</v>
      </c>
      <c r="B85" s="674"/>
      <c r="C85" s="95">
        <f t="shared" ref="C85:D85" si="11">SUM(C82:C84)</f>
        <v>6746</v>
      </c>
      <c r="D85" s="95">
        <f t="shared" si="11"/>
        <v>8893</v>
      </c>
      <c r="E85" s="95">
        <f t="shared" ref="E85:M85" si="12">SUM(E82:E84)</f>
        <v>59261</v>
      </c>
      <c r="F85" s="95">
        <f t="shared" si="12"/>
        <v>30213</v>
      </c>
      <c r="G85" s="95">
        <f t="shared" si="12"/>
        <v>3269</v>
      </c>
      <c r="H85" s="95">
        <f t="shared" si="12"/>
        <v>5355</v>
      </c>
      <c r="I85" s="95">
        <f t="shared" si="12"/>
        <v>5050</v>
      </c>
      <c r="J85" s="95">
        <f t="shared" si="12"/>
        <v>5050</v>
      </c>
      <c r="K85" s="95">
        <f t="shared" si="12"/>
        <v>5150</v>
      </c>
      <c r="L85" s="95">
        <f t="shared" si="12"/>
        <v>5150</v>
      </c>
      <c r="M85" s="95">
        <f t="shared" si="12"/>
        <v>5150</v>
      </c>
      <c r="N85" s="1"/>
    </row>
    <row r="86" spans="1:14" x14ac:dyDescent="0.25">
      <c r="A86" s="306" t="s">
        <v>54</v>
      </c>
      <c r="B86" s="172" t="s">
        <v>203</v>
      </c>
      <c r="C86" s="307"/>
      <c r="D86" s="173">
        <v>0</v>
      </c>
      <c r="E86" s="173">
        <v>0</v>
      </c>
      <c r="F86" s="173">
        <v>0</v>
      </c>
      <c r="G86" s="173">
        <v>35981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00"/>
    </row>
    <row r="87" spans="1:14" ht="16.5" thickBot="1" x14ac:dyDescent="0.3">
      <c r="A87" s="96" t="s">
        <v>54</v>
      </c>
      <c r="B87" s="97" t="s">
        <v>59</v>
      </c>
      <c r="C87" s="98">
        <v>4930</v>
      </c>
      <c r="D87" s="308">
        <v>10244</v>
      </c>
      <c r="E87" s="309">
        <v>11710</v>
      </c>
      <c r="F87" s="309">
        <v>11266</v>
      </c>
      <c r="G87" s="309">
        <v>11355</v>
      </c>
      <c r="H87" s="309">
        <v>11185</v>
      </c>
      <c r="I87" s="309">
        <v>10980</v>
      </c>
      <c r="J87" s="309">
        <v>12200</v>
      </c>
      <c r="K87" s="309">
        <v>12350</v>
      </c>
      <c r="L87" s="309">
        <v>12350</v>
      </c>
      <c r="M87" s="309">
        <v>12350</v>
      </c>
      <c r="N87" s="103"/>
    </row>
    <row r="88" spans="1:14" ht="15.75" thickBot="1" x14ac:dyDescent="0.3">
      <c r="A88" s="673" t="s">
        <v>204</v>
      </c>
      <c r="B88" s="674"/>
      <c r="C88" s="98"/>
      <c r="D88" s="305">
        <f>SUM(D86:D87)</f>
        <v>10244</v>
      </c>
      <c r="E88" s="305">
        <f t="shared" ref="E88:M88" si="13">SUM(E86:E87)</f>
        <v>11710</v>
      </c>
      <c r="F88" s="305">
        <f t="shared" si="13"/>
        <v>11266</v>
      </c>
      <c r="G88" s="305">
        <f t="shared" si="13"/>
        <v>47336</v>
      </c>
      <c r="H88" s="305">
        <f t="shared" si="13"/>
        <v>11185</v>
      </c>
      <c r="I88" s="305">
        <f t="shared" si="13"/>
        <v>10980</v>
      </c>
      <c r="J88" s="305">
        <f t="shared" si="13"/>
        <v>12200</v>
      </c>
      <c r="K88" s="305">
        <f t="shared" si="13"/>
        <v>12350</v>
      </c>
      <c r="L88" s="305">
        <f t="shared" si="13"/>
        <v>12350</v>
      </c>
      <c r="M88" s="305">
        <f t="shared" si="13"/>
        <v>12350</v>
      </c>
      <c r="N88" s="1"/>
    </row>
    <row r="89" spans="1:14" ht="16.5" thickBot="1" x14ac:dyDescent="0.3">
      <c r="A89" s="683" t="s">
        <v>60</v>
      </c>
      <c r="B89" s="684"/>
      <c r="C89" s="99">
        <f t="shared" ref="C89" si="14">C85+C87</f>
        <v>11676</v>
      </c>
      <c r="D89" s="99">
        <f>D85+D88</f>
        <v>19137</v>
      </c>
      <c r="E89" s="99">
        <f t="shared" ref="E89:M89" si="15">E85+E88</f>
        <v>70971</v>
      </c>
      <c r="F89" s="99">
        <f t="shared" si="15"/>
        <v>41479</v>
      </c>
      <c r="G89" s="99">
        <f t="shared" si="15"/>
        <v>50605</v>
      </c>
      <c r="H89" s="99">
        <f t="shared" si="15"/>
        <v>16540</v>
      </c>
      <c r="I89" s="99">
        <f t="shared" si="15"/>
        <v>16030</v>
      </c>
      <c r="J89" s="99">
        <f t="shared" si="15"/>
        <v>17250</v>
      </c>
      <c r="K89" s="99">
        <f t="shared" si="15"/>
        <v>17500</v>
      </c>
      <c r="L89" s="99">
        <f t="shared" si="15"/>
        <v>17500</v>
      </c>
      <c r="M89" s="99">
        <f t="shared" si="15"/>
        <v>17500</v>
      </c>
      <c r="N89" s="1"/>
    </row>
    <row r="90" spans="1:14" ht="16.5" thickBot="1" x14ac:dyDescent="0.3">
      <c r="A90" s="85" t="s">
        <v>61</v>
      </c>
      <c r="B90" s="66"/>
      <c r="C90" s="86">
        <f t="shared" ref="C90:M90" si="16">C81+C89</f>
        <v>1745739</v>
      </c>
      <c r="D90" s="86">
        <f t="shared" si="16"/>
        <v>1885817</v>
      </c>
      <c r="E90" s="86">
        <f t="shared" si="16"/>
        <v>2141845</v>
      </c>
      <c r="F90" s="86">
        <f t="shared" si="16"/>
        <v>2242915</v>
      </c>
      <c r="G90" s="86">
        <f t="shared" si="16"/>
        <v>2341113</v>
      </c>
      <c r="H90" s="86">
        <f t="shared" si="16"/>
        <v>2298428</v>
      </c>
      <c r="I90" s="86">
        <f t="shared" si="16"/>
        <v>2548280</v>
      </c>
      <c r="J90" s="86">
        <f t="shared" si="16"/>
        <v>2889396</v>
      </c>
      <c r="K90" s="86">
        <f t="shared" si="16"/>
        <v>2776003</v>
      </c>
      <c r="L90" s="86">
        <f t="shared" si="16"/>
        <v>2757201</v>
      </c>
      <c r="M90" s="86">
        <f t="shared" si="16"/>
        <v>2844211</v>
      </c>
      <c r="N90" s="1"/>
    </row>
  </sheetData>
  <mergeCells count="7">
    <mergeCell ref="A89:B89"/>
    <mergeCell ref="A1:M1"/>
    <mergeCell ref="A2:B2"/>
    <mergeCell ref="A3:B3"/>
    <mergeCell ref="A11:B11"/>
    <mergeCell ref="A85:B85"/>
    <mergeCell ref="A88:B8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8"/>
  <sheetViews>
    <sheetView zoomScale="130" zoomScaleNormal="130" workbookViewId="0">
      <selection activeCell="E25" sqref="E25"/>
    </sheetView>
  </sheetViews>
  <sheetFormatPr defaultRowHeight="15" x14ac:dyDescent="0.25"/>
  <cols>
    <col min="1" max="1" width="14.28515625" customWidth="1"/>
    <col min="2" max="2" width="10.5703125" customWidth="1"/>
    <col min="4" max="4" width="9.85546875" customWidth="1"/>
    <col min="5" max="5" width="17.140625" customWidth="1"/>
    <col min="9" max="9" width="10.5703125" customWidth="1"/>
    <col min="12" max="12" width="12.7109375" customWidth="1"/>
    <col min="16" max="16" width="11.28515625" customWidth="1"/>
    <col min="19" max="19" width="13.140625" customWidth="1"/>
  </cols>
  <sheetData>
    <row r="1" spans="1:20" x14ac:dyDescent="0.25">
      <c r="A1" s="744" t="s">
        <v>272</v>
      </c>
      <c r="B1" s="744"/>
      <c r="C1" s="744"/>
      <c r="D1" s="744"/>
      <c r="E1" s="744"/>
      <c r="H1" s="744" t="s">
        <v>273</v>
      </c>
      <c r="I1" s="744"/>
      <c r="J1" s="744"/>
      <c r="K1" s="744"/>
      <c r="L1" s="744"/>
      <c r="O1" s="744" t="s">
        <v>371</v>
      </c>
      <c r="P1" s="744"/>
      <c r="Q1" s="744"/>
      <c r="R1" s="744"/>
      <c r="S1" s="744"/>
    </row>
    <row r="2" spans="1:20" ht="15.75" thickBot="1" x14ac:dyDescent="0.3"/>
    <row r="3" spans="1:20" ht="15.75" thickBot="1" x14ac:dyDescent="0.3">
      <c r="A3" s="378" t="s">
        <v>255</v>
      </c>
      <c r="B3" s="379" t="s">
        <v>256</v>
      </c>
      <c r="C3" s="379" t="s">
        <v>257</v>
      </c>
      <c r="D3" s="380" t="s">
        <v>258</v>
      </c>
      <c r="E3" s="381" t="s">
        <v>259</v>
      </c>
      <c r="H3" s="378" t="s">
        <v>255</v>
      </c>
      <c r="I3" s="379" t="s">
        <v>256</v>
      </c>
      <c r="J3" s="379" t="s">
        <v>257</v>
      </c>
      <c r="K3" s="380" t="s">
        <v>258</v>
      </c>
      <c r="L3" s="381" t="s">
        <v>259</v>
      </c>
      <c r="O3" s="378" t="s">
        <v>255</v>
      </c>
      <c r="P3" s="379" t="s">
        <v>256</v>
      </c>
      <c r="Q3" s="379" t="s">
        <v>257</v>
      </c>
      <c r="R3" s="380" t="s">
        <v>258</v>
      </c>
      <c r="S3" s="381" t="s">
        <v>259</v>
      </c>
    </row>
    <row r="4" spans="1:20" x14ac:dyDescent="0.25">
      <c r="A4" s="382">
        <v>100</v>
      </c>
      <c r="B4" s="383">
        <v>1485800</v>
      </c>
      <c r="C4" s="383"/>
      <c r="D4" s="384"/>
      <c r="E4" s="385">
        <f>SUM(B4:D4)</f>
        <v>1485800</v>
      </c>
      <c r="H4" s="382">
        <v>100</v>
      </c>
      <c r="I4" s="383">
        <v>1525800</v>
      </c>
      <c r="J4" s="383"/>
      <c r="K4" s="384"/>
      <c r="L4" s="385">
        <f>SUM(I4:K4)</f>
        <v>1525800</v>
      </c>
      <c r="O4" s="382">
        <v>100</v>
      </c>
      <c r="P4" s="383">
        <v>1612800</v>
      </c>
      <c r="Q4" s="383"/>
      <c r="R4" s="384"/>
      <c r="S4" s="385">
        <f>SUM(P4:R4)</f>
        <v>1612800</v>
      </c>
    </row>
    <row r="5" spans="1:20" x14ac:dyDescent="0.25">
      <c r="A5" s="386">
        <v>200</v>
      </c>
      <c r="B5" s="387">
        <v>322281</v>
      </c>
      <c r="C5" s="387">
        <v>5150</v>
      </c>
      <c r="D5" s="388">
        <v>12350</v>
      </c>
      <c r="E5" s="385">
        <f t="shared" ref="E5:E8" si="0">SUM(B5:D5)</f>
        <v>339781</v>
      </c>
      <c r="H5" s="386">
        <v>200</v>
      </c>
      <c r="I5" s="387">
        <v>310791</v>
      </c>
      <c r="J5" s="387">
        <v>5150</v>
      </c>
      <c r="K5" s="388">
        <v>12350</v>
      </c>
      <c r="L5" s="385">
        <f t="shared" ref="L5:L8" si="1">SUM(I5:K5)</f>
        <v>328291</v>
      </c>
      <c r="O5" s="386">
        <v>200</v>
      </c>
      <c r="P5" s="387">
        <v>310801</v>
      </c>
      <c r="Q5" s="387">
        <v>5150</v>
      </c>
      <c r="R5" s="388">
        <v>12350</v>
      </c>
      <c r="S5" s="385">
        <f t="shared" ref="S5:S8" si="2">SUM(P5:R5)</f>
        <v>328301</v>
      </c>
    </row>
    <row r="6" spans="1:20" x14ac:dyDescent="0.25">
      <c r="A6" s="386">
        <v>300</v>
      </c>
      <c r="B6" s="387">
        <v>2093472</v>
      </c>
      <c r="C6" s="387">
        <v>0</v>
      </c>
      <c r="D6" s="388"/>
      <c r="E6" s="385">
        <f t="shared" si="0"/>
        <v>2093472</v>
      </c>
      <c r="H6" s="386">
        <v>300</v>
      </c>
      <c r="I6" s="387">
        <v>903110</v>
      </c>
      <c r="J6" s="387">
        <v>0</v>
      </c>
      <c r="K6" s="388"/>
      <c r="L6" s="385">
        <f t="shared" si="1"/>
        <v>903110</v>
      </c>
      <c r="O6" s="386">
        <v>300</v>
      </c>
      <c r="P6" s="387">
        <v>903110</v>
      </c>
      <c r="Q6" s="387">
        <v>0</v>
      </c>
      <c r="R6" s="388"/>
      <c r="S6" s="385">
        <f t="shared" si="2"/>
        <v>903110</v>
      </c>
    </row>
    <row r="7" spans="1:20" x14ac:dyDescent="0.25">
      <c r="A7" s="386">
        <v>400</v>
      </c>
      <c r="B7" s="387">
        <v>931297</v>
      </c>
      <c r="C7" s="387"/>
      <c r="D7" s="388"/>
      <c r="E7" s="385">
        <f t="shared" si="0"/>
        <v>931297</v>
      </c>
      <c r="H7" s="386">
        <v>400</v>
      </c>
      <c r="I7" s="387">
        <v>27140</v>
      </c>
      <c r="J7" s="387"/>
      <c r="K7" s="388"/>
      <c r="L7" s="385">
        <f t="shared" si="1"/>
        <v>27140</v>
      </c>
      <c r="O7" s="386">
        <v>400</v>
      </c>
      <c r="P7" s="387">
        <v>27140</v>
      </c>
      <c r="Q7" s="387"/>
      <c r="R7" s="388"/>
      <c r="S7" s="385">
        <f t="shared" si="2"/>
        <v>27140</v>
      </c>
    </row>
    <row r="8" spans="1:20" ht="15.75" thickBot="1" x14ac:dyDescent="0.3">
      <c r="A8" s="389">
        <v>500</v>
      </c>
      <c r="B8" s="390">
        <v>0</v>
      </c>
      <c r="C8" s="390"/>
      <c r="D8" s="391"/>
      <c r="E8" s="385">
        <f t="shared" si="0"/>
        <v>0</v>
      </c>
      <c r="F8" s="392"/>
      <c r="H8" s="389">
        <v>500</v>
      </c>
      <c r="I8" s="390">
        <v>0</v>
      </c>
      <c r="J8" s="390"/>
      <c r="K8" s="391"/>
      <c r="L8" s="385">
        <f t="shared" si="1"/>
        <v>0</v>
      </c>
      <c r="M8" s="392"/>
      <c r="O8" s="389">
        <v>500</v>
      </c>
      <c r="P8" s="390">
        <v>0</v>
      </c>
      <c r="Q8" s="390"/>
      <c r="R8" s="391"/>
      <c r="S8" s="385">
        <f t="shared" si="2"/>
        <v>0</v>
      </c>
      <c r="T8" s="392"/>
    </row>
    <row r="9" spans="1:20" ht="15.75" thickBot="1" x14ac:dyDescent="0.3">
      <c r="A9" s="378" t="s">
        <v>260</v>
      </c>
      <c r="B9" s="393">
        <f>SUM(B4:B8)</f>
        <v>4832850</v>
      </c>
      <c r="C9" s="393">
        <f t="shared" ref="C9:D9" si="3">SUM(C4:C8)</f>
        <v>5150</v>
      </c>
      <c r="D9" s="394">
        <f t="shared" si="3"/>
        <v>12350</v>
      </c>
      <c r="E9" s="395">
        <f>SUM(B9:D9)</f>
        <v>4850350</v>
      </c>
      <c r="F9" s="392">
        <f>SUM(E4:E8)</f>
        <v>4850350</v>
      </c>
      <c r="H9" s="378" t="s">
        <v>260</v>
      </c>
      <c r="I9" s="393">
        <f>SUM(I4:I8)</f>
        <v>2766841</v>
      </c>
      <c r="J9" s="393">
        <f t="shared" ref="J9:K9" si="4">SUM(J4:J8)</f>
        <v>5150</v>
      </c>
      <c r="K9" s="394">
        <f t="shared" si="4"/>
        <v>12350</v>
      </c>
      <c r="L9" s="395">
        <f>SUM(I9:K9)</f>
        <v>2784341</v>
      </c>
      <c r="M9" s="392">
        <f>SUM(L4:L8)</f>
        <v>2784341</v>
      </c>
      <c r="O9" s="378" t="s">
        <v>260</v>
      </c>
      <c r="P9" s="393">
        <f>SUM(P4:P8)</f>
        <v>2853851</v>
      </c>
      <c r="Q9" s="393">
        <f t="shared" ref="Q9:R9" si="5">SUM(Q4:Q8)</f>
        <v>5150</v>
      </c>
      <c r="R9" s="394">
        <f t="shared" si="5"/>
        <v>12350</v>
      </c>
      <c r="S9" s="395">
        <f>SUM(P9:R9)</f>
        <v>2871351</v>
      </c>
      <c r="T9" s="392">
        <f>SUM(S4:S8)</f>
        <v>2871351</v>
      </c>
    </row>
    <row r="10" spans="1:20" x14ac:dyDescent="0.25">
      <c r="A10" s="382">
        <v>600</v>
      </c>
      <c r="B10" s="396">
        <v>1801231</v>
      </c>
      <c r="C10" s="383">
        <v>704072</v>
      </c>
      <c r="D10" s="384">
        <v>306400</v>
      </c>
      <c r="E10" s="385">
        <f>SUM(B10:D10)</f>
        <v>2811703</v>
      </c>
      <c r="F10" s="397"/>
      <c r="H10" s="382">
        <v>600</v>
      </c>
      <c r="I10" s="396">
        <v>1794611</v>
      </c>
      <c r="J10" s="383">
        <v>681000</v>
      </c>
      <c r="K10" s="384">
        <v>307500</v>
      </c>
      <c r="L10" s="385">
        <f>SUM(I10:K10)</f>
        <v>2783111</v>
      </c>
      <c r="M10" s="397"/>
      <c r="O10" s="382">
        <v>600</v>
      </c>
      <c r="P10" s="396">
        <v>1881581</v>
      </c>
      <c r="Q10" s="383">
        <v>681000</v>
      </c>
      <c r="R10" s="384">
        <v>307500</v>
      </c>
      <c r="S10" s="385">
        <f>SUM(P10:R10)</f>
        <v>2870081</v>
      </c>
      <c r="T10" s="397"/>
    </row>
    <row r="11" spans="1:20" x14ac:dyDescent="0.25">
      <c r="A11" s="386">
        <v>700</v>
      </c>
      <c r="B11" s="387">
        <v>2034046</v>
      </c>
      <c r="C11" s="387"/>
      <c r="D11" s="388"/>
      <c r="E11" s="385">
        <f t="shared" ref="E11:E12" si="6">SUM(B11:D11)</f>
        <v>2034046</v>
      </c>
      <c r="F11" s="397"/>
      <c r="H11" s="386">
        <v>700</v>
      </c>
      <c r="I11" s="387">
        <v>0</v>
      </c>
      <c r="J11" s="387"/>
      <c r="K11" s="388"/>
      <c r="L11" s="385">
        <f t="shared" ref="L11:L12" si="7">SUM(I11:K11)</f>
        <v>0</v>
      </c>
      <c r="M11" s="397"/>
      <c r="O11" s="386">
        <v>700</v>
      </c>
      <c r="P11" s="387">
        <v>0</v>
      </c>
      <c r="Q11" s="387"/>
      <c r="R11" s="388"/>
      <c r="S11" s="385">
        <f t="shared" ref="S11:S12" si="8">SUM(P11:R11)</f>
        <v>0</v>
      </c>
      <c r="T11" s="397"/>
    </row>
    <row r="12" spans="1:20" ht="15.75" thickBot="1" x14ac:dyDescent="0.3">
      <c r="A12" s="389">
        <v>800</v>
      </c>
      <c r="B12" s="390">
        <v>4601</v>
      </c>
      <c r="C12" s="390"/>
      <c r="D12" s="391"/>
      <c r="E12" s="385">
        <f t="shared" si="6"/>
        <v>4601</v>
      </c>
      <c r="F12" s="397"/>
      <c r="H12" s="389">
        <v>800</v>
      </c>
      <c r="I12" s="390">
        <v>1230</v>
      </c>
      <c r="J12" s="390"/>
      <c r="K12" s="391"/>
      <c r="L12" s="385">
        <f t="shared" si="7"/>
        <v>1230</v>
      </c>
      <c r="M12" s="397"/>
      <c r="O12" s="389">
        <v>800</v>
      </c>
      <c r="P12" s="390">
        <v>1270</v>
      </c>
      <c r="Q12" s="390"/>
      <c r="R12" s="391"/>
      <c r="S12" s="385">
        <f t="shared" si="8"/>
        <v>1270</v>
      </c>
      <c r="T12" s="397"/>
    </row>
    <row r="13" spans="1:20" ht="15.75" thickBot="1" x14ac:dyDescent="0.3">
      <c r="A13" s="378" t="s">
        <v>261</v>
      </c>
      <c r="B13" s="393">
        <f>SUM(B10:B12)</f>
        <v>3839878</v>
      </c>
      <c r="C13" s="393">
        <f t="shared" ref="C13:D13" si="9">SUM(C10:C12)</f>
        <v>704072</v>
      </c>
      <c r="D13" s="394">
        <f t="shared" si="9"/>
        <v>306400</v>
      </c>
      <c r="E13" s="395">
        <f>SUM(B13:D13)</f>
        <v>4850350</v>
      </c>
      <c r="F13" s="392">
        <f>SUM(E10:E12)</f>
        <v>4850350</v>
      </c>
      <c r="H13" s="378" t="s">
        <v>261</v>
      </c>
      <c r="I13" s="393">
        <f>SUM(I10:I12)</f>
        <v>1795841</v>
      </c>
      <c r="J13" s="393">
        <f t="shared" ref="J13:K13" si="10">SUM(J10:J12)</f>
        <v>681000</v>
      </c>
      <c r="K13" s="394">
        <f t="shared" si="10"/>
        <v>307500</v>
      </c>
      <c r="L13" s="395">
        <f>SUM(I13:K13)</f>
        <v>2784341</v>
      </c>
      <c r="M13" s="392">
        <f>SUM(L10:L12)</f>
        <v>2784341</v>
      </c>
      <c r="O13" s="378" t="s">
        <v>261</v>
      </c>
      <c r="P13" s="393">
        <f>SUM(P10:P12)</f>
        <v>1882851</v>
      </c>
      <c r="Q13" s="393">
        <f t="shared" ref="Q13:R13" si="11">SUM(Q10:Q12)</f>
        <v>681000</v>
      </c>
      <c r="R13" s="394">
        <f t="shared" si="11"/>
        <v>307500</v>
      </c>
      <c r="S13" s="395">
        <f>SUM(P13:R13)</f>
        <v>2871351</v>
      </c>
      <c r="T13" s="392">
        <f>SUM(S10:S12)</f>
        <v>2871351</v>
      </c>
    </row>
    <row r="14" spans="1:20" x14ac:dyDescent="0.25">
      <c r="C14" s="310">
        <f>C9-C13</f>
        <v>-698922</v>
      </c>
      <c r="D14" s="310">
        <f>D9-D13</f>
        <v>-294050</v>
      </c>
      <c r="E14" s="310">
        <f>E9-E13</f>
        <v>0</v>
      </c>
      <c r="J14" s="310">
        <f>J9-J13</f>
        <v>-675850</v>
      </c>
      <c r="K14" s="310">
        <f>K9-K13</f>
        <v>-295150</v>
      </c>
      <c r="L14" s="310">
        <f>L9-L13</f>
        <v>0</v>
      </c>
      <c r="Q14" s="310">
        <f>Q9-Q13</f>
        <v>-675850</v>
      </c>
      <c r="R14" s="310">
        <f>R9-R13</f>
        <v>-295150</v>
      </c>
      <c r="S14" s="310">
        <f>S9-S13</f>
        <v>0</v>
      </c>
    </row>
    <row r="15" spans="1:20" x14ac:dyDescent="0.25">
      <c r="D15" s="310">
        <f>SUM(C14:D14)</f>
        <v>-992972</v>
      </c>
      <c r="K15" s="310">
        <f>SUM(J14:K14)</f>
        <v>-971000</v>
      </c>
      <c r="R15" s="310">
        <f>SUM(Q14:R14)</f>
        <v>-971000</v>
      </c>
    </row>
    <row r="16" spans="1:20" x14ac:dyDescent="0.25">
      <c r="A16" t="s">
        <v>181</v>
      </c>
    </row>
    <row r="18" spans="1:2" x14ac:dyDescent="0.25">
      <c r="A18" s="745" t="s">
        <v>369</v>
      </c>
      <c r="B18" s="745"/>
    </row>
  </sheetData>
  <mergeCells count="4">
    <mergeCell ref="A1:E1"/>
    <mergeCell ref="H1:L1"/>
    <mergeCell ref="O1:S1"/>
    <mergeCell ref="A18:B18"/>
  </mergeCells>
  <pageMargins left="0.7" right="0.7" top="0.75" bottom="0.75" header="0.3" footer="0.3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zmena 3</vt:lpstr>
      <vt:lpstr>zmena 2</vt:lpstr>
      <vt:lpstr>zmena 1</vt:lpstr>
      <vt:lpstr>úpravy OZ</vt:lpstr>
      <vt:lpstr>úpravy ST</vt:lpstr>
      <vt:lpstr>investície</vt:lpstr>
      <vt:lpstr>opatrenia</vt:lpstr>
      <vt:lpstr>VR 24-26</vt:lpstr>
      <vt:lpstr>eko</vt:lpstr>
      <vt:lpstr>kategorie</vt:lpstr>
      <vt:lpstr>zdroje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2024-04-19T14:45:02Z</dcterms:modified>
</cp:coreProperties>
</file>