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580" activeTab="3"/>
  </bookViews>
  <sheets>
    <sheet name="úpravy OZ" sheetId="3" r:id="rId1"/>
    <sheet name="úpravy starostu" sheetId="9" r:id="rId2"/>
    <sheet name="investície" sheetId="2" r:id="rId3"/>
    <sheet name="zmena6" sheetId="14" r:id="rId4"/>
    <sheet name="zmena5" sheetId="13" r:id="rId5"/>
    <sheet name="zmena4" sheetId="12" r:id="rId6"/>
    <sheet name="zmena3" sheetId="11" r:id="rId7"/>
    <sheet name="zmena2" sheetId="10" r:id="rId8"/>
    <sheet name="zmena1" sheetId="6" r:id="rId9"/>
    <sheet name="opatrenia" sheetId="4" r:id="rId10"/>
    <sheet name="VR22-24" sheetId="1" r:id="rId11"/>
    <sheet name="Hárok1" sheetId="7" r:id="rId12"/>
  </sheets>
  <calcPr calcId="152511"/>
</workbook>
</file>

<file path=xl/calcChain.xml><?xml version="1.0" encoding="utf-8"?>
<calcChain xmlns="http://schemas.openxmlformats.org/spreadsheetml/2006/main">
  <c r="F11" i="2" l="1"/>
  <c r="F9" i="2"/>
  <c r="E9" i="2"/>
  <c r="F8" i="2"/>
  <c r="E8" i="2"/>
  <c r="E12" i="2"/>
  <c r="R146" i="14"/>
  <c r="R145" i="14"/>
  <c r="R66" i="14" l="1"/>
  <c r="Q66" i="14"/>
  <c r="C44" i="9"/>
  <c r="C7" i="9"/>
  <c r="C32" i="3"/>
  <c r="C31" i="3"/>
  <c r="C30" i="3"/>
  <c r="C27" i="9"/>
  <c r="R102" i="14" l="1"/>
  <c r="R100" i="14"/>
  <c r="R93" i="14"/>
  <c r="C33" i="3"/>
  <c r="R110" i="14" l="1"/>
  <c r="Q110" i="14"/>
  <c r="R92" i="14"/>
  <c r="R182" i="14"/>
  <c r="AH176" i="14"/>
  <c r="AH186" i="14"/>
  <c r="AI186" i="14"/>
  <c r="AH144" i="14"/>
  <c r="AH155" i="14"/>
  <c r="AI155" i="14"/>
  <c r="AH129" i="14"/>
  <c r="AH130" i="14"/>
  <c r="AI130" i="14"/>
  <c r="AH131" i="14"/>
  <c r="AI131" i="14"/>
  <c r="AH132" i="14"/>
  <c r="AI132" i="14"/>
  <c r="AH133" i="14"/>
  <c r="AI133" i="14"/>
  <c r="AH135" i="14"/>
  <c r="AI135" i="14"/>
  <c r="AH136" i="14"/>
  <c r="AI136" i="14"/>
  <c r="AH137" i="14"/>
  <c r="AI137" i="14"/>
  <c r="AH64" i="14"/>
  <c r="AI64" i="14"/>
  <c r="AH66" i="14"/>
  <c r="AI66" i="14"/>
  <c r="AH68" i="14"/>
  <c r="AI68" i="14"/>
  <c r="AH69" i="14"/>
  <c r="AI69" i="14"/>
  <c r="AH70" i="14"/>
  <c r="AI70" i="14"/>
  <c r="AH71" i="14"/>
  <c r="AI71" i="14"/>
  <c r="AH72" i="14"/>
  <c r="AI72" i="14"/>
  <c r="AH73" i="14"/>
  <c r="AI73" i="14"/>
  <c r="R68" i="14"/>
  <c r="Q68" i="14"/>
  <c r="Q129" i="14"/>
  <c r="Q134" i="14" s="1"/>
  <c r="AH134" i="14" s="1"/>
  <c r="Q197" i="14"/>
  <c r="Q198" i="14"/>
  <c r="R198" i="14"/>
  <c r="Q199" i="14"/>
  <c r="Q200" i="14"/>
  <c r="Q201" i="14"/>
  <c r="Q202" i="14" s="1"/>
  <c r="R201" i="14"/>
  <c r="Q179" i="14"/>
  <c r="Q176" i="14" s="1"/>
  <c r="R179" i="14"/>
  <c r="R176" i="14" s="1"/>
  <c r="AI176" i="14" s="1"/>
  <c r="Q180" i="14"/>
  <c r="R180" i="14"/>
  <c r="Q186" i="14"/>
  <c r="R186" i="14"/>
  <c r="Q145" i="14"/>
  <c r="Q144" i="14" s="1"/>
  <c r="Q146" i="14"/>
  <c r="Q153" i="14"/>
  <c r="R153" i="14"/>
  <c r="Q157" i="14"/>
  <c r="Q154" i="14" s="1"/>
  <c r="R157" i="14"/>
  <c r="R154" i="14" s="1"/>
  <c r="Q158" i="14"/>
  <c r="R158" i="14"/>
  <c r="Q159" i="14"/>
  <c r="R159" i="14"/>
  <c r="Q160" i="14"/>
  <c r="R160" i="14"/>
  <c r="Q167" i="14"/>
  <c r="R167" i="14"/>
  <c r="Q171" i="14"/>
  <c r="R171" i="14"/>
  <c r="Q80" i="14"/>
  <c r="Q79" i="14" s="1"/>
  <c r="R80" i="14"/>
  <c r="R79" i="14" s="1"/>
  <c r="Q81" i="14"/>
  <c r="R81" i="14"/>
  <c r="Q82" i="14"/>
  <c r="R82" i="14"/>
  <c r="Q83" i="14"/>
  <c r="R83" i="14"/>
  <c r="Q85" i="14"/>
  <c r="R85" i="14"/>
  <c r="Q86" i="14"/>
  <c r="R86" i="14"/>
  <c r="Q87" i="14"/>
  <c r="R87" i="14"/>
  <c r="Q88" i="14"/>
  <c r="R88" i="14"/>
  <c r="Q91" i="14"/>
  <c r="R91" i="14"/>
  <c r="Q92" i="14"/>
  <c r="Q90" i="14" s="1"/>
  <c r="R90" i="14"/>
  <c r="Q95" i="14"/>
  <c r="Q94" i="14" s="1"/>
  <c r="R95" i="14"/>
  <c r="R94" i="14" s="1"/>
  <c r="Q96" i="14"/>
  <c r="R96" i="14"/>
  <c r="Q100" i="14"/>
  <c r="Q101" i="14"/>
  <c r="Q99" i="14" s="1"/>
  <c r="R101" i="14"/>
  <c r="R99" i="14" s="1"/>
  <c r="Q102" i="14"/>
  <c r="Q103" i="14"/>
  <c r="R103" i="14"/>
  <c r="Q107" i="14"/>
  <c r="R107" i="14"/>
  <c r="Q109" i="14"/>
  <c r="R109" i="14"/>
  <c r="Q108" i="14"/>
  <c r="R108" i="14"/>
  <c r="Q111" i="14"/>
  <c r="R111" i="14"/>
  <c r="Q112" i="14"/>
  <c r="R112" i="14"/>
  <c r="Q113" i="14"/>
  <c r="R113" i="14"/>
  <c r="Q115" i="14"/>
  <c r="R115" i="14"/>
  <c r="Q116" i="14"/>
  <c r="Q114" i="14" s="1"/>
  <c r="R116" i="14"/>
  <c r="R114" i="14" s="1"/>
  <c r="Q119" i="14"/>
  <c r="R119" i="14"/>
  <c r="Q120" i="14"/>
  <c r="R120" i="14"/>
  <c r="Q123" i="14"/>
  <c r="Q122" i="14" s="1"/>
  <c r="R123" i="14"/>
  <c r="R122" i="14" s="1"/>
  <c r="Q125" i="14"/>
  <c r="R125" i="14"/>
  <c r="Q126" i="14"/>
  <c r="R126" i="14"/>
  <c r="R129" i="14"/>
  <c r="Q130" i="14"/>
  <c r="R130" i="14"/>
  <c r="Q132" i="14"/>
  <c r="R132" i="14"/>
  <c r="Q133" i="14"/>
  <c r="R133" i="14"/>
  <c r="Q136" i="14"/>
  <c r="Q135" i="14" s="1"/>
  <c r="Q137" i="14" s="1"/>
  <c r="R136" i="14"/>
  <c r="R135" i="14" s="1"/>
  <c r="R137" i="14" s="1"/>
  <c r="Q4" i="14"/>
  <c r="Q3" i="14" s="1"/>
  <c r="R4" i="14"/>
  <c r="R3" i="14" s="1"/>
  <c r="Q5" i="14"/>
  <c r="R5" i="14"/>
  <c r="Q6" i="14"/>
  <c r="R6" i="14"/>
  <c r="Q7" i="14"/>
  <c r="R7" i="14"/>
  <c r="Q8" i="14"/>
  <c r="R8" i="14"/>
  <c r="Q9" i="14"/>
  <c r="R9" i="14"/>
  <c r="Q10" i="14"/>
  <c r="R10" i="14"/>
  <c r="Q20" i="14"/>
  <c r="Q11" i="14" s="1"/>
  <c r="R20" i="14"/>
  <c r="R11" i="14" s="1"/>
  <c r="Q22" i="14"/>
  <c r="R22" i="14"/>
  <c r="Q32" i="14"/>
  <c r="R32" i="14"/>
  <c r="Q39" i="14"/>
  <c r="Q34" i="14" s="1"/>
  <c r="R39" i="14"/>
  <c r="R34" i="14" s="1"/>
  <c r="Q40" i="14"/>
  <c r="R40" i="14"/>
  <c r="R41" i="14"/>
  <c r="Q42" i="14"/>
  <c r="R42" i="14"/>
  <c r="Q46" i="14"/>
  <c r="R46" i="14"/>
  <c r="Q57" i="14"/>
  <c r="R57" i="14"/>
  <c r="Q60" i="14"/>
  <c r="R60" i="14"/>
  <c r="Q61" i="14"/>
  <c r="R61" i="14"/>
  <c r="Q70" i="14"/>
  <c r="R70" i="14"/>
  <c r="R73" i="14" s="1"/>
  <c r="Q72" i="14"/>
  <c r="R72" i="14"/>
  <c r="Q73" i="14"/>
  <c r="M200" i="14"/>
  <c r="T189" i="14"/>
  <c r="T188" i="14"/>
  <c r="T187" i="14"/>
  <c r="AA186" i="14"/>
  <c r="S186" i="14"/>
  <c r="P186" i="14"/>
  <c r="O186" i="14"/>
  <c r="O201" i="14" s="1"/>
  <c r="N186" i="14"/>
  <c r="M186" i="14"/>
  <c r="L186" i="14"/>
  <c r="K186" i="14"/>
  <c r="K201" i="14" s="1"/>
  <c r="J186" i="14"/>
  <c r="J201" i="14" s="1"/>
  <c r="I186" i="14"/>
  <c r="I201" i="14" s="1"/>
  <c r="H186" i="14"/>
  <c r="G186" i="14"/>
  <c r="G201" i="14" s="1"/>
  <c r="G202" i="14" s="1"/>
  <c r="F186" i="14"/>
  <c r="F201" i="14" s="1"/>
  <c r="E186" i="14"/>
  <c r="E201" i="14" s="1"/>
  <c r="D186" i="14"/>
  <c r="C186" i="14"/>
  <c r="C201" i="14" s="1"/>
  <c r="T184" i="14"/>
  <c r="T183" i="14"/>
  <c r="T182" i="14"/>
  <c r="T181" i="14"/>
  <c r="P180" i="14"/>
  <c r="O180" i="14"/>
  <c r="S179" i="14"/>
  <c r="P179" i="14"/>
  <c r="O179" i="14"/>
  <c r="N179" i="14"/>
  <c r="M179" i="14"/>
  <c r="M176" i="14" s="1"/>
  <c r="AE176" i="14" s="1"/>
  <c r="L179" i="14"/>
  <c r="K179" i="14"/>
  <c r="J179" i="14"/>
  <c r="I179" i="14"/>
  <c r="I176" i="14" s="1"/>
  <c r="I200" i="14" s="1"/>
  <c r="H179" i="14"/>
  <c r="G179" i="14"/>
  <c r="F179" i="14"/>
  <c r="E179" i="14"/>
  <c r="D179" i="14"/>
  <c r="C179" i="14"/>
  <c r="U181" i="14" s="1"/>
  <c r="T178" i="14"/>
  <c r="T177" i="14"/>
  <c r="AD176" i="14"/>
  <c r="O176" i="14"/>
  <c r="N176" i="14"/>
  <c r="N200" i="14" s="1"/>
  <c r="L176" i="14"/>
  <c r="K176" i="14"/>
  <c r="K200" i="14" s="1"/>
  <c r="K202" i="14" s="1"/>
  <c r="J176" i="14"/>
  <c r="J200" i="14" s="1"/>
  <c r="H176" i="14"/>
  <c r="G176" i="14"/>
  <c r="G200" i="14" s="1"/>
  <c r="F176" i="14"/>
  <c r="F200" i="14" s="1"/>
  <c r="D176" i="14"/>
  <c r="C176" i="14"/>
  <c r="C200" i="14" s="1"/>
  <c r="C202" i="14" s="1"/>
  <c r="P171" i="14"/>
  <c r="T171" i="14" s="1"/>
  <c r="O171" i="14"/>
  <c r="O154" i="14" s="1"/>
  <c r="O198" i="14" s="1"/>
  <c r="N171" i="14"/>
  <c r="M171" i="14"/>
  <c r="L171" i="14"/>
  <c r="K171" i="14"/>
  <c r="K154" i="14" s="1"/>
  <c r="K198" i="14" s="1"/>
  <c r="J171" i="14"/>
  <c r="I171" i="14"/>
  <c r="H171" i="14"/>
  <c r="G171" i="14"/>
  <c r="G154" i="14" s="1"/>
  <c r="G198" i="14" s="1"/>
  <c r="F171" i="14"/>
  <c r="E171" i="14"/>
  <c r="D171" i="14"/>
  <c r="C171" i="14"/>
  <c r="C154" i="14" s="1"/>
  <c r="T170" i="14"/>
  <c r="T168" i="14"/>
  <c r="P167" i="14"/>
  <c r="T167" i="14" s="1"/>
  <c r="O167" i="14"/>
  <c r="N167" i="14"/>
  <c r="M167" i="14"/>
  <c r="T165" i="14"/>
  <c r="T164" i="14"/>
  <c r="T163" i="14"/>
  <c r="T162" i="14"/>
  <c r="T160" i="14"/>
  <c r="P160" i="14"/>
  <c r="O160" i="14"/>
  <c r="N160" i="14"/>
  <c r="M160" i="14"/>
  <c r="T159" i="14"/>
  <c r="P159" i="14"/>
  <c r="O159" i="14"/>
  <c r="N159" i="14"/>
  <c r="N154" i="14" s="1"/>
  <c r="M159" i="14"/>
  <c r="L159" i="14"/>
  <c r="K159" i="14"/>
  <c r="T158" i="14"/>
  <c r="P158" i="14"/>
  <c r="O158" i="14"/>
  <c r="N158" i="14"/>
  <c r="M158" i="14"/>
  <c r="M154" i="14" s="1"/>
  <c r="L158" i="14"/>
  <c r="K158" i="14"/>
  <c r="J158" i="14"/>
  <c r="I158" i="14"/>
  <c r="I154" i="14" s="1"/>
  <c r="H158" i="14"/>
  <c r="G158" i="14"/>
  <c r="P157" i="14"/>
  <c r="T157" i="14" s="1"/>
  <c r="O157" i="14"/>
  <c r="N157" i="14"/>
  <c r="M157" i="14"/>
  <c r="L157" i="14"/>
  <c r="L154" i="14" s="1"/>
  <c r="K157" i="14"/>
  <c r="T156" i="14"/>
  <c r="T155" i="14"/>
  <c r="S154" i="14"/>
  <c r="S198" i="14" s="1"/>
  <c r="J154" i="14"/>
  <c r="J198" i="14" s="1"/>
  <c r="H154" i="14"/>
  <c r="F154" i="14"/>
  <c r="E154" i="14"/>
  <c r="E198" i="14" s="1"/>
  <c r="D154" i="14"/>
  <c r="S153" i="14"/>
  <c r="P153" i="14"/>
  <c r="O153" i="14"/>
  <c r="N153" i="14"/>
  <c r="M153" i="14"/>
  <c r="M144" i="14" s="1"/>
  <c r="L153" i="14"/>
  <c r="K153" i="14"/>
  <c r="J153" i="14"/>
  <c r="I153" i="14"/>
  <c r="I144" i="14" s="1"/>
  <c r="H153" i="14"/>
  <c r="G153" i="14"/>
  <c r="U153" i="14" s="1"/>
  <c r="F153" i="14"/>
  <c r="E153" i="14"/>
  <c r="D153" i="14"/>
  <c r="C153" i="14"/>
  <c r="T152" i="14"/>
  <c r="T151" i="14"/>
  <c r="T150" i="14"/>
  <c r="T149" i="14"/>
  <c r="T147" i="14"/>
  <c r="T146" i="14"/>
  <c r="P146" i="14"/>
  <c r="O146" i="14"/>
  <c r="O144" i="14" s="1"/>
  <c r="N146" i="14"/>
  <c r="M146" i="14"/>
  <c r="L146" i="14"/>
  <c r="K146" i="14"/>
  <c r="J146" i="14"/>
  <c r="I146" i="14"/>
  <c r="H146" i="14"/>
  <c r="G146" i="14"/>
  <c r="U147" i="14" s="1"/>
  <c r="V147" i="14" s="1"/>
  <c r="F146" i="14"/>
  <c r="E146" i="14"/>
  <c r="P145" i="14"/>
  <c r="O145" i="14"/>
  <c r="N145" i="14"/>
  <c r="N144" i="14" s="1"/>
  <c r="M145" i="14"/>
  <c r="L145" i="14"/>
  <c r="L144" i="14" s="1"/>
  <c r="L197" i="14" s="1"/>
  <c r="K145" i="14"/>
  <c r="J145" i="14"/>
  <c r="J144" i="14" s="1"/>
  <c r="I145" i="14"/>
  <c r="H145" i="14"/>
  <c r="H144" i="14" s="1"/>
  <c r="H197" i="14" s="1"/>
  <c r="G145" i="14"/>
  <c r="F145" i="14"/>
  <c r="F144" i="14" s="1"/>
  <c r="E145" i="14"/>
  <c r="K144" i="14"/>
  <c r="G144" i="14"/>
  <c r="E144" i="14"/>
  <c r="D144" i="14"/>
  <c r="D197" i="14" s="1"/>
  <c r="C144" i="14"/>
  <c r="C197" i="14" s="1"/>
  <c r="H137" i="14"/>
  <c r="D137" i="14"/>
  <c r="S136" i="14"/>
  <c r="P136" i="14"/>
  <c r="O136" i="14"/>
  <c r="AG136" i="14" s="1"/>
  <c r="N136" i="14"/>
  <c r="AF136" i="14" s="1"/>
  <c r="M136" i="14"/>
  <c r="L136" i="14"/>
  <c r="K136" i="14"/>
  <c r="AC136" i="14" s="1"/>
  <c r="J136" i="14"/>
  <c r="AB136" i="14" s="1"/>
  <c r="I136" i="14"/>
  <c r="H136" i="14"/>
  <c r="G136" i="14"/>
  <c r="Y136" i="14" s="1"/>
  <c r="F136" i="14"/>
  <c r="X136" i="14" s="1"/>
  <c r="E136" i="14"/>
  <c r="D136" i="14"/>
  <c r="C136" i="14"/>
  <c r="U136" i="14" s="1"/>
  <c r="Y135" i="14"/>
  <c r="P135" i="14"/>
  <c r="P137" i="14" s="1"/>
  <c r="L135" i="14"/>
  <c r="L137" i="14" s="1"/>
  <c r="K135" i="14"/>
  <c r="K137" i="14" s="1"/>
  <c r="H135" i="14"/>
  <c r="G135" i="14"/>
  <c r="G137" i="14" s="1"/>
  <c r="F135" i="14"/>
  <c r="D135" i="14"/>
  <c r="AG133" i="14"/>
  <c r="S133" i="14"/>
  <c r="T133" i="14" s="1"/>
  <c r="P133" i="14"/>
  <c r="O133" i="14"/>
  <c r="N133" i="14"/>
  <c r="M133" i="14"/>
  <c r="AE133" i="14" s="1"/>
  <c r="L133" i="14"/>
  <c r="K133" i="14"/>
  <c r="J133" i="14"/>
  <c r="I133" i="14"/>
  <c r="AA133" i="14" s="1"/>
  <c r="H133" i="14"/>
  <c r="G133" i="14"/>
  <c r="F133" i="14"/>
  <c r="E133" i="14"/>
  <c r="W133" i="14" s="1"/>
  <c r="D133" i="14"/>
  <c r="C133" i="14"/>
  <c r="U133" i="14" s="1"/>
  <c r="AE132" i="14"/>
  <c r="AD132" i="14"/>
  <c r="AC132" i="14"/>
  <c r="AB132" i="14"/>
  <c r="AA132" i="14"/>
  <c r="Z132" i="14"/>
  <c r="Y132" i="14"/>
  <c r="X132" i="14"/>
  <c r="W132" i="14"/>
  <c r="V132" i="14"/>
  <c r="U132" i="14"/>
  <c r="P132" i="14"/>
  <c r="AG132" i="14" s="1"/>
  <c r="O132" i="14"/>
  <c r="AF132" i="14" s="1"/>
  <c r="AG131" i="14"/>
  <c r="AF131" i="14"/>
  <c r="AE131" i="14"/>
  <c r="AD131" i="14"/>
  <c r="AC131" i="14"/>
  <c r="AB131" i="14"/>
  <c r="AA131" i="14"/>
  <c r="Z131" i="14"/>
  <c r="Y131" i="14"/>
  <c r="X131" i="14"/>
  <c r="W131" i="14"/>
  <c r="V131" i="14"/>
  <c r="U131" i="14"/>
  <c r="S130" i="14"/>
  <c r="T130" i="14" s="1"/>
  <c r="P130" i="14"/>
  <c r="O130" i="14"/>
  <c r="AG130" i="14" s="1"/>
  <c r="N130" i="14"/>
  <c r="AF130" i="14" s="1"/>
  <c r="M130" i="14"/>
  <c r="AD130" i="14" s="1"/>
  <c r="L130" i="14"/>
  <c r="K130" i="14"/>
  <c r="AC130" i="14" s="1"/>
  <c r="J130" i="14"/>
  <c r="AB130" i="14" s="1"/>
  <c r="I130" i="14"/>
  <c r="Z130" i="14" s="1"/>
  <c r="H130" i="14"/>
  <c r="G130" i="14"/>
  <c r="Y130" i="14" s="1"/>
  <c r="F130" i="14"/>
  <c r="X130" i="14" s="1"/>
  <c r="E130" i="14"/>
  <c r="V130" i="14" s="1"/>
  <c r="D130" i="14"/>
  <c r="C130" i="14"/>
  <c r="U130" i="14" s="1"/>
  <c r="S129" i="14"/>
  <c r="N129" i="14"/>
  <c r="D129" i="14"/>
  <c r="D134" i="14" s="1"/>
  <c r="C129" i="14"/>
  <c r="C134" i="14" s="1"/>
  <c r="T127" i="14"/>
  <c r="P126" i="14"/>
  <c r="T126" i="14" s="1"/>
  <c r="O126" i="14"/>
  <c r="N126" i="14"/>
  <c r="M126" i="14"/>
  <c r="L126" i="14"/>
  <c r="K126" i="14"/>
  <c r="K122" i="14" s="1"/>
  <c r="J126" i="14"/>
  <c r="I126" i="14"/>
  <c r="H126" i="14"/>
  <c r="G126" i="14"/>
  <c r="G122" i="14" s="1"/>
  <c r="P125" i="14"/>
  <c r="T125" i="14" s="1"/>
  <c r="O125" i="14"/>
  <c r="N125" i="14"/>
  <c r="N122" i="14" s="1"/>
  <c r="M125" i="14"/>
  <c r="T124" i="14"/>
  <c r="P123" i="14"/>
  <c r="T123" i="14" s="1"/>
  <c r="O123" i="14"/>
  <c r="N123" i="14"/>
  <c r="M123" i="14"/>
  <c r="L123" i="14"/>
  <c r="K123" i="14"/>
  <c r="J123" i="14"/>
  <c r="I123" i="14"/>
  <c r="H123" i="14"/>
  <c r="G123" i="14"/>
  <c r="F123" i="14"/>
  <c r="E123" i="14"/>
  <c r="D123" i="14"/>
  <c r="C123" i="14"/>
  <c r="S122" i="14"/>
  <c r="P122" i="14"/>
  <c r="M122" i="14"/>
  <c r="L122" i="14"/>
  <c r="J122" i="14"/>
  <c r="I122" i="14"/>
  <c r="H122" i="14"/>
  <c r="F122" i="14"/>
  <c r="E122" i="14"/>
  <c r="D122" i="14"/>
  <c r="C122" i="14"/>
  <c r="T121" i="14"/>
  <c r="P120" i="14"/>
  <c r="T120" i="14" s="1"/>
  <c r="O120" i="14"/>
  <c r="N120" i="14"/>
  <c r="M120" i="14"/>
  <c r="T119" i="14"/>
  <c r="P119" i="14"/>
  <c r="O119" i="14"/>
  <c r="N119" i="14"/>
  <c r="M119" i="14"/>
  <c r="L119" i="14"/>
  <c r="K119" i="14"/>
  <c r="J119" i="14"/>
  <c r="I119" i="14"/>
  <c r="H119" i="14"/>
  <c r="G119" i="14"/>
  <c r="F119" i="14"/>
  <c r="E119" i="14"/>
  <c r="T118" i="14"/>
  <c r="T117" i="14"/>
  <c r="P116" i="14"/>
  <c r="O116" i="14"/>
  <c r="N116" i="14"/>
  <c r="M116" i="14"/>
  <c r="L116" i="14"/>
  <c r="L114" i="14" s="1"/>
  <c r="K116" i="14"/>
  <c r="J116" i="14"/>
  <c r="I116" i="14"/>
  <c r="T115" i="14"/>
  <c r="P115" i="14"/>
  <c r="O115" i="14"/>
  <c r="N115" i="14"/>
  <c r="M115" i="14"/>
  <c r="L115" i="14"/>
  <c r="K115" i="14"/>
  <c r="J115" i="14"/>
  <c r="I115" i="14"/>
  <c r="I114" i="14" s="1"/>
  <c r="H115" i="14"/>
  <c r="G115" i="14"/>
  <c r="F115" i="14"/>
  <c r="E115" i="14"/>
  <c r="E114" i="14" s="1"/>
  <c r="D115" i="14"/>
  <c r="C115" i="14"/>
  <c r="S114" i="14"/>
  <c r="O114" i="14"/>
  <c r="N114" i="14"/>
  <c r="M114" i="14"/>
  <c r="K114" i="14"/>
  <c r="J114" i="14"/>
  <c r="H114" i="14"/>
  <c r="G114" i="14"/>
  <c r="F114" i="14"/>
  <c r="D114" i="14"/>
  <c r="C114" i="14"/>
  <c r="P113" i="14"/>
  <c r="T113" i="14" s="1"/>
  <c r="O113" i="14"/>
  <c r="N113" i="14"/>
  <c r="M113" i="14"/>
  <c r="L113" i="14"/>
  <c r="K113" i="14"/>
  <c r="P112" i="14"/>
  <c r="T112" i="14" s="1"/>
  <c r="O112" i="14"/>
  <c r="N112" i="14"/>
  <c r="M112" i="14"/>
  <c r="L112" i="14"/>
  <c r="K112" i="14"/>
  <c r="J112" i="14"/>
  <c r="I112" i="14"/>
  <c r="H112" i="14"/>
  <c r="G112" i="14"/>
  <c r="P111" i="14"/>
  <c r="T111" i="14" s="1"/>
  <c r="O111" i="14"/>
  <c r="N111" i="14"/>
  <c r="N108" i="14" s="1"/>
  <c r="M111" i="14"/>
  <c r="L111" i="14"/>
  <c r="K111" i="14"/>
  <c r="J111" i="14"/>
  <c r="J108" i="14" s="1"/>
  <c r="I111" i="14"/>
  <c r="P110" i="14"/>
  <c r="T110" i="14" s="1"/>
  <c r="O110" i="14"/>
  <c r="O108" i="14" s="1"/>
  <c r="N110" i="14"/>
  <c r="M110" i="14"/>
  <c r="L110" i="14"/>
  <c r="K110" i="14"/>
  <c r="K108" i="14" s="1"/>
  <c r="J110" i="14"/>
  <c r="I110" i="14"/>
  <c r="H110" i="14"/>
  <c r="G110" i="14"/>
  <c r="G108" i="14" s="1"/>
  <c r="F110" i="14"/>
  <c r="E110" i="14"/>
  <c r="P109" i="14"/>
  <c r="T109" i="14" s="1"/>
  <c r="O109" i="14"/>
  <c r="N109" i="14"/>
  <c r="M109" i="14"/>
  <c r="L109" i="14"/>
  <c r="L108" i="14" s="1"/>
  <c r="K109" i="14"/>
  <c r="J109" i="14"/>
  <c r="I109" i="14"/>
  <c r="H109" i="14"/>
  <c r="H108" i="14" s="1"/>
  <c r="G109" i="14"/>
  <c r="S108" i="14"/>
  <c r="M108" i="14"/>
  <c r="I108" i="14"/>
  <c r="F108" i="14"/>
  <c r="E108" i="14"/>
  <c r="D108" i="14"/>
  <c r="C108" i="14"/>
  <c r="P107" i="14"/>
  <c r="O107" i="14"/>
  <c r="O103" i="14" s="1"/>
  <c r="N107" i="14"/>
  <c r="M107" i="14"/>
  <c r="L107" i="14"/>
  <c r="L103" i="14" s="1"/>
  <c r="K107" i="14"/>
  <c r="J107" i="14"/>
  <c r="I107" i="14"/>
  <c r="H107" i="14"/>
  <c r="H103" i="14" s="1"/>
  <c r="G107" i="14"/>
  <c r="T106" i="14"/>
  <c r="T105" i="14"/>
  <c r="T104" i="14"/>
  <c r="S103" i="14"/>
  <c r="N103" i="14"/>
  <c r="M103" i="14"/>
  <c r="K103" i="14"/>
  <c r="J103" i="14"/>
  <c r="I103" i="14"/>
  <c r="G103" i="14"/>
  <c r="F103" i="14"/>
  <c r="E103" i="14"/>
  <c r="D103" i="14"/>
  <c r="C103" i="14"/>
  <c r="T102" i="14"/>
  <c r="P102" i="14"/>
  <c r="O102" i="14"/>
  <c r="N102" i="14"/>
  <c r="N99" i="14" s="1"/>
  <c r="M102" i="14"/>
  <c r="L102" i="14"/>
  <c r="K102" i="14"/>
  <c r="J102" i="14"/>
  <c r="J99" i="14" s="1"/>
  <c r="I102" i="14"/>
  <c r="H102" i="14"/>
  <c r="G102" i="14"/>
  <c r="P101" i="14"/>
  <c r="T101" i="14" s="1"/>
  <c r="O101" i="14"/>
  <c r="N101" i="14"/>
  <c r="M101" i="14"/>
  <c r="L101" i="14"/>
  <c r="L99" i="14" s="1"/>
  <c r="K101" i="14"/>
  <c r="J101" i="14"/>
  <c r="I101" i="14"/>
  <c r="H101" i="14"/>
  <c r="G101" i="14"/>
  <c r="P100" i="14"/>
  <c r="T100" i="14" s="1"/>
  <c r="O100" i="14"/>
  <c r="N100" i="14"/>
  <c r="M100" i="14"/>
  <c r="L100" i="14"/>
  <c r="K100" i="14"/>
  <c r="J100" i="14"/>
  <c r="I100" i="14"/>
  <c r="H100" i="14"/>
  <c r="H99" i="14" s="1"/>
  <c r="G100" i="14"/>
  <c r="S99" i="14"/>
  <c r="O99" i="14"/>
  <c r="K99" i="14"/>
  <c r="G99" i="14"/>
  <c r="F99" i="14"/>
  <c r="E99" i="14"/>
  <c r="D99" i="14"/>
  <c r="C99" i="14"/>
  <c r="T98" i="14"/>
  <c r="T97" i="14"/>
  <c r="P96" i="14"/>
  <c r="T96" i="14" s="1"/>
  <c r="O96" i="14"/>
  <c r="N96" i="14"/>
  <c r="M96" i="14"/>
  <c r="L96" i="14"/>
  <c r="L94" i="14" s="1"/>
  <c r="K96" i="14"/>
  <c r="J96" i="14"/>
  <c r="I96" i="14"/>
  <c r="H96" i="14"/>
  <c r="H94" i="14" s="1"/>
  <c r="G96" i="14"/>
  <c r="P95" i="14"/>
  <c r="O95" i="14"/>
  <c r="O94" i="14" s="1"/>
  <c r="N95" i="14"/>
  <c r="M95" i="14"/>
  <c r="S94" i="14"/>
  <c r="N94" i="14"/>
  <c r="M94" i="14"/>
  <c r="K94" i="14"/>
  <c r="J94" i="14"/>
  <c r="I94" i="14"/>
  <c r="G94" i="14"/>
  <c r="F94" i="14"/>
  <c r="E94" i="14"/>
  <c r="D94" i="14"/>
  <c r="C94" i="14"/>
  <c r="T93" i="14"/>
  <c r="T92" i="14"/>
  <c r="P92" i="14"/>
  <c r="O92" i="14"/>
  <c r="N92" i="14"/>
  <c r="M92" i="14"/>
  <c r="M90" i="14" s="1"/>
  <c r="P91" i="14"/>
  <c r="T91" i="14" s="1"/>
  <c r="O91" i="14"/>
  <c r="N91" i="14"/>
  <c r="M91" i="14"/>
  <c r="L91" i="14"/>
  <c r="K91" i="14"/>
  <c r="S90" i="14"/>
  <c r="P90" i="14"/>
  <c r="O90" i="14"/>
  <c r="N90" i="14"/>
  <c r="L90" i="14"/>
  <c r="K90" i="14"/>
  <c r="J90" i="14"/>
  <c r="I90" i="14"/>
  <c r="H90" i="14"/>
  <c r="G90" i="14"/>
  <c r="F90" i="14"/>
  <c r="E90" i="14"/>
  <c r="D90" i="14"/>
  <c r="C90" i="14"/>
  <c r="T89" i="14"/>
  <c r="P88" i="14"/>
  <c r="T88" i="14" s="1"/>
  <c r="O88" i="14"/>
  <c r="N88" i="14"/>
  <c r="M88" i="14"/>
  <c r="M87" i="14" s="1"/>
  <c r="L88" i="14"/>
  <c r="L87" i="14" s="1"/>
  <c r="K88" i="14"/>
  <c r="J88" i="14"/>
  <c r="I88" i="14"/>
  <c r="I87" i="14" s="1"/>
  <c r="H88" i="14"/>
  <c r="H87" i="14" s="1"/>
  <c r="G88" i="14"/>
  <c r="F88" i="14"/>
  <c r="E88" i="14"/>
  <c r="E87" i="14" s="1"/>
  <c r="S87" i="14"/>
  <c r="T87" i="14" s="1"/>
  <c r="P87" i="14"/>
  <c r="O87" i="14"/>
  <c r="N87" i="14"/>
  <c r="K87" i="14"/>
  <c r="J87" i="14"/>
  <c r="G87" i="14"/>
  <c r="F87" i="14"/>
  <c r="D87" i="14"/>
  <c r="C87" i="14"/>
  <c r="T86" i="14"/>
  <c r="P86" i="14"/>
  <c r="O86" i="14"/>
  <c r="N86" i="14"/>
  <c r="N85" i="14" s="1"/>
  <c r="M86" i="14"/>
  <c r="M85" i="14" s="1"/>
  <c r="L86" i="14"/>
  <c r="K86" i="14"/>
  <c r="J86" i="14"/>
  <c r="J85" i="14" s="1"/>
  <c r="I86" i="14"/>
  <c r="I85" i="14" s="1"/>
  <c r="H86" i="14"/>
  <c r="G86" i="14"/>
  <c r="F86" i="14"/>
  <c r="F85" i="14" s="1"/>
  <c r="E86" i="14"/>
  <c r="E85" i="14" s="1"/>
  <c r="S85" i="14"/>
  <c r="P85" i="14"/>
  <c r="O85" i="14"/>
  <c r="L85" i="14"/>
  <c r="K85" i="14"/>
  <c r="H85" i="14"/>
  <c r="G85" i="14"/>
  <c r="D85" i="14"/>
  <c r="C85" i="14"/>
  <c r="T84" i="14"/>
  <c r="T83" i="14"/>
  <c r="P83" i="14"/>
  <c r="O83" i="14"/>
  <c r="N83" i="14"/>
  <c r="M83" i="14"/>
  <c r="P82" i="14"/>
  <c r="T82" i="14" s="1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T81" i="14"/>
  <c r="P81" i="14"/>
  <c r="O81" i="14"/>
  <c r="O79" i="14" s="1"/>
  <c r="N81" i="14"/>
  <c r="M81" i="14"/>
  <c r="M79" i="14" s="1"/>
  <c r="L81" i="14"/>
  <c r="K81" i="14"/>
  <c r="K79" i="14" s="1"/>
  <c r="J81" i="14"/>
  <c r="I81" i="14"/>
  <c r="I79" i="14" s="1"/>
  <c r="P80" i="14"/>
  <c r="T80" i="14" s="1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S79" i="14"/>
  <c r="P79" i="14"/>
  <c r="N79" i="14"/>
  <c r="L79" i="14"/>
  <c r="J79" i="14"/>
  <c r="H79" i="14"/>
  <c r="G79" i="14"/>
  <c r="F79" i="14"/>
  <c r="E79" i="14"/>
  <c r="D79" i="14"/>
  <c r="C79" i="14"/>
  <c r="S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0" i="14"/>
  <c r="S73" i="14" s="1"/>
  <c r="P70" i="14"/>
  <c r="O70" i="14"/>
  <c r="N70" i="14"/>
  <c r="M70" i="14"/>
  <c r="M73" i="14" s="1"/>
  <c r="L70" i="14"/>
  <c r="K70" i="14"/>
  <c r="J70" i="14"/>
  <c r="I70" i="14"/>
  <c r="I73" i="14" s="1"/>
  <c r="H70" i="14"/>
  <c r="G70" i="14"/>
  <c r="F70" i="14"/>
  <c r="E70" i="14"/>
  <c r="E73" i="14" s="1"/>
  <c r="D70" i="14"/>
  <c r="C70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AD66" i="14"/>
  <c r="Z66" i="14"/>
  <c r="V66" i="14"/>
  <c r="U66" i="14"/>
  <c r="T66" i="14"/>
  <c r="P66" i="14"/>
  <c r="P129" i="14" s="1"/>
  <c r="O66" i="14"/>
  <c r="O129" i="14" s="1"/>
  <c r="O134" i="14" s="1"/>
  <c r="N66" i="14"/>
  <c r="M66" i="14"/>
  <c r="M129" i="14" s="1"/>
  <c r="L66" i="14"/>
  <c r="L129" i="14" s="1"/>
  <c r="K66" i="14"/>
  <c r="K129" i="14" s="1"/>
  <c r="K134" i="14" s="1"/>
  <c r="K138" i="14" s="1"/>
  <c r="J66" i="14"/>
  <c r="J129" i="14" s="1"/>
  <c r="I66" i="14"/>
  <c r="I129" i="14" s="1"/>
  <c r="H66" i="14"/>
  <c r="H129" i="14" s="1"/>
  <c r="G66" i="14"/>
  <c r="G129" i="14" s="1"/>
  <c r="G134" i="14" s="1"/>
  <c r="G138" i="14" s="1"/>
  <c r="F66" i="14"/>
  <c r="F129" i="14" s="1"/>
  <c r="E66" i="14"/>
  <c r="E129" i="14" s="1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T63" i="14"/>
  <c r="T62" i="14"/>
  <c r="P61" i="14"/>
  <c r="T61" i="14" s="1"/>
  <c r="O61" i="14"/>
  <c r="N61" i="14"/>
  <c r="M61" i="14"/>
  <c r="L61" i="14"/>
  <c r="K61" i="14"/>
  <c r="J61" i="14"/>
  <c r="I61" i="14"/>
  <c r="H61" i="14"/>
  <c r="G61" i="14"/>
  <c r="F61" i="14"/>
  <c r="E61" i="14"/>
  <c r="D61" i="14"/>
  <c r="V41" i="14" s="1"/>
  <c r="C61" i="14"/>
  <c r="T60" i="14"/>
  <c r="P60" i="14"/>
  <c r="O60" i="14"/>
  <c r="O41" i="14" s="1"/>
  <c r="N60" i="14"/>
  <c r="M60" i="14"/>
  <c r="L60" i="14"/>
  <c r="K60" i="14"/>
  <c r="K41" i="14" s="1"/>
  <c r="J60" i="14"/>
  <c r="I60" i="14"/>
  <c r="H60" i="14"/>
  <c r="G60" i="14"/>
  <c r="G41" i="14" s="1"/>
  <c r="F60" i="14"/>
  <c r="E60" i="14"/>
  <c r="T59" i="14"/>
  <c r="T58" i="14"/>
  <c r="P57" i="14"/>
  <c r="T57" i="14" s="1"/>
  <c r="O57" i="14"/>
  <c r="N57" i="14"/>
  <c r="AF41" i="14" s="1"/>
  <c r="M57" i="14"/>
  <c r="L57" i="14"/>
  <c r="K57" i="14"/>
  <c r="J57" i="14"/>
  <c r="AB41" i="14" s="1"/>
  <c r="I57" i="14"/>
  <c r="H57" i="14"/>
  <c r="G57" i="14"/>
  <c r="F57" i="14"/>
  <c r="X41" i="14" s="1"/>
  <c r="E57" i="14"/>
  <c r="T56" i="14"/>
  <c r="T55" i="14"/>
  <c r="T54" i="14"/>
  <c r="T53" i="14"/>
  <c r="T52" i="14"/>
  <c r="T51" i="14"/>
  <c r="T50" i="14"/>
  <c r="T49" i="14"/>
  <c r="T48" i="14"/>
  <c r="T47" i="14"/>
  <c r="T46" i="14"/>
  <c r="P46" i="14"/>
  <c r="O46" i="14"/>
  <c r="N46" i="14"/>
  <c r="M46" i="14"/>
  <c r="L46" i="14"/>
  <c r="K46" i="14"/>
  <c r="J46" i="14"/>
  <c r="I46" i="14"/>
  <c r="H46" i="14"/>
  <c r="G46" i="14"/>
  <c r="T45" i="14"/>
  <c r="T44" i="14"/>
  <c r="P42" i="14"/>
  <c r="T42" i="14" s="1"/>
  <c r="O42" i="14"/>
  <c r="N42" i="14"/>
  <c r="N41" i="14" s="1"/>
  <c r="M42" i="14"/>
  <c r="L42" i="14"/>
  <c r="L41" i="14" s="1"/>
  <c r="K42" i="14"/>
  <c r="J42" i="14"/>
  <c r="J41" i="14" s="1"/>
  <c r="I42" i="14"/>
  <c r="H42" i="14"/>
  <c r="H41" i="14" s="1"/>
  <c r="G42" i="14"/>
  <c r="AI41" i="14"/>
  <c r="AE41" i="14"/>
  <c r="AA41" i="14"/>
  <c r="W41" i="14"/>
  <c r="U41" i="14"/>
  <c r="S41" i="14"/>
  <c r="M41" i="14"/>
  <c r="I41" i="14"/>
  <c r="E41" i="14"/>
  <c r="C41" i="14"/>
  <c r="P40" i="14"/>
  <c r="P34" i="14" s="1"/>
  <c r="O40" i="14"/>
  <c r="N40" i="14"/>
  <c r="M40" i="14"/>
  <c r="L40" i="14"/>
  <c r="L34" i="14" s="1"/>
  <c r="K40" i="14"/>
  <c r="J40" i="14"/>
  <c r="I40" i="14"/>
  <c r="F40" i="14"/>
  <c r="E40" i="14"/>
  <c r="D40" i="14"/>
  <c r="C40" i="14"/>
  <c r="T39" i="14"/>
  <c r="P39" i="14"/>
  <c r="O39" i="14"/>
  <c r="O34" i="14" s="1"/>
  <c r="N39" i="14"/>
  <c r="M39" i="14"/>
  <c r="M34" i="14" s="1"/>
  <c r="L39" i="14"/>
  <c r="K39" i="14"/>
  <c r="K34" i="14" s="1"/>
  <c r="J39" i="14"/>
  <c r="I39" i="14"/>
  <c r="I34" i="14" s="1"/>
  <c r="H39" i="14"/>
  <c r="G39" i="14"/>
  <c r="G34" i="14" s="1"/>
  <c r="F39" i="14"/>
  <c r="E39" i="14"/>
  <c r="E34" i="14" s="1"/>
  <c r="T38" i="14"/>
  <c r="T37" i="14"/>
  <c r="T36" i="14"/>
  <c r="S34" i="14"/>
  <c r="N34" i="14"/>
  <c r="J34" i="14"/>
  <c r="H34" i="14"/>
  <c r="F34" i="14"/>
  <c r="D34" i="14"/>
  <c r="C34" i="14"/>
  <c r="T33" i="14"/>
  <c r="S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AF31" i="14"/>
  <c r="T31" i="14"/>
  <c r="T30" i="14"/>
  <c r="T29" i="14"/>
  <c r="T28" i="14"/>
  <c r="T27" i="14"/>
  <c r="T26" i="14"/>
  <c r="T25" i="14"/>
  <c r="T24" i="14"/>
  <c r="T23" i="14"/>
  <c r="T22" i="14"/>
  <c r="P22" i="14"/>
  <c r="O22" i="14"/>
  <c r="T21" i="14"/>
  <c r="T20" i="14"/>
  <c r="P20" i="14"/>
  <c r="P11" i="14" s="1"/>
  <c r="O20" i="14"/>
  <c r="O11" i="14" s="1"/>
  <c r="N20" i="14"/>
  <c r="M20" i="14"/>
  <c r="AE31" i="14" s="1"/>
  <c r="L20" i="14"/>
  <c r="L11" i="14" s="1"/>
  <c r="K20" i="14"/>
  <c r="K11" i="14" s="1"/>
  <c r="J20" i="14"/>
  <c r="AB31" i="14" s="1"/>
  <c r="I20" i="14"/>
  <c r="AA31" i="14" s="1"/>
  <c r="H20" i="14"/>
  <c r="H11" i="14" s="1"/>
  <c r="G20" i="14"/>
  <c r="G11" i="14" s="1"/>
  <c r="F20" i="14"/>
  <c r="X31" i="14" s="1"/>
  <c r="E20" i="14"/>
  <c r="W31" i="14" s="1"/>
  <c r="D20" i="14"/>
  <c r="D11" i="14" s="1"/>
  <c r="C20" i="14"/>
  <c r="C11" i="14" s="1"/>
  <c r="T19" i="14"/>
  <c r="T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5" i="14"/>
  <c r="T14" i="14"/>
  <c r="T13" i="14"/>
  <c r="T12" i="14"/>
  <c r="S11" i="14"/>
  <c r="T11" i="14" s="1"/>
  <c r="N11" i="14"/>
  <c r="M11" i="14"/>
  <c r="J11" i="14"/>
  <c r="I11" i="14"/>
  <c r="F11" i="14"/>
  <c r="E11" i="14"/>
  <c r="AF10" i="14"/>
  <c r="AD10" i="14"/>
  <c r="AC10" i="14"/>
  <c r="AB10" i="14"/>
  <c r="AA10" i="14"/>
  <c r="Z10" i="14"/>
  <c r="Y10" i="14"/>
  <c r="X10" i="14"/>
  <c r="W10" i="14"/>
  <c r="V10" i="14"/>
  <c r="U10" i="14"/>
  <c r="P10" i="14"/>
  <c r="T10" i="14" s="1"/>
  <c r="O10" i="14"/>
  <c r="T9" i="14"/>
  <c r="P9" i="14"/>
  <c r="O9" i="14"/>
  <c r="N9" i="14"/>
  <c r="M9" i="14"/>
  <c r="P8" i="14"/>
  <c r="T8" i="14" s="1"/>
  <c r="O8" i="14"/>
  <c r="N8" i="14"/>
  <c r="M8" i="14"/>
  <c r="T7" i="14"/>
  <c r="P7" i="14"/>
  <c r="O7" i="14"/>
  <c r="N7" i="14"/>
  <c r="M7" i="14"/>
  <c r="AE10" i="14" s="1"/>
  <c r="P6" i="14"/>
  <c r="T6" i="14" s="1"/>
  <c r="O6" i="14"/>
  <c r="N6" i="14"/>
  <c r="M6" i="14"/>
  <c r="T5" i="14"/>
  <c r="P5" i="14"/>
  <c r="O5" i="14"/>
  <c r="O3" i="14" s="1"/>
  <c r="N5" i="14"/>
  <c r="M5" i="14"/>
  <c r="P4" i="14"/>
  <c r="P3" i="14" s="1"/>
  <c r="O4" i="14"/>
  <c r="N4" i="14"/>
  <c r="M4" i="14"/>
  <c r="M3" i="14" s="1"/>
  <c r="M67" i="14" s="1"/>
  <c r="L4" i="14"/>
  <c r="L3" i="14" s="1"/>
  <c r="K4" i="14"/>
  <c r="J4" i="14"/>
  <c r="I4" i="14"/>
  <c r="I3" i="14" s="1"/>
  <c r="S3" i="14"/>
  <c r="N3" i="14"/>
  <c r="K3" i="14"/>
  <c r="J3" i="14"/>
  <c r="H3" i="14"/>
  <c r="G3" i="14"/>
  <c r="F3" i="14"/>
  <c r="E3" i="14"/>
  <c r="E67" i="14" s="1"/>
  <c r="D3" i="14"/>
  <c r="C3" i="14"/>
  <c r="AI129" i="14" l="1"/>
  <c r="R200" i="14"/>
  <c r="R202" i="14"/>
  <c r="R144" i="14"/>
  <c r="R134" i="14"/>
  <c r="AI134" i="14" s="1"/>
  <c r="R138" i="14"/>
  <c r="Q138" i="14"/>
  <c r="Q41" i="14"/>
  <c r="R128" i="14"/>
  <c r="Q128" i="14"/>
  <c r="R67" i="14"/>
  <c r="R74" i="14" s="1"/>
  <c r="R194" i="14" s="1"/>
  <c r="Q67" i="14"/>
  <c r="T72" i="14"/>
  <c r="G128" i="14"/>
  <c r="T90" i="14"/>
  <c r="S67" i="14"/>
  <c r="D73" i="14"/>
  <c r="H73" i="14"/>
  <c r="L73" i="14"/>
  <c r="P73" i="14"/>
  <c r="T73" i="14" s="1"/>
  <c r="U72" i="14"/>
  <c r="J67" i="14"/>
  <c r="I67" i="14"/>
  <c r="AA67" i="14" s="1"/>
  <c r="T32" i="14"/>
  <c r="T34" i="14"/>
  <c r="V73" i="14"/>
  <c r="X72" i="14"/>
  <c r="D128" i="14"/>
  <c r="AB135" i="14"/>
  <c r="W155" i="14"/>
  <c r="I202" i="14"/>
  <c r="U186" i="14"/>
  <c r="AF186" i="14"/>
  <c r="D201" i="14"/>
  <c r="C67" i="14"/>
  <c r="W70" i="14"/>
  <c r="AA70" i="14"/>
  <c r="AE70" i="14"/>
  <c r="T70" i="14"/>
  <c r="C128" i="14"/>
  <c r="T85" i="14"/>
  <c r="X133" i="14"/>
  <c r="AB133" i="14"/>
  <c r="AF133" i="14"/>
  <c r="C135" i="14"/>
  <c r="C137" i="14" s="1"/>
  <c r="N135" i="14"/>
  <c r="AE135" i="14" s="1"/>
  <c r="AC135" i="14"/>
  <c r="AB155" i="14"/>
  <c r="Z73" i="14"/>
  <c r="AD73" i="14"/>
  <c r="AB72" i="14"/>
  <c r="AF72" i="14"/>
  <c r="C138" i="14"/>
  <c r="T135" i="14"/>
  <c r="U144" i="14"/>
  <c r="F198" i="14"/>
  <c r="N67" i="14"/>
  <c r="AE67" i="14" s="1"/>
  <c r="C73" i="14"/>
  <c r="G73" i="14"/>
  <c r="X73" i="14" s="1"/>
  <c r="K73" i="14"/>
  <c r="O73" i="14"/>
  <c r="W72" i="14"/>
  <c r="AA72" i="14"/>
  <c r="AE72" i="14"/>
  <c r="K128" i="14"/>
  <c r="AE129" i="14"/>
  <c r="V133" i="14"/>
  <c r="Z133" i="14"/>
  <c r="AD133" i="14"/>
  <c r="J135" i="14"/>
  <c r="O135" i="14"/>
  <c r="X135" i="14"/>
  <c r="V136" i="14"/>
  <c r="Z136" i="14"/>
  <c r="AD136" i="14"/>
  <c r="AA144" i="14"/>
  <c r="AF155" i="14"/>
  <c r="AF176" i="14"/>
  <c r="AE186" i="14"/>
  <c r="V186" i="14"/>
  <c r="N201" i="14"/>
  <c r="N202" i="14" s="1"/>
  <c r="G67" i="14"/>
  <c r="K67" i="14"/>
  <c r="W129" i="14"/>
  <c r="F134" i="14"/>
  <c r="AA129" i="14"/>
  <c r="J134" i="14"/>
  <c r="K139" i="14"/>
  <c r="E74" i="14"/>
  <c r="M74" i="14"/>
  <c r="O67" i="14"/>
  <c r="H67" i="14"/>
  <c r="S74" i="14"/>
  <c r="L67" i="14"/>
  <c r="T3" i="14"/>
  <c r="U73" i="14"/>
  <c r="Y73" i="14"/>
  <c r="AC73" i="14"/>
  <c r="G139" i="14"/>
  <c r="Y31" i="14"/>
  <c r="AB70" i="14"/>
  <c r="AC72" i="14"/>
  <c r="F73" i="14"/>
  <c r="W73" i="14" s="1"/>
  <c r="N73" i="14"/>
  <c r="AE73" i="14" s="1"/>
  <c r="U128" i="14"/>
  <c r="AB129" i="14"/>
  <c r="X137" i="14"/>
  <c r="S137" i="14"/>
  <c r="T137" i="14" s="1"/>
  <c r="T136" i="14"/>
  <c r="U137" i="14"/>
  <c r="V144" i="14"/>
  <c r="E197" i="14"/>
  <c r="E199" i="14" s="1"/>
  <c r="T4" i="14"/>
  <c r="V31" i="14"/>
  <c r="Z31" i="14"/>
  <c r="AD31" i="14"/>
  <c r="T40" i="14"/>
  <c r="F41" i="14"/>
  <c r="F67" i="14" s="1"/>
  <c r="H134" i="14"/>
  <c r="Y129" i="14"/>
  <c r="L134" i="14"/>
  <c r="AC129" i="14"/>
  <c r="P134" i="14"/>
  <c r="AG129" i="14"/>
  <c r="W66" i="14"/>
  <c r="AA66" i="14"/>
  <c r="AE66" i="14"/>
  <c r="U70" i="14"/>
  <c r="Y70" i="14"/>
  <c r="AC70" i="14"/>
  <c r="AG70" i="14"/>
  <c r="V72" i="14"/>
  <c r="Z72" i="14"/>
  <c r="AD72" i="14"/>
  <c r="E128" i="14"/>
  <c r="S128" i="14"/>
  <c r="I99" i="14"/>
  <c r="I128" i="14" s="1"/>
  <c r="M99" i="14"/>
  <c r="M128" i="14" s="1"/>
  <c r="T122" i="14"/>
  <c r="D138" i="14"/>
  <c r="U134" i="14"/>
  <c r="S134" i="14"/>
  <c r="AF129" i="14"/>
  <c r="W130" i="14"/>
  <c r="X134" i="14"/>
  <c r="W136" i="14"/>
  <c r="Y137" i="14"/>
  <c r="L198" i="14"/>
  <c r="AC155" i="14"/>
  <c r="Y176" i="14"/>
  <c r="H200" i="14"/>
  <c r="H202" i="14" s="1"/>
  <c r="AF70" i="14"/>
  <c r="AG72" i="14"/>
  <c r="H128" i="14"/>
  <c r="AG41" i="14"/>
  <c r="E134" i="14"/>
  <c r="V129" i="14"/>
  <c r="I134" i="14"/>
  <c r="Z129" i="14"/>
  <c r="M134" i="14"/>
  <c r="AD129" i="14"/>
  <c r="X66" i="14"/>
  <c r="AB66" i="14"/>
  <c r="AF66" i="14"/>
  <c r="V70" i="14"/>
  <c r="Z70" i="14"/>
  <c r="AD70" i="14"/>
  <c r="F128" i="14"/>
  <c r="J128" i="14"/>
  <c r="N128" i="14"/>
  <c r="T79" i="14"/>
  <c r="T107" i="14"/>
  <c r="P103" i="14"/>
  <c r="T103" i="14" s="1"/>
  <c r="P114" i="14"/>
  <c r="T116" i="14"/>
  <c r="T129" i="14"/>
  <c r="AA130" i="14"/>
  <c r="Y133" i="14"/>
  <c r="E135" i="14"/>
  <c r="I135" i="14"/>
  <c r="AA135" i="14" s="1"/>
  <c r="M135" i="14"/>
  <c r="AA136" i="14"/>
  <c r="AC137" i="14"/>
  <c r="O197" i="14"/>
  <c r="O199" i="14" s="1"/>
  <c r="AF144" i="14"/>
  <c r="P154" i="14"/>
  <c r="U31" i="14"/>
  <c r="AC31" i="14"/>
  <c r="X70" i="14"/>
  <c r="Y72" i="14"/>
  <c r="J73" i="14"/>
  <c r="AA73" i="14" s="1"/>
  <c r="L128" i="14"/>
  <c r="P94" i="14"/>
  <c r="T94" i="14" s="1"/>
  <c r="T95" i="14"/>
  <c r="Y41" i="14"/>
  <c r="AC41" i="14"/>
  <c r="D41" i="14"/>
  <c r="D67" i="14" s="1"/>
  <c r="P41" i="14"/>
  <c r="T41" i="14" s="1"/>
  <c r="Z41" i="14"/>
  <c r="AD41" i="14"/>
  <c r="AH41" i="14"/>
  <c r="Y66" i="14"/>
  <c r="AC66" i="14"/>
  <c r="AG66" i="14"/>
  <c r="P99" i="14"/>
  <c r="P128" i="14" s="1"/>
  <c r="P108" i="14"/>
  <c r="T108" i="14" s="1"/>
  <c r="T114" i="14"/>
  <c r="O122" i="14"/>
  <c r="O128" i="14" s="1"/>
  <c r="X129" i="14"/>
  <c r="AE130" i="14"/>
  <c r="AC133" i="14"/>
  <c r="N134" i="14"/>
  <c r="AF134" i="14"/>
  <c r="AE136" i="14"/>
  <c r="L199" i="14"/>
  <c r="Z176" i="14"/>
  <c r="T180" i="14"/>
  <c r="P176" i="14"/>
  <c r="U129" i="14"/>
  <c r="G197" i="14"/>
  <c r="G199" i="14" s="1"/>
  <c r="X144" i="14"/>
  <c r="Y144" i="14"/>
  <c r="W144" i="14"/>
  <c r="F197" i="14"/>
  <c r="F199" i="14" s="1"/>
  <c r="N197" i="14"/>
  <c r="AE144" i="14"/>
  <c r="I197" i="14"/>
  <c r="Z144" i="14"/>
  <c r="M197" i="14"/>
  <c r="M199" i="14" s="1"/>
  <c r="AD144" i="14"/>
  <c r="S144" i="14"/>
  <c r="T153" i="14"/>
  <c r="H198" i="14"/>
  <c r="H199" i="14" s="1"/>
  <c r="Y155" i="14"/>
  <c r="T154" i="14"/>
  <c r="U176" i="14"/>
  <c r="D200" i="14"/>
  <c r="J202" i="14"/>
  <c r="T132" i="14"/>
  <c r="F137" i="14"/>
  <c r="J137" i="14"/>
  <c r="C199" i="14"/>
  <c r="K197" i="14"/>
  <c r="K199" i="14" s="1"/>
  <c r="AB144" i="14"/>
  <c r="AC144" i="14"/>
  <c r="D198" i="14"/>
  <c r="D199" i="14" s="1"/>
  <c r="U155" i="14"/>
  <c r="U154" i="14"/>
  <c r="C198" i="14"/>
  <c r="F202" i="14"/>
  <c r="U179" i="14"/>
  <c r="E176" i="14"/>
  <c r="T179" i="14"/>
  <c r="S176" i="14"/>
  <c r="H201" i="14"/>
  <c r="Y186" i="14"/>
  <c r="L201" i="14"/>
  <c r="AC186" i="14"/>
  <c r="P201" i="14"/>
  <c r="AG186" i="14"/>
  <c r="T145" i="14"/>
  <c r="P144" i="14"/>
  <c r="X155" i="14"/>
  <c r="I198" i="14"/>
  <c r="Z155" i="14"/>
  <c r="AD155" i="14"/>
  <c r="M198" i="14"/>
  <c r="AE155" i="14"/>
  <c r="N198" i="14"/>
  <c r="L200" i="14"/>
  <c r="L202" i="14" s="1"/>
  <c r="AC176" i="14"/>
  <c r="T186" i="14"/>
  <c r="J197" i="14"/>
  <c r="J199" i="14" s="1"/>
  <c r="W176" i="14"/>
  <c r="AA176" i="14"/>
  <c r="Z186" i="14"/>
  <c r="AD186" i="14"/>
  <c r="W186" i="14"/>
  <c r="AB186" i="14"/>
  <c r="O200" i="14"/>
  <c r="O202" i="14" s="1"/>
  <c r="S201" i="14"/>
  <c r="V155" i="14"/>
  <c r="X176" i="14"/>
  <c r="AB176" i="14"/>
  <c r="X186" i="14"/>
  <c r="AA155" i="14"/>
  <c r="M201" i="14"/>
  <c r="M202" i="14" s="1"/>
  <c r="C8" i="2"/>
  <c r="C28" i="3"/>
  <c r="C14" i="3"/>
  <c r="AH138" i="14" l="1"/>
  <c r="AI138" i="14"/>
  <c r="Q74" i="14"/>
  <c r="AI67" i="14"/>
  <c r="AH67" i="14"/>
  <c r="Q139" i="14"/>
  <c r="AH128" i="14"/>
  <c r="AI128" i="14"/>
  <c r="AI144" i="14"/>
  <c r="R197" i="14"/>
  <c r="R199" i="14" s="1"/>
  <c r="R205" i="14"/>
  <c r="R139" i="14"/>
  <c r="AG73" i="14"/>
  <c r="I74" i="14"/>
  <c r="N137" i="14"/>
  <c r="D202" i="14"/>
  <c r="N199" i="14"/>
  <c r="O137" i="14"/>
  <c r="AF135" i="14"/>
  <c r="C139" i="14"/>
  <c r="C195" i="14" s="1"/>
  <c r="C206" i="14" s="1"/>
  <c r="C209" i="14" s="1"/>
  <c r="C212" i="14" s="1"/>
  <c r="AG135" i="14"/>
  <c r="U138" i="14"/>
  <c r="D139" i="14"/>
  <c r="D195" i="14" s="1"/>
  <c r="D206" i="14" s="1"/>
  <c r="P67" i="14"/>
  <c r="T67" i="14" s="1"/>
  <c r="C74" i="14"/>
  <c r="C194" i="14" s="1"/>
  <c r="U135" i="14"/>
  <c r="D74" i="14"/>
  <c r="U67" i="14"/>
  <c r="V67" i="14"/>
  <c r="Z128" i="14"/>
  <c r="AF128" i="14"/>
  <c r="W67" i="14"/>
  <c r="F74" i="14"/>
  <c r="AG128" i="14"/>
  <c r="E200" i="14"/>
  <c r="E202" i="14" s="1"/>
  <c r="V176" i="14"/>
  <c r="T99" i="14"/>
  <c r="AA128" i="14"/>
  <c r="S194" i="14"/>
  <c r="V135" i="14"/>
  <c r="E137" i="14"/>
  <c r="V137" i="14" s="1"/>
  <c r="V134" i="14"/>
  <c r="S138" i="14"/>
  <c r="T134" i="14"/>
  <c r="U139" i="14"/>
  <c r="E194" i="14"/>
  <c r="V74" i="14"/>
  <c r="K195" i="14"/>
  <c r="K206" i="14" s="1"/>
  <c r="J138" i="14"/>
  <c r="J139" i="14" s="1"/>
  <c r="AA134" i="14"/>
  <c r="N74" i="14"/>
  <c r="I194" i="14"/>
  <c r="S200" i="14"/>
  <c r="S202" i="14" s="1"/>
  <c r="T176" i="14"/>
  <c r="I199" i="14"/>
  <c r="P198" i="14"/>
  <c r="AG155" i="14"/>
  <c r="AB134" i="14"/>
  <c r="L138" i="14"/>
  <c r="AC138" i="14" s="1"/>
  <c r="AC134" i="14"/>
  <c r="H74" i="14"/>
  <c r="Z74" i="14" s="1"/>
  <c r="Y67" i="14"/>
  <c r="M194" i="14"/>
  <c r="AF73" i="14"/>
  <c r="Z67" i="14"/>
  <c r="AG144" i="14"/>
  <c r="P197" i="14"/>
  <c r="AA137" i="14"/>
  <c r="Z135" i="14"/>
  <c r="I137" i="14"/>
  <c r="Z137" i="14" s="1"/>
  <c r="Y128" i="14"/>
  <c r="V128" i="14"/>
  <c r="P138" i="14"/>
  <c r="AG134" i="14"/>
  <c r="H138" i="14"/>
  <c r="Y138" i="14" s="1"/>
  <c r="Y134" i="14"/>
  <c r="G195" i="14"/>
  <c r="G206" i="14" s="1"/>
  <c r="AF67" i="14"/>
  <c r="O74" i="14"/>
  <c r="AB128" i="14"/>
  <c r="AD128" i="14"/>
  <c r="X67" i="14"/>
  <c r="G74" i="14"/>
  <c r="N138" i="14"/>
  <c r="AE134" i="14"/>
  <c r="W128" i="14"/>
  <c r="M138" i="14"/>
  <c r="AD138" i="14" s="1"/>
  <c r="AD134" i="14"/>
  <c r="T144" i="14"/>
  <c r="S197" i="14"/>
  <c r="S199" i="14" s="1"/>
  <c r="AE137" i="14"/>
  <c r="AG176" i="14"/>
  <c r="P200" i="14"/>
  <c r="P202" i="14" s="1"/>
  <c r="W135" i="14"/>
  <c r="L139" i="14"/>
  <c r="AC128" i="14"/>
  <c r="AD135" i="14"/>
  <c r="M137" i="14"/>
  <c r="AD137" i="14" s="1"/>
  <c r="AE128" i="14"/>
  <c r="Z134" i="14"/>
  <c r="I138" i="14"/>
  <c r="I139" i="14" s="1"/>
  <c r="AB137" i="14"/>
  <c r="S139" i="14"/>
  <c r="T128" i="14"/>
  <c r="X128" i="14"/>
  <c r="L74" i="14"/>
  <c r="AC67" i="14"/>
  <c r="AD67" i="14"/>
  <c r="AB73" i="14"/>
  <c r="F138" i="14"/>
  <c r="W134" i="14"/>
  <c r="J74" i="14"/>
  <c r="AB67" i="14"/>
  <c r="K74" i="14"/>
  <c r="AG41" i="13"/>
  <c r="AF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S41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S64" i="13"/>
  <c r="Q179" i="13"/>
  <c r="R4" i="13"/>
  <c r="R5" i="13"/>
  <c r="R6" i="13"/>
  <c r="R7" i="13"/>
  <c r="R8" i="13"/>
  <c r="R9" i="13"/>
  <c r="R10" i="13"/>
  <c r="R12" i="13"/>
  <c r="R13" i="13"/>
  <c r="R14" i="13"/>
  <c r="R15" i="13"/>
  <c r="R17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3" i="13"/>
  <c r="R36" i="13"/>
  <c r="R37" i="13"/>
  <c r="R38" i="13"/>
  <c r="R39" i="13"/>
  <c r="R40" i="13"/>
  <c r="R42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6" i="13"/>
  <c r="R68" i="13"/>
  <c r="R69" i="13"/>
  <c r="R70" i="13"/>
  <c r="R71" i="13"/>
  <c r="R72" i="13"/>
  <c r="R73" i="13"/>
  <c r="R80" i="13"/>
  <c r="R81" i="13"/>
  <c r="R82" i="13"/>
  <c r="R83" i="13"/>
  <c r="R84" i="13"/>
  <c r="R85" i="13"/>
  <c r="R86" i="13"/>
  <c r="R88" i="13"/>
  <c r="R89" i="13"/>
  <c r="R91" i="13"/>
  <c r="R92" i="13"/>
  <c r="R93" i="13"/>
  <c r="R95" i="13"/>
  <c r="R96" i="13"/>
  <c r="R97" i="13"/>
  <c r="R98" i="13"/>
  <c r="R100" i="13"/>
  <c r="R101" i="13"/>
  <c r="R102" i="13"/>
  <c r="R104" i="13"/>
  <c r="R105" i="13"/>
  <c r="R106" i="13"/>
  <c r="R107" i="13"/>
  <c r="R109" i="13"/>
  <c r="R110" i="13"/>
  <c r="R111" i="13"/>
  <c r="R112" i="13"/>
  <c r="R113" i="13"/>
  <c r="R115" i="13"/>
  <c r="R116" i="13"/>
  <c r="R117" i="13"/>
  <c r="R118" i="13"/>
  <c r="R119" i="13"/>
  <c r="R120" i="13"/>
  <c r="R121" i="13"/>
  <c r="R123" i="13"/>
  <c r="R124" i="13"/>
  <c r="R125" i="13"/>
  <c r="R126" i="13"/>
  <c r="R127" i="13"/>
  <c r="R130" i="13"/>
  <c r="R132" i="13"/>
  <c r="R133" i="13"/>
  <c r="R135" i="13"/>
  <c r="R136" i="13"/>
  <c r="R144" i="13"/>
  <c r="R145" i="13"/>
  <c r="R146" i="13"/>
  <c r="R147" i="13"/>
  <c r="R149" i="13"/>
  <c r="R150" i="13"/>
  <c r="R151" i="13"/>
  <c r="R152" i="13"/>
  <c r="R153" i="13"/>
  <c r="R155" i="13"/>
  <c r="R156" i="13"/>
  <c r="R157" i="13"/>
  <c r="R158" i="13"/>
  <c r="R159" i="13"/>
  <c r="R160" i="13"/>
  <c r="R162" i="13"/>
  <c r="R163" i="13"/>
  <c r="R164" i="13"/>
  <c r="R165" i="13"/>
  <c r="R167" i="13"/>
  <c r="R168" i="13"/>
  <c r="R170" i="13"/>
  <c r="R171" i="13"/>
  <c r="R177" i="13"/>
  <c r="R178" i="13"/>
  <c r="R179" i="13"/>
  <c r="R180" i="13"/>
  <c r="R181" i="13"/>
  <c r="R182" i="13"/>
  <c r="R183" i="13"/>
  <c r="R184" i="13"/>
  <c r="R187" i="13"/>
  <c r="R188" i="13"/>
  <c r="R189" i="13"/>
  <c r="G35" i="9"/>
  <c r="G28" i="9"/>
  <c r="G27" i="9"/>
  <c r="G31" i="9"/>
  <c r="G30" i="9"/>
  <c r="G34" i="9"/>
  <c r="G32" i="9"/>
  <c r="G25" i="9"/>
  <c r="G26" i="9"/>
  <c r="G29" i="9"/>
  <c r="G33" i="9"/>
  <c r="Q194" i="14" l="1"/>
  <c r="Q205" i="14" s="1"/>
  <c r="AH74" i="14"/>
  <c r="AI74" i="14"/>
  <c r="Q195" i="14"/>
  <c r="AH139" i="14"/>
  <c r="R195" i="14"/>
  <c r="R206" i="14" s="1"/>
  <c r="AI139" i="14"/>
  <c r="R208" i="14"/>
  <c r="AI205" i="14"/>
  <c r="R196" i="14"/>
  <c r="R203" i="14" s="1"/>
  <c r="AG67" i="14"/>
  <c r="P74" i="14"/>
  <c r="T74" i="14" s="1"/>
  <c r="C205" i="14"/>
  <c r="C208" i="14" s="1"/>
  <c r="C211" i="14" s="1"/>
  <c r="C196" i="14"/>
  <c r="C203" i="14" s="1"/>
  <c r="O138" i="14"/>
  <c r="O139" i="14" s="1"/>
  <c r="O195" i="14" s="1"/>
  <c r="O206" i="14" s="1"/>
  <c r="AG137" i="14"/>
  <c r="AF137" i="14"/>
  <c r="X138" i="14"/>
  <c r="L194" i="14"/>
  <c r="AC74" i="14"/>
  <c r="AD74" i="14"/>
  <c r="N194" i="14"/>
  <c r="AE74" i="14"/>
  <c r="K209" i="14"/>
  <c r="I195" i="14"/>
  <c r="I206" i="14" s="1"/>
  <c r="Z138" i="14"/>
  <c r="F139" i="14"/>
  <c r="W137" i="14"/>
  <c r="M139" i="14"/>
  <c r="M205" i="14"/>
  <c r="T138" i="14"/>
  <c r="J195" i="14"/>
  <c r="J206" i="14" s="1"/>
  <c r="AA139" i="14"/>
  <c r="K194" i="14"/>
  <c r="AB74" i="14"/>
  <c r="L195" i="14"/>
  <c r="L206" i="14" s="1"/>
  <c r="AC139" i="14"/>
  <c r="AE138" i="14"/>
  <c r="J194" i="14"/>
  <c r="AA74" i="14"/>
  <c r="G194" i="14"/>
  <c r="X74" i="14"/>
  <c r="G209" i="14"/>
  <c r="H139" i="14"/>
  <c r="Z139" i="14" s="1"/>
  <c r="P199" i="14"/>
  <c r="AA138" i="14"/>
  <c r="AB138" i="14"/>
  <c r="E205" i="14"/>
  <c r="P139" i="14"/>
  <c r="T139" i="14" s="1"/>
  <c r="S195" i="14"/>
  <c r="S206" i="14" s="1"/>
  <c r="N139" i="14"/>
  <c r="O194" i="14"/>
  <c r="AF74" i="14"/>
  <c r="H194" i="14"/>
  <c r="Y74" i="14"/>
  <c r="I196" i="14"/>
  <c r="I203" i="14" s="1"/>
  <c r="I205" i="14"/>
  <c r="AB139" i="14"/>
  <c r="D209" i="14"/>
  <c r="U209" i="14" s="1"/>
  <c r="U206" i="14"/>
  <c r="P194" i="14"/>
  <c r="AG74" i="14"/>
  <c r="E138" i="14"/>
  <c r="S205" i="14"/>
  <c r="F194" i="14"/>
  <c r="W74" i="14"/>
  <c r="D194" i="14"/>
  <c r="U74" i="14"/>
  <c r="AE205" i="13"/>
  <c r="AE206" i="13"/>
  <c r="AE208" i="13"/>
  <c r="AE209" i="13"/>
  <c r="AE211" i="13"/>
  <c r="AE212" i="13"/>
  <c r="AE176" i="13"/>
  <c r="AE186" i="13"/>
  <c r="AE144" i="13"/>
  <c r="AE155" i="13"/>
  <c r="AE128" i="13"/>
  <c r="AE129" i="13"/>
  <c r="AE130" i="13"/>
  <c r="AE131" i="13"/>
  <c r="AE132" i="13"/>
  <c r="AE133" i="13"/>
  <c r="AE134" i="13"/>
  <c r="AE135" i="13"/>
  <c r="AE136" i="13"/>
  <c r="AE137" i="13"/>
  <c r="AE138" i="13"/>
  <c r="AE139" i="13"/>
  <c r="AE66" i="13"/>
  <c r="AE67" i="13"/>
  <c r="AE68" i="13"/>
  <c r="AE69" i="13"/>
  <c r="AE70" i="13"/>
  <c r="AE71" i="13"/>
  <c r="AE72" i="13"/>
  <c r="AE73" i="13"/>
  <c r="AE74" i="13"/>
  <c r="P80" i="13"/>
  <c r="P79" i="13" s="1"/>
  <c r="P81" i="13"/>
  <c r="P82" i="13"/>
  <c r="P83" i="13"/>
  <c r="P86" i="13"/>
  <c r="P85" i="13" s="1"/>
  <c r="P87" i="13"/>
  <c r="P88" i="13"/>
  <c r="P91" i="13"/>
  <c r="P90" i="13" s="1"/>
  <c r="P92" i="13"/>
  <c r="P95" i="13"/>
  <c r="P94" i="13" s="1"/>
  <c r="P96" i="13"/>
  <c r="P99" i="13"/>
  <c r="P100" i="13"/>
  <c r="P101" i="13"/>
  <c r="P102" i="13"/>
  <c r="P103" i="13"/>
  <c r="P107" i="13"/>
  <c r="P109" i="13"/>
  <c r="P108" i="13" s="1"/>
  <c r="P110" i="13"/>
  <c r="P111" i="13"/>
  <c r="P112" i="13"/>
  <c r="P113" i="13"/>
  <c r="P115" i="13"/>
  <c r="P116" i="13"/>
  <c r="P119" i="13"/>
  <c r="P120" i="13"/>
  <c r="P114" i="13" s="1"/>
  <c r="P123" i="13"/>
  <c r="P122" i="13" s="1"/>
  <c r="P125" i="13"/>
  <c r="P126" i="13"/>
  <c r="P129" i="13"/>
  <c r="P130" i="13"/>
  <c r="P134" i="13" s="1"/>
  <c r="P138" i="13" s="1"/>
  <c r="P132" i="13"/>
  <c r="P133" i="13"/>
  <c r="P136" i="13"/>
  <c r="P135" i="13" s="1"/>
  <c r="P137" i="13" s="1"/>
  <c r="P145" i="13"/>
  <c r="P144" i="13" s="1"/>
  <c r="P197" i="13" s="1"/>
  <c r="P146" i="13"/>
  <c r="P153" i="13"/>
  <c r="P157" i="13"/>
  <c r="P154" i="13" s="1"/>
  <c r="P198" i="13" s="1"/>
  <c r="P158" i="13"/>
  <c r="P159" i="13"/>
  <c r="P160" i="13"/>
  <c r="P167" i="13"/>
  <c r="P171" i="13"/>
  <c r="P179" i="13"/>
  <c r="P176" i="13" s="1"/>
  <c r="P200" i="13" s="1"/>
  <c r="P180" i="13"/>
  <c r="P186" i="13"/>
  <c r="P201" i="13" s="1"/>
  <c r="P194" i="13"/>
  <c r="P4" i="13"/>
  <c r="P3" i="13" s="1"/>
  <c r="P5" i="13"/>
  <c r="P6" i="13"/>
  <c r="P7" i="13"/>
  <c r="P8" i="13"/>
  <c r="P9" i="13"/>
  <c r="P10" i="13"/>
  <c r="P20" i="13"/>
  <c r="P11" i="13" s="1"/>
  <c r="P22" i="13"/>
  <c r="P32" i="13"/>
  <c r="P39" i="13"/>
  <c r="P34" i="13" s="1"/>
  <c r="P40" i="13"/>
  <c r="P42" i="13"/>
  <c r="P46" i="13"/>
  <c r="P57" i="13"/>
  <c r="P60" i="13"/>
  <c r="P41" i="13" s="1"/>
  <c r="P61" i="13"/>
  <c r="P66" i="13"/>
  <c r="P70" i="13"/>
  <c r="P73" i="13" s="1"/>
  <c r="P72" i="13"/>
  <c r="O96" i="13"/>
  <c r="O9" i="13"/>
  <c r="G9" i="3"/>
  <c r="Q208" i="14" l="1"/>
  <c r="AH205" i="14"/>
  <c r="Q196" i="14"/>
  <c r="Q203" i="14" s="1"/>
  <c r="Q206" i="14"/>
  <c r="R211" i="14"/>
  <c r="AI208" i="14"/>
  <c r="R209" i="14"/>
  <c r="C213" i="14"/>
  <c r="AF139" i="14"/>
  <c r="AF138" i="14"/>
  <c r="AG138" i="14"/>
  <c r="S196" i="14"/>
  <c r="S203" i="14" s="1"/>
  <c r="S208" i="14"/>
  <c r="S211" i="14"/>
  <c r="P205" i="14"/>
  <c r="H205" i="14"/>
  <c r="Z205" i="14" s="1"/>
  <c r="AG139" i="14"/>
  <c r="P195" i="14"/>
  <c r="P206" i="14" s="1"/>
  <c r="D205" i="14"/>
  <c r="D196" i="14"/>
  <c r="D203" i="14" s="1"/>
  <c r="I208" i="14"/>
  <c r="S209" i="14"/>
  <c r="S212" i="14" s="1"/>
  <c r="G212" i="14"/>
  <c r="J205" i="14"/>
  <c r="J196" i="14"/>
  <c r="J203" i="14" s="1"/>
  <c r="L209" i="14"/>
  <c r="AC209" i="14" s="1"/>
  <c r="AC206" i="14"/>
  <c r="AA206" i="14"/>
  <c r="J209" i="14"/>
  <c r="M195" i="14"/>
  <c r="AD139" i="14"/>
  <c r="K212" i="14"/>
  <c r="V138" i="14"/>
  <c r="E139" i="14"/>
  <c r="O205" i="14"/>
  <c r="O196" i="14"/>
  <c r="O203" i="14" s="1"/>
  <c r="E208" i="14"/>
  <c r="Y139" i="14"/>
  <c r="H195" i="14"/>
  <c r="H206" i="14" s="1"/>
  <c r="Z206" i="14" s="1"/>
  <c r="I209" i="14"/>
  <c r="I212" i="14" s="1"/>
  <c r="L196" i="14"/>
  <c r="L203" i="14" s="1"/>
  <c r="L205" i="14"/>
  <c r="AD205" i="14" s="1"/>
  <c r="F205" i="14"/>
  <c r="D212" i="14"/>
  <c r="AE139" i="14"/>
  <c r="N195" i="14"/>
  <c r="N206" i="14" s="1"/>
  <c r="AF206" i="14" s="1"/>
  <c r="O209" i="14"/>
  <c r="O212" i="14" s="1"/>
  <c r="G205" i="14"/>
  <c r="G196" i="14"/>
  <c r="G203" i="14" s="1"/>
  <c r="K205" i="14"/>
  <c r="K196" i="14"/>
  <c r="K203" i="14" s="1"/>
  <c r="M208" i="14"/>
  <c r="M211" i="14" s="1"/>
  <c r="F195" i="14"/>
  <c r="F206" i="14" s="1"/>
  <c r="W139" i="14"/>
  <c r="X139" i="14"/>
  <c r="AB206" i="14"/>
  <c r="N205" i="14"/>
  <c r="N196" i="14"/>
  <c r="N203" i="14" s="1"/>
  <c r="W138" i="14"/>
  <c r="P128" i="13"/>
  <c r="P139" i="13" s="1"/>
  <c r="P195" i="13" s="1"/>
  <c r="P196" i="13" s="1"/>
  <c r="P199" i="13"/>
  <c r="P203" i="13" s="1"/>
  <c r="P206" i="13"/>
  <c r="P209" i="13" s="1"/>
  <c r="P212" i="13" s="1"/>
  <c r="P202" i="13"/>
  <c r="P205" i="13"/>
  <c r="P67" i="13"/>
  <c r="P74" i="13" s="1"/>
  <c r="C40" i="9"/>
  <c r="C38" i="9"/>
  <c r="C25" i="9"/>
  <c r="C15" i="9"/>
  <c r="C11" i="9"/>
  <c r="G40" i="9"/>
  <c r="G38" i="9"/>
  <c r="G24" i="9"/>
  <c r="G42" i="9" s="1"/>
  <c r="G45" i="9" s="1"/>
  <c r="G14" i="9"/>
  <c r="G10" i="9"/>
  <c r="G7" i="9"/>
  <c r="Q211" i="14" l="1"/>
  <c r="AH211" i="14" s="1"/>
  <c r="AH208" i="14"/>
  <c r="C18" i="9"/>
  <c r="C21" i="9" s="1"/>
  <c r="AH206" i="14"/>
  <c r="Q209" i="14"/>
  <c r="AI206" i="14"/>
  <c r="R212" i="14"/>
  <c r="S213" i="14"/>
  <c r="G208" i="14"/>
  <c r="X205" i="14"/>
  <c r="F208" i="14"/>
  <c r="W208" i="14" s="1"/>
  <c r="W205" i="14"/>
  <c r="AE205" i="14"/>
  <c r="N208" i="14"/>
  <c r="AE208" i="14" s="1"/>
  <c r="F209" i="14"/>
  <c r="X206" i="14"/>
  <c r="L208" i="14"/>
  <c r="L211" i="14" s="1"/>
  <c r="AC205" i="14"/>
  <c r="E211" i="14"/>
  <c r="E195" i="14"/>
  <c r="V139" i="14"/>
  <c r="M206" i="14"/>
  <c r="M196" i="14"/>
  <c r="M203" i="14" s="1"/>
  <c r="AA205" i="14"/>
  <c r="J208" i="14"/>
  <c r="AA208" i="14" s="1"/>
  <c r="D208" i="14"/>
  <c r="U208" i="14" s="1"/>
  <c r="U205" i="14"/>
  <c r="P208" i="14"/>
  <c r="P211" i="14" s="1"/>
  <c r="AG205" i="14"/>
  <c r="AE206" i="14"/>
  <c r="N209" i="14"/>
  <c r="O208" i="14"/>
  <c r="AF205" i="14"/>
  <c r="P209" i="14"/>
  <c r="AG209" i="14" s="1"/>
  <c r="AG206" i="14"/>
  <c r="P196" i="14"/>
  <c r="P203" i="14" s="1"/>
  <c r="K208" i="14"/>
  <c r="AB205" i="14"/>
  <c r="U212" i="14"/>
  <c r="H209" i="14"/>
  <c r="Y209" i="14" s="1"/>
  <c r="Y206" i="14"/>
  <c r="V205" i="14"/>
  <c r="AA209" i="14"/>
  <c r="I211" i="14"/>
  <c r="I213" i="14" s="1"/>
  <c r="AB209" i="14"/>
  <c r="H196" i="14"/>
  <c r="H203" i="14" s="1"/>
  <c r="AD208" i="14"/>
  <c r="F196" i="14"/>
  <c r="F203" i="14" s="1"/>
  <c r="Z209" i="14"/>
  <c r="J212" i="14"/>
  <c r="AB212" i="14" s="1"/>
  <c r="L212" i="14"/>
  <c r="H208" i="14"/>
  <c r="Y208" i="14" s="1"/>
  <c r="Y205" i="14"/>
  <c r="G17" i="9"/>
  <c r="G20" i="9" s="1"/>
  <c r="G46" i="9" s="1"/>
  <c r="C42" i="9"/>
  <c r="C45" i="9" s="1"/>
  <c r="C46" i="9" s="1"/>
  <c r="P208" i="13"/>
  <c r="P211" i="13"/>
  <c r="P213" i="13" s="1"/>
  <c r="C42" i="3"/>
  <c r="C38" i="3"/>
  <c r="C18" i="3"/>
  <c r="C7" i="3"/>
  <c r="AI211" i="14" l="1"/>
  <c r="Q212" i="14"/>
  <c r="AH209" i="14"/>
  <c r="AI209" i="14"/>
  <c r="R213" i="14"/>
  <c r="AI212" i="14"/>
  <c r="H212" i="14"/>
  <c r="AF208" i="14"/>
  <c r="V208" i="14"/>
  <c r="X208" i="14"/>
  <c r="AB208" i="14"/>
  <c r="D211" i="14"/>
  <c r="U211" i="14" s="1"/>
  <c r="Y212" i="14"/>
  <c r="O211" i="14"/>
  <c r="L213" i="14"/>
  <c r="AC212" i="14"/>
  <c r="K211" i="14"/>
  <c r="AC211" i="14" s="1"/>
  <c r="P212" i="14"/>
  <c r="AD206" i="14"/>
  <c r="M209" i="14"/>
  <c r="AD209" i="14" s="1"/>
  <c r="X209" i="14"/>
  <c r="N211" i="14"/>
  <c r="AE211" i="14" s="1"/>
  <c r="G211" i="14"/>
  <c r="AG208" i="14"/>
  <c r="E206" i="14"/>
  <c r="E196" i="14"/>
  <c r="E203" i="14" s="1"/>
  <c r="H211" i="14"/>
  <c r="Y211" i="14" s="1"/>
  <c r="Z211" i="14"/>
  <c r="N212" i="14"/>
  <c r="Z208" i="14"/>
  <c r="AA212" i="14"/>
  <c r="AF209" i="14"/>
  <c r="Z212" i="14"/>
  <c r="J211" i="14"/>
  <c r="AA211" i="14" s="1"/>
  <c r="AC208" i="14"/>
  <c r="F212" i="14"/>
  <c r="F211" i="14"/>
  <c r="W211" i="14" s="1"/>
  <c r="AD211" i="14"/>
  <c r="C44" i="3"/>
  <c r="C47" i="3" s="1"/>
  <c r="C21" i="3"/>
  <c r="C24" i="3" s="1"/>
  <c r="K39" i="9"/>
  <c r="K40" i="9"/>
  <c r="K36" i="9"/>
  <c r="Q213" i="14" l="1"/>
  <c r="AH212" i="14"/>
  <c r="V211" i="14"/>
  <c r="J213" i="14"/>
  <c r="AE209" i="14"/>
  <c r="D213" i="14"/>
  <c r="P213" i="14"/>
  <c r="AG212" i="14"/>
  <c r="X211" i="14"/>
  <c r="G213" i="14"/>
  <c r="AB211" i="14"/>
  <c r="K213" i="14"/>
  <c r="H213" i="14"/>
  <c r="F213" i="14"/>
  <c r="X212" i="14"/>
  <c r="N213" i="14"/>
  <c r="AF212" i="14"/>
  <c r="V206" i="14"/>
  <c r="E209" i="14"/>
  <c r="E212" i="14"/>
  <c r="W206" i="14"/>
  <c r="M212" i="14"/>
  <c r="AE212" i="14" s="1"/>
  <c r="AF211" i="14"/>
  <c r="O213" i="14"/>
  <c r="AG211" i="14"/>
  <c r="C48" i="3"/>
  <c r="O158" i="13"/>
  <c r="V212" i="14" l="1"/>
  <c r="E213" i="14"/>
  <c r="W212" i="14"/>
  <c r="AD212" i="14"/>
  <c r="M213" i="14"/>
  <c r="V209" i="14"/>
  <c r="W209" i="14"/>
  <c r="O180" i="13"/>
  <c r="O123" i="13"/>
  <c r="H35" i="3"/>
  <c r="O102" i="13"/>
  <c r="O100" i="13"/>
  <c r="O80" i="13"/>
  <c r="G31" i="3" l="1"/>
  <c r="G36" i="3"/>
  <c r="G40" i="3"/>
  <c r="G39" i="3"/>
  <c r="G38" i="3"/>
  <c r="G28" i="3"/>
  <c r="G32" i="3"/>
  <c r="H40" i="3" l="1"/>
  <c r="O132" i="13"/>
  <c r="O119" i="13"/>
  <c r="O115" i="13"/>
  <c r="O110" i="13"/>
  <c r="O86" i="13"/>
  <c r="O22" i="13"/>
  <c r="O10" i="13"/>
  <c r="O8" i="13"/>
  <c r="O4" i="13"/>
  <c r="AC131" i="13"/>
  <c r="AD131" i="13"/>
  <c r="AC132" i="13"/>
  <c r="AD132" i="13"/>
  <c r="AD136" i="13"/>
  <c r="N123" i="13"/>
  <c r="N115" i="13"/>
  <c r="N9" i="13"/>
  <c r="N8" i="13"/>
  <c r="M9" i="13"/>
  <c r="M8" i="13"/>
  <c r="N7" i="13"/>
  <c r="O7" i="13"/>
  <c r="M7" i="13"/>
  <c r="O6" i="13"/>
  <c r="N6" i="13"/>
  <c r="O5" i="13"/>
  <c r="N5" i="13"/>
  <c r="M6" i="13"/>
  <c r="M5" i="13"/>
  <c r="K8" i="9"/>
  <c r="O66" i="13"/>
  <c r="AD66" i="13"/>
  <c r="AD68" i="13"/>
  <c r="AD69" i="13"/>
  <c r="AD71" i="13"/>
  <c r="N66" i="13"/>
  <c r="AA66" i="13"/>
  <c r="AB66" i="13"/>
  <c r="AC66" i="13"/>
  <c r="AA68" i="13"/>
  <c r="AB68" i="13"/>
  <c r="AC68" i="13"/>
  <c r="AA69" i="13"/>
  <c r="AB69" i="13"/>
  <c r="AC69" i="13"/>
  <c r="AA71" i="13"/>
  <c r="AB71" i="13"/>
  <c r="AC71" i="13"/>
  <c r="O60" i="13"/>
  <c r="N60" i="13"/>
  <c r="O61" i="13"/>
  <c r="N61" i="13"/>
  <c r="N197" i="13"/>
  <c r="N199" i="13" s="1"/>
  <c r="N198" i="13"/>
  <c r="N200" i="13"/>
  <c r="N179" i="13"/>
  <c r="N176" i="13" s="1"/>
  <c r="O179" i="13"/>
  <c r="O176" i="13" s="1"/>
  <c r="N186" i="13"/>
  <c r="O186" i="13"/>
  <c r="AD186" i="13" s="1"/>
  <c r="N145" i="13"/>
  <c r="N144" i="13" s="1"/>
  <c r="O145" i="13"/>
  <c r="O144" i="13" s="1"/>
  <c r="O197" i="13" s="1"/>
  <c r="N146" i="13"/>
  <c r="O146" i="13"/>
  <c r="N153" i="13"/>
  <c r="O153" i="13"/>
  <c r="N157" i="13"/>
  <c r="N154" i="13" s="1"/>
  <c r="O157" i="13"/>
  <c r="O154" i="13" s="1"/>
  <c r="O198" i="13" s="1"/>
  <c r="N158" i="13"/>
  <c r="N159" i="13"/>
  <c r="O159" i="13"/>
  <c r="N160" i="13"/>
  <c r="O160" i="13"/>
  <c r="N167" i="13"/>
  <c r="O167" i="13"/>
  <c r="N171" i="13"/>
  <c r="O171" i="13"/>
  <c r="N80" i="13"/>
  <c r="N79" i="13" s="1"/>
  <c r="O79" i="13"/>
  <c r="N81" i="13"/>
  <c r="O81" i="13"/>
  <c r="N82" i="13"/>
  <c r="O82" i="13"/>
  <c r="N83" i="13"/>
  <c r="O83" i="13"/>
  <c r="N85" i="13"/>
  <c r="O85" i="13"/>
  <c r="N86" i="13"/>
  <c r="N87" i="13"/>
  <c r="O87" i="13"/>
  <c r="N88" i="13"/>
  <c r="O88" i="13"/>
  <c r="N91" i="13"/>
  <c r="O91" i="13"/>
  <c r="N92" i="13"/>
  <c r="N90" i="13" s="1"/>
  <c r="O92" i="13"/>
  <c r="O90" i="13" s="1"/>
  <c r="N95" i="13"/>
  <c r="O95" i="13"/>
  <c r="O94" i="13" s="1"/>
  <c r="N96" i="13"/>
  <c r="N100" i="13"/>
  <c r="N101" i="13"/>
  <c r="N99" i="13" s="1"/>
  <c r="O101" i="13"/>
  <c r="O99" i="13" s="1"/>
  <c r="N102" i="13"/>
  <c r="N103" i="13"/>
  <c r="O103" i="13"/>
  <c r="N107" i="13"/>
  <c r="O107" i="13"/>
  <c r="N109" i="13"/>
  <c r="O109" i="13"/>
  <c r="N110" i="13"/>
  <c r="N108" i="13" s="1"/>
  <c r="O108" i="13"/>
  <c r="N111" i="13"/>
  <c r="O111" i="13"/>
  <c r="N112" i="13"/>
  <c r="O112" i="13"/>
  <c r="N113" i="13"/>
  <c r="O113" i="13"/>
  <c r="N116" i="13"/>
  <c r="N114" i="13" s="1"/>
  <c r="O116" i="13"/>
  <c r="O114" i="13" s="1"/>
  <c r="N119" i="13"/>
  <c r="N120" i="13"/>
  <c r="O120" i="13"/>
  <c r="N122" i="13"/>
  <c r="O122" i="13"/>
  <c r="N125" i="13"/>
  <c r="O125" i="13"/>
  <c r="N126" i="13"/>
  <c r="O126" i="13"/>
  <c r="N129" i="13"/>
  <c r="O129" i="13"/>
  <c r="AD129" i="13" s="1"/>
  <c r="N130" i="13"/>
  <c r="O130" i="13"/>
  <c r="AD130" i="13" s="1"/>
  <c r="N133" i="13"/>
  <c r="O133" i="13"/>
  <c r="AD133" i="13" s="1"/>
  <c r="N136" i="13"/>
  <c r="N135" i="13" s="1"/>
  <c r="O136" i="13"/>
  <c r="O135" i="13" s="1"/>
  <c r="N4" i="13"/>
  <c r="O3" i="13"/>
  <c r="N11" i="13"/>
  <c r="O11" i="13"/>
  <c r="N20" i="13"/>
  <c r="O20" i="13"/>
  <c r="N32" i="13"/>
  <c r="O32" i="13"/>
  <c r="N39" i="13"/>
  <c r="N34" i="13" s="1"/>
  <c r="O39" i="13"/>
  <c r="O34" i="13" s="1"/>
  <c r="N40" i="13"/>
  <c r="O40" i="13"/>
  <c r="O41" i="13"/>
  <c r="N42" i="13"/>
  <c r="O42" i="13"/>
  <c r="N46" i="13"/>
  <c r="O46" i="13"/>
  <c r="N57" i="13"/>
  <c r="O57" i="13"/>
  <c r="N70" i="13"/>
  <c r="N73" i="13" s="1"/>
  <c r="O70" i="13"/>
  <c r="N72" i="13"/>
  <c r="O72" i="13"/>
  <c r="AD72" i="13" s="1"/>
  <c r="O73" i="13"/>
  <c r="AD73" i="13" s="1"/>
  <c r="H21" i="2"/>
  <c r="G21" i="2"/>
  <c r="F21" i="2"/>
  <c r="E21" i="2"/>
  <c r="D21" i="2"/>
  <c r="C21" i="2"/>
  <c r="I20" i="2"/>
  <c r="I21" i="2" s="1"/>
  <c r="J21" i="2" s="1"/>
  <c r="H19" i="2"/>
  <c r="H22" i="2" s="1"/>
  <c r="G19" i="2"/>
  <c r="F18" i="2"/>
  <c r="D18" i="2"/>
  <c r="I18" i="2" s="1"/>
  <c r="C18" i="2"/>
  <c r="M18" i="2"/>
  <c r="I17" i="2"/>
  <c r="J17" i="2" s="1"/>
  <c r="E16" i="2"/>
  <c r="E19" i="2" s="1"/>
  <c r="E22" i="2" s="1"/>
  <c r="E24" i="2" s="1"/>
  <c r="C16" i="2"/>
  <c r="F15" i="2"/>
  <c r="I15" i="2" s="1"/>
  <c r="C15" i="2"/>
  <c r="M14" i="2"/>
  <c r="F14" i="2"/>
  <c r="I14" i="2" s="1"/>
  <c r="J14" i="2" s="1"/>
  <c r="F13" i="2"/>
  <c r="I13" i="2" s="1"/>
  <c r="J13" i="2" s="1"/>
  <c r="I12" i="2"/>
  <c r="J12" i="2" s="1"/>
  <c r="I11" i="2"/>
  <c r="J11" i="2" s="1"/>
  <c r="F10" i="2"/>
  <c r="I10" i="2" s="1"/>
  <c r="C10" i="2"/>
  <c r="I9" i="2"/>
  <c r="C9" i="2"/>
  <c r="M8" i="2"/>
  <c r="I8" i="2"/>
  <c r="J8" i="2"/>
  <c r="M7" i="2"/>
  <c r="F7" i="2"/>
  <c r="I7" i="2" s="1"/>
  <c r="C7" i="2"/>
  <c r="I6" i="2"/>
  <c r="J6" i="2" s="1"/>
  <c r="F5" i="2"/>
  <c r="I5" i="2" s="1"/>
  <c r="C5" i="2"/>
  <c r="I4" i="2"/>
  <c r="J4" i="2" s="1"/>
  <c r="F39" i="2"/>
  <c r="J15" i="2" l="1"/>
  <c r="D19" i="2"/>
  <c r="D22" i="2" s="1"/>
  <c r="C19" i="2"/>
  <c r="J7" i="2"/>
  <c r="J10" i="2"/>
  <c r="J18" i="2"/>
  <c r="M19" i="2"/>
  <c r="I16" i="2"/>
  <c r="J16" i="2" s="1"/>
  <c r="J20" i="2"/>
  <c r="J9" i="2"/>
  <c r="G22" i="2"/>
  <c r="AD135" i="13"/>
  <c r="N137" i="13"/>
  <c r="AD70" i="13"/>
  <c r="N134" i="13"/>
  <c r="N94" i="13"/>
  <c r="O199" i="13"/>
  <c r="O201" i="13"/>
  <c r="AD144" i="13"/>
  <c r="O134" i="13"/>
  <c r="N201" i="13"/>
  <c r="N202" i="13" s="1"/>
  <c r="O200" i="13"/>
  <c r="AD176" i="13"/>
  <c r="AD155" i="13"/>
  <c r="O137" i="13"/>
  <c r="AD137" i="13" s="1"/>
  <c r="N3" i="13"/>
  <c r="N67" i="13" s="1"/>
  <c r="N41" i="13"/>
  <c r="O128" i="13"/>
  <c r="N128" i="13"/>
  <c r="O67" i="13"/>
  <c r="C22" i="2"/>
  <c r="J5" i="2"/>
  <c r="E23" i="2"/>
  <c r="F19" i="2"/>
  <c r="F22" i="2" s="1"/>
  <c r="K43" i="9"/>
  <c r="I19" i="2" l="1"/>
  <c r="I22" i="2" s="1"/>
  <c r="J22" i="2" s="1"/>
  <c r="N138" i="13"/>
  <c r="O138" i="13"/>
  <c r="AD138" i="13" s="1"/>
  <c r="O202" i="13"/>
  <c r="AD134" i="13"/>
  <c r="AD128" i="13"/>
  <c r="O74" i="13"/>
  <c r="AD67" i="13"/>
  <c r="N74" i="13"/>
  <c r="K11" i="9"/>
  <c r="K38" i="9"/>
  <c r="K10" i="9"/>
  <c r="K44" i="9"/>
  <c r="K34" i="9"/>
  <c r="K41" i="9"/>
  <c r="K37" i="9"/>
  <c r="K35" i="9"/>
  <c r="L16" i="9"/>
  <c r="G49" i="3"/>
  <c r="G43" i="3"/>
  <c r="G27" i="3"/>
  <c r="G17" i="3"/>
  <c r="G14" i="3"/>
  <c r="G7" i="3"/>
  <c r="K48" i="9"/>
  <c r="K46" i="9"/>
  <c r="K23" i="9"/>
  <c r="K19" i="9"/>
  <c r="T186" i="13"/>
  <c r="Q186" i="13"/>
  <c r="R186" i="13" s="1"/>
  <c r="M186" i="13"/>
  <c r="L186" i="13"/>
  <c r="L201" i="13" s="1"/>
  <c r="K186" i="13"/>
  <c r="Z186" i="13" s="1"/>
  <c r="J186" i="13"/>
  <c r="J201" i="13" s="1"/>
  <c r="I186" i="13"/>
  <c r="I201" i="13" s="1"/>
  <c r="H186" i="13"/>
  <c r="G186" i="13"/>
  <c r="V186" i="13" s="1"/>
  <c r="F186" i="13"/>
  <c r="F201" i="13" s="1"/>
  <c r="E186" i="13"/>
  <c r="E201" i="13" s="1"/>
  <c r="D186" i="13"/>
  <c r="D201" i="13" s="1"/>
  <c r="C186" i="13"/>
  <c r="C201" i="13" s="1"/>
  <c r="M179" i="13"/>
  <c r="M176" i="13" s="1"/>
  <c r="AC176" i="13" s="1"/>
  <c r="L179" i="13"/>
  <c r="L176" i="13" s="1"/>
  <c r="K179" i="13"/>
  <c r="J179" i="13"/>
  <c r="I179" i="13"/>
  <c r="I176" i="13" s="1"/>
  <c r="H179" i="13"/>
  <c r="H176" i="13" s="1"/>
  <c r="G179" i="13"/>
  <c r="F179" i="13"/>
  <c r="F176" i="13" s="1"/>
  <c r="F200" i="13" s="1"/>
  <c r="F202" i="13" s="1"/>
  <c r="E179" i="13"/>
  <c r="D179" i="13"/>
  <c r="D176" i="13" s="1"/>
  <c r="C179" i="13"/>
  <c r="S181" i="13" s="1"/>
  <c r="K176" i="13"/>
  <c r="K200" i="13" s="1"/>
  <c r="J176" i="13"/>
  <c r="G176" i="13"/>
  <c r="C176" i="13"/>
  <c r="C200" i="13" s="1"/>
  <c r="M171" i="13"/>
  <c r="L171" i="13"/>
  <c r="K171" i="13"/>
  <c r="J171" i="13"/>
  <c r="I171" i="13"/>
  <c r="H171" i="13"/>
  <c r="G171" i="13"/>
  <c r="F171" i="13"/>
  <c r="E171" i="13"/>
  <c r="D171" i="13"/>
  <c r="C171" i="13"/>
  <c r="M167" i="13"/>
  <c r="M160" i="13"/>
  <c r="M159" i="13"/>
  <c r="L159" i="13"/>
  <c r="K159" i="13"/>
  <c r="M158" i="13"/>
  <c r="L158" i="13"/>
  <c r="K158" i="13"/>
  <c r="J158" i="13"/>
  <c r="I158" i="13"/>
  <c r="I154" i="13" s="1"/>
  <c r="H158" i="13"/>
  <c r="H154" i="13" s="1"/>
  <c r="G158" i="13"/>
  <c r="M157" i="13"/>
  <c r="L157" i="13"/>
  <c r="K157" i="13"/>
  <c r="K154" i="13" s="1"/>
  <c r="K198" i="13" s="1"/>
  <c r="Q154" i="13"/>
  <c r="R154" i="13" s="1"/>
  <c r="J154" i="13"/>
  <c r="G154" i="13"/>
  <c r="G198" i="13" s="1"/>
  <c r="F154" i="13"/>
  <c r="E154" i="13"/>
  <c r="E198" i="13" s="1"/>
  <c r="D154" i="13"/>
  <c r="S155" i="13" s="1"/>
  <c r="C154" i="13"/>
  <c r="C198" i="13" s="1"/>
  <c r="Q153" i="13"/>
  <c r="M153" i="13"/>
  <c r="L153" i="13"/>
  <c r="K153" i="13"/>
  <c r="J153" i="13"/>
  <c r="I153" i="13"/>
  <c r="H153" i="13"/>
  <c r="H144" i="13" s="1"/>
  <c r="G153" i="13"/>
  <c r="F153" i="13"/>
  <c r="E153" i="13"/>
  <c r="D153" i="13"/>
  <c r="C153" i="13"/>
  <c r="M146" i="13"/>
  <c r="L146" i="13"/>
  <c r="K146" i="13"/>
  <c r="J146" i="13"/>
  <c r="I146" i="13"/>
  <c r="H146" i="13"/>
  <c r="G146" i="13"/>
  <c r="S147" i="13" s="1"/>
  <c r="T147" i="13" s="1"/>
  <c r="F146" i="13"/>
  <c r="E146" i="13"/>
  <c r="M145" i="13"/>
  <c r="L145" i="13"/>
  <c r="K145" i="13"/>
  <c r="J145" i="13"/>
  <c r="J144" i="13" s="1"/>
  <c r="I145" i="13"/>
  <c r="I144" i="13" s="1"/>
  <c r="H145" i="13"/>
  <c r="G145" i="13"/>
  <c r="F145" i="13"/>
  <c r="F144" i="13" s="1"/>
  <c r="E145" i="13"/>
  <c r="E144" i="13" s="1"/>
  <c r="Q144" i="13"/>
  <c r="L144" i="13"/>
  <c r="K144" i="13"/>
  <c r="D144" i="13"/>
  <c r="D197" i="13" s="1"/>
  <c r="C144" i="13"/>
  <c r="C197" i="13" s="1"/>
  <c r="Q136" i="13"/>
  <c r="M136" i="13"/>
  <c r="AC136" i="13" s="1"/>
  <c r="L136" i="13"/>
  <c r="L135" i="13" s="1"/>
  <c r="K136" i="13"/>
  <c r="K135" i="13" s="1"/>
  <c r="J136" i="13"/>
  <c r="I136" i="13"/>
  <c r="H136" i="13"/>
  <c r="H135" i="13" s="1"/>
  <c r="H137" i="13" s="1"/>
  <c r="G136" i="13"/>
  <c r="F136" i="13"/>
  <c r="E136" i="13"/>
  <c r="E135" i="13" s="1"/>
  <c r="D136" i="13"/>
  <c r="D135" i="13" s="1"/>
  <c r="C136" i="13"/>
  <c r="C135" i="13" s="1"/>
  <c r="C137" i="13" s="1"/>
  <c r="J135" i="13"/>
  <c r="J137" i="13" s="1"/>
  <c r="I135" i="13"/>
  <c r="F135" i="13"/>
  <c r="F137" i="13" s="1"/>
  <c r="Q133" i="13"/>
  <c r="M133" i="13"/>
  <c r="AC133" i="13" s="1"/>
  <c r="L133" i="13"/>
  <c r="K133" i="13"/>
  <c r="Z133" i="13" s="1"/>
  <c r="J133" i="13"/>
  <c r="Y133" i="13" s="1"/>
  <c r="I133" i="13"/>
  <c r="H133" i="13"/>
  <c r="G133" i="13"/>
  <c r="F133" i="13"/>
  <c r="U133" i="13" s="1"/>
  <c r="E133" i="13"/>
  <c r="D133" i="13"/>
  <c r="C133" i="13"/>
  <c r="AB132" i="13"/>
  <c r="AA132" i="13"/>
  <c r="Z132" i="13"/>
  <c r="Y132" i="13"/>
  <c r="X132" i="13"/>
  <c r="W132" i="13"/>
  <c r="V132" i="13"/>
  <c r="U132" i="13"/>
  <c r="T132" i="13"/>
  <c r="S132" i="13"/>
  <c r="AB131" i="13"/>
  <c r="AA131" i="13"/>
  <c r="Z131" i="13"/>
  <c r="Y131" i="13"/>
  <c r="X131" i="13"/>
  <c r="W131" i="13"/>
  <c r="V131" i="13"/>
  <c r="U131" i="13"/>
  <c r="T131" i="13"/>
  <c r="S131" i="13"/>
  <c r="Q130" i="13"/>
  <c r="M130" i="13"/>
  <c r="AC130" i="13" s="1"/>
  <c r="L130" i="13"/>
  <c r="K130" i="13"/>
  <c r="J130" i="13"/>
  <c r="I130" i="13"/>
  <c r="H130" i="13"/>
  <c r="G130" i="13"/>
  <c r="F130" i="13"/>
  <c r="E130" i="13"/>
  <c r="D130" i="13"/>
  <c r="C130" i="13"/>
  <c r="Q129" i="13"/>
  <c r="R129" i="13" s="1"/>
  <c r="I129" i="13"/>
  <c r="D129" i="13"/>
  <c r="C129" i="13"/>
  <c r="M126" i="13"/>
  <c r="L126" i="13"/>
  <c r="K126" i="13"/>
  <c r="J126" i="13"/>
  <c r="I126" i="13"/>
  <c r="H126" i="13"/>
  <c r="G126" i="13"/>
  <c r="M125" i="13"/>
  <c r="M123" i="13"/>
  <c r="L123" i="13"/>
  <c r="L122" i="13" s="1"/>
  <c r="K123" i="13"/>
  <c r="J123" i="13"/>
  <c r="I123" i="13"/>
  <c r="H123" i="13"/>
  <c r="H122" i="13" s="1"/>
  <c r="G123" i="13"/>
  <c r="F123" i="13"/>
  <c r="E123" i="13"/>
  <c r="D123" i="13"/>
  <c r="D122" i="13" s="1"/>
  <c r="C123" i="13"/>
  <c r="Q122" i="13"/>
  <c r="R122" i="13" s="1"/>
  <c r="M122" i="13"/>
  <c r="K122" i="13"/>
  <c r="J122" i="13"/>
  <c r="I122" i="13"/>
  <c r="G122" i="13"/>
  <c r="F122" i="13"/>
  <c r="E122" i="13"/>
  <c r="C122" i="13"/>
  <c r="M120" i="13"/>
  <c r="M119" i="13"/>
  <c r="L119" i="13"/>
  <c r="K119" i="13"/>
  <c r="J119" i="13"/>
  <c r="I119" i="13"/>
  <c r="H119" i="13"/>
  <c r="H114" i="13" s="1"/>
  <c r="G119" i="13"/>
  <c r="F119" i="13"/>
  <c r="E119" i="13"/>
  <c r="E114" i="13" s="1"/>
  <c r="M116" i="13"/>
  <c r="L116" i="13"/>
  <c r="K116" i="13"/>
  <c r="J116" i="13"/>
  <c r="I116" i="13"/>
  <c r="I114" i="13" s="1"/>
  <c r="M115" i="13"/>
  <c r="L115" i="13"/>
  <c r="K115" i="13"/>
  <c r="J115" i="13"/>
  <c r="J114" i="13" s="1"/>
  <c r="I115" i="13"/>
  <c r="H115" i="13"/>
  <c r="G115" i="13"/>
  <c r="F115" i="13"/>
  <c r="F114" i="13" s="1"/>
  <c r="E115" i="13"/>
  <c r="D115" i="13"/>
  <c r="C115" i="13"/>
  <c r="Q114" i="13"/>
  <c r="R114" i="13" s="1"/>
  <c r="K114" i="13"/>
  <c r="G114" i="13"/>
  <c r="D114" i="13"/>
  <c r="C114" i="13"/>
  <c r="M113" i="13"/>
  <c r="L113" i="13"/>
  <c r="K113" i="13"/>
  <c r="M112" i="13"/>
  <c r="L112" i="13"/>
  <c r="K112" i="13"/>
  <c r="J112" i="13"/>
  <c r="I112" i="13"/>
  <c r="H112" i="13"/>
  <c r="G112" i="13"/>
  <c r="M111" i="13"/>
  <c r="L111" i="13"/>
  <c r="K111" i="13"/>
  <c r="J111" i="13"/>
  <c r="I111" i="13"/>
  <c r="M110" i="13"/>
  <c r="L110" i="13"/>
  <c r="K110" i="13"/>
  <c r="J110" i="13"/>
  <c r="J108" i="13" s="1"/>
  <c r="I110" i="13"/>
  <c r="I108" i="13" s="1"/>
  <c r="H110" i="13"/>
  <c r="G110" i="13"/>
  <c r="F110" i="13"/>
  <c r="F108" i="13" s="1"/>
  <c r="E110" i="13"/>
  <c r="E108" i="13" s="1"/>
  <c r="M109" i="13"/>
  <c r="L109" i="13"/>
  <c r="K109" i="13"/>
  <c r="J109" i="13"/>
  <c r="I109" i="13"/>
  <c r="H109" i="13"/>
  <c r="G109" i="13"/>
  <c r="Q108" i="13"/>
  <c r="R108" i="13" s="1"/>
  <c r="L108" i="13"/>
  <c r="H108" i="13"/>
  <c r="D108" i="13"/>
  <c r="C108" i="13"/>
  <c r="M107" i="13"/>
  <c r="L107" i="13"/>
  <c r="L103" i="13" s="1"/>
  <c r="K107" i="13"/>
  <c r="J107" i="13"/>
  <c r="I107" i="13"/>
  <c r="H107" i="13"/>
  <c r="H103" i="13" s="1"/>
  <c r="G107" i="13"/>
  <c r="Q103" i="13"/>
  <c r="R103" i="13" s="1"/>
  <c r="M103" i="13"/>
  <c r="K103" i="13"/>
  <c r="J103" i="13"/>
  <c r="I103" i="13"/>
  <c r="G103" i="13"/>
  <c r="F103" i="13"/>
  <c r="E103" i="13"/>
  <c r="D103" i="13"/>
  <c r="C103" i="13"/>
  <c r="M102" i="13"/>
  <c r="L102" i="13"/>
  <c r="K102" i="13"/>
  <c r="J102" i="13"/>
  <c r="I102" i="13"/>
  <c r="H102" i="13"/>
  <c r="G102" i="13"/>
  <c r="M101" i="13"/>
  <c r="L101" i="13"/>
  <c r="K101" i="13"/>
  <c r="J101" i="13"/>
  <c r="I101" i="13"/>
  <c r="H101" i="13"/>
  <c r="G101" i="13"/>
  <c r="M100" i="13"/>
  <c r="L100" i="13"/>
  <c r="L99" i="13" s="1"/>
  <c r="K100" i="13"/>
  <c r="J100" i="13"/>
  <c r="I100" i="13"/>
  <c r="H100" i="13"/>
  <c r="H99" i="13" s="1"/>
  <c r="G100" i="13"/>
  <c r="Q99" i="13"/>
  <c r="R99" i="13" s="1"/>
  <c r="M99" i="13"/>
  <c r="K99" i="13"/>
  <c r="J99" i="13"/>
  <c r="I99" i="13"/>
  <c r="G99" i="13"/>
  <c r="F99" i="13"/>
  <c r="E99" i="13"/>
  <c r="D99" i="13"/>
  <c r="C99" i="13"/>
  <c r="M96" i="13"/>
  <c r="L96" i="13"/>
  <c r="L94" i="13" s="1"/>
  <c r="K96" i="13"/>
  <c r="K94" i="13" s="1"/>
  <c r="J96" i="13"/>
  <c r="I96" i="13"/>
  <c r="H96" i="13"/>
  <c r="H94" i="13" s="1"/>
  <c r="G96" i="13"/>
  <c r="G94" i="13" s="1"/>
  <c r="M95" i="13"/>
  <c r="Q94" i="13"/>
  <c r="R94" i="13" s="1"/>
  <c r="M94" i="13"/>
  <c r="J94" i="13"/>
  <c r="I94" i="13"/>
  <c r="F94" i="13"/>
  <c r="E94" i="13"/>
  <c r="D94" i="13"/>
  <c r="C94" i="13"/>
  <c r="M92" i="13"/>
  <c r="M91" i="13"/>
  <c r="L91" i="13"/>
  <c r="K91" i="13"/>
  <c r="Q90" i="13"/>
  <c r="R90" i="13" s="1"/>
  <c r="L90" i="13"/>
  <c r="K90" i="13"/>
  <c r="J90" i="13"/>
  <c r="I90" i="13"/>
  <c r="H90" i="13"/>
  <c r="G90" i="13"/>
  <c r="F90" i="13"/>
  <c r="E90" i="13"/>
  <c r="D90" i="13"/>
  <c r="C90" i="13"/>
  <c r="M88" i="13"/>
  <c r="L88" i="13"/>
  <c r="L87" i="13" s="1"/>
  <c r="K88" i="13"/>
  <c r="K87" i="13" s="1"/>
  <c r="J88" i="13"/>
  <c r="I88" i="13"/>
  <c r="H88" i="13"/>
  <c r="H87" i="13" s="1"/>
  <c r="G88" i="13"/>
  <c r="G87" i="13" s="1"/>
  <c r="F88" i="13"/>
  <c r="E88" i="13"/>
  <c r="Q87" i="13"/>
  <c r="R87" i="13" s="1"/>
  <c r="M87" i="13"/>
  <c r="J87" i="13"/>
  <c r="I87" i="13"/>
  <c r="F87" i="13"/>
  <c r="E87" i="13"/>
  <c r="D87" i="13"/>
  <c r="C87" i="13"/>
  <c r="M86" i="13"/>
  <c r="L86" i="13"/>
  <c r="K86" i="13"/>
  <c r="K85" i="13" s="1"/>
  <c r="J86" i="13"/>
  <c r="J85" i="13" s="1"/>
  <c r="I86" i="13"/>
  <c r="H86" i="13"/>
  <c r="G86" i="13"/>
  <c r="G85" i="13" s="1"/>
  <c r="F86" i="13"/>
  <c r="F85" i="13" s="1"/>
  <c r="E86" i="13"/>
  <c r="Q85" i="13"/>
  <c r="M85" i="13"/>
  <c r="L85" i="13"/>
  <c r="I85" i="13"/>
  <c r="H85" i="13"/>
  <c r="E85" i="13"/>
  <c r="D85" i="13"/>
  <c r="C85" i="13"/>
  <c r="M83" i="13"/>
  <c r="M82" i="13"/>
  <c r="L82" i="13"/>
  <c r="K82" i="13"/>
  <c r="J82" i="13"/>
  <c r="I82" i="13"/>
  <c r="H82" i="13"/>
  <c r="H79" i="13" s="1"/>
  <c r="G82" i="13"/>
  <c r="F82" i="13"/>
  <c r="E82" i="13"/>
  <c r="E79" i="13" s="1"/>
  <c r="D82" i="13"/>
  <c r="D79" i="13" s="1"/>
  <c r="C82" i="13"/>
  <c r="M81" i="13"/>
  <c r="L81" i="13"/>
  <c r="K81" i="13"/>
  <c r="J81" i="13"/>
  <c r="I81" i="13"/>
  <c r="I79" i="13" s="1"/>
  <c r="M80" i="13"/>
  <c r="L80" i="13"/>
  <c r="K80" i="13"/>
  <c r="J80" i="13"/>
  <c r="J79" i="13" s="1"/>
  <c r="I80" i="13"/>
  <c r="H80" i="13"/>
  <c r="G80" i="13"/>
  <c r="F80" i="13"/>
  <c r="F79" i="13" s="1"/>
  <c r="E80" i="13"/>
  <c r="D80" i="13"/>
  <c r="C80" i="13"/>
  <c r="Q79" i="13"/>
  <c r="R79" i="13" s="1"/>
  <c r="K79" i="13"/>
  <c r="G79" i="13"/>
  <c r="C79" i="13"/>
  <c r="Q72" i="13"/>
  <c r="M72" i="13"/>
  <c r="L72" i="13"/>
  <c r="K72" i="13"/>
  <c r="J72" i="13"/>
  <c r="Y72" i="13" s="1"/>
  <c r="I72" i="13"/>
  <c r="H72" i="13"/>
  <c r="G72" i="13"/>
  <c r="F72" i="13"/>
  <c r="U72" i="13" s="1"/>
  <c r="E72" i="13"/>
  <c r="D72" i="13"/>
  <c r="C72" i="13"/>
  <c r="Z71" i="13"/>
  <c r="Y71" i="13"/>
  <c r="X71" i="13"/>
  <c r="W71" i="13"/>
  <c r="V71" i="13"/>
  <c r="U71" i="13"/>
  <c r="T71" i="13"/>
  <c r="S71" i="13"/>
  <c r="Q70" i="13"/>
  <c r="M70" i="13"/>
  <c r="L70" i="13"/>
  <c r="K70" i="13"/>
  <c r="J70" i="13"/>
  <c r="I70" i="13"/>
  <c r="H70" i="13"/>
  <c r="G70" i="13"/>
  <c r="F70" i="13"/>
  <c r="E70" i="13"/>
  <c r="E73" i="13" s="1"/>
  <c r="D70" i="13"/>
  <c r="C70" i="13"/>
  <c r="Z69" i="13"/>
  <c r="Y69" i="13"/>
  <c r="X69" i="13"/>
  <c r="W69" i="13"/>
  <c r="V69" i="13"/>
  <c r="U69" i="13"/>
  <c r="T69" i="13"/>
  <c r="S69" i="13"/>
  <c r="Z68" i="13"/>
  <c r="Y68" i="13"/>
  <c r="X68" i="13"/>
  <c r="W68" i="13"/>
  <c r="V68" i="13"/>
  <c r="U68" i="13"/>
  <c r="T68" i="13"/>
  <c r="S68" i="13"/>
  <c r="Z66" i="13"/>
  <c r="V66" i="13"/>
  <c r="U66" i="13"/>
  <c r="S66" i="13"/>
  <c r="M66" i="13"/>
  <c r="L66" i="13"/>
  <c r="L129" i="13" s="1"/>
  <c r="K66" i="13"/>
  <c r="K129" i="13" s="1"/>
  <c r="J66" i="13"/>
  <c r="J129" i="13" s="1"/>
  <c r="I66" i="13"/>
  <c r="X66" i="13" s="1"/>
  <c r="H66" i="13"/>
  <c r="H129" i="13" s="1"/>
  <c r="G66" i="13"/>
  <c r="G129" i="13" s="1"/>
  <c r="F66" i="13"/>
  <c r="F129" i="13" s="1"/>
  <c r="E66" i="13"/>
  <c r="T66" i="13" s="1"/>
  <c r="M61" i="13"/>
  <c r="L61" i="13"/>
  <c r="K61" i="13"/>
  <c r="J61" i="13"/>
  <c r="I61" i="13"/>
  <c r="H61" i="13"/>
  <c r="G61" i="13"/>
  <c r="F61" i="13"/>
  <c r="E61" i="13"/>
  <c r="D61" i="13"/>
  <c r="C61" i="13"/>
  <c r="C41" i="13" s="1"/>
  <c r="M60" i="13"/>
  <c r="L60" i="13"/>
  <c r="K60" i="13"/>
  <c r="J60" i="13"/>
  <c r="I60" i="13"/>
  <c r="H60" i="13"/>
  <c r="G60" i="13"/>
  <c r="F60" i="13"/>
  <c r="E60" i="13"/>
  <c r="M57" i="13"/>
  <c r="L57" i="13"/>
  <c r="K57" i="13"/>
  <c r="J57" i="13"/>
  <c r="I57" i="13"/>
  <c r="H57" i="13"/>
  <c r="G57" i="13"/>
  <c r="F57" i="13"/>
  <c r="E57" i="13"/>
  <c r="M46" i="13"/>
  <c r="L46" i="13"/>
  <c r="K46" i="13"/>
  <c r="K41" i="13" s="1"/>
  <c r="J46" i="13"/>
  <c r="J41" i="13" s="1"/>
  <c r="I46" i="13"/>
  <c r="H46" i="13"/>
  <c r="G46" i="13"/>
  <c r="G41" i="13" s="1"/>
  <c r="M42" i="13"/>
  <c r="L42" i="13"/>
  <c r="L41" i="13" s="1"/>
  <c r="K42" i="13"/>
  <c r="J42" i="13"/>
  <c r="I42" i="13"/>
  <c r="I41" i="13" s="1"/>
  <c r="H42" i="13"/>
  <c r="H41" i="13" s="1"/>
  <c r="G42" i="13"/>
  <c r="Q41" i="13"/>
  <c r="R41" i="13" s="1"/>
  <c r="M41" i="13"/>
  <c r="F41" i="13"/>
  <c r="E41" i="13"/>
  <c r="D41" i="13"/>
  <c r="M40" i="13"/>
  <c r="M34" i="13" s="1"/>
  <c r="L40" i="13"/>
  <c r="K40" i="13"/>
  <c r="J40" i="13"/>
  <c r="I40" i="13"/>
  <c r="F40" i="13"/>
  <c r="E40" i="13"/>
  <c r="D40" i="13"/>
  <c r="D34" i="13" s="1"/>
  <c r="C40" i="13"/>
  <c r="C34" i="13" s="1"/>
  <c r="M39" i="13"/>
  <c r="L39" i="13"/>
  <c r="L34" i="13" s="1"/>
  <c r="K39" i="13"/>
  <c r="K34" i="13" s="1"/>
  <c r="J39" i="13"/>
  <c r="I39" i="13"/>
  <c r="H39" i="13"/>
  <c r="H34" i="13" s="1"/>
  <c r="G39" i="13"/>
  <c r="G34" i="13" s="1"/>
  <c r="F39" i="13"/>
  <c r="E39" i="13"/>
  <c r="Q34" i="13"/>
  <c r="R34" i="13" s="1"/>
  <c r="J34" i="13"/>
  <c r="I34" i="13"/>
  <c r="F34" i="13"/>
  <c r="E34" i="13"/>
  <c r="Q32" i="13"/>
  <c r="R32" i="13" s="1"/>
  <c r="M32" i="13"/>
  <c r="L32" i="13"/>
  <c r="K32" i="13"/>
  <c r="J32" i="13"/>
  <c r="I32" i="13"/>
  <c r="H32" i="13"/>
  <c r="G32" i="13"/>
  <c r="F32" i="13"/>
  <c r="E32" i="13"/>
  <c r="D32" i="13"/>
  <c r="C32" i="13"/>
  <c r="AD31" i="13"/>
  <c r="AB31" i="13"/>
  <c r="AA31" i="13"/>
  <c r="X31" i="13"/>
  <c r="W31" i="13"/>
  <c r="T31" i="13"/>
  <c r="S31" i="13"/>
  <c r="M20" i="13"/>
  <c r="AC31" i="13" s="1"/>
  <c r="L20" i="13"/>
  <c r="K20" i="13"/>
  <c r="K11" i="13" s="1"/>
  <c r="J20" i="13"/>
  <c r="Z31" i="13" s="1"/>
  <c r="I20" i="13"/>
  <c r="Y31" i="13" s="1"/>
  <c r="H20" i="13"/>
  <c r="G20" i="13"/>
  <c r="G11" i="13" s="1"/>
  <c r="F20" i="13"/>
  <c r="V31" i="13" s="1"/>
  <c r="E20" i="13"/>
  <c r="U31" i="13" s="1"/>
  <c r="D20" i="13"/>
  <c r="C20" i="13"/>
  <c r="C11" i="13" s="1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Q11" i="13"/>
  <c r="R11" i="13" s="1"/>
  <c r="M11" i="13"/>
  <c r="L11" i="13"/>
  <c r="J11" i="13"/>
  <c r="I11" i="13"/>
  <c r="H11" i="13"/>
  <c r="F11" i="13"/>
  <c r="E11" i="13"/>
  <c r="D11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M4" i="13"/>
  <c r="L4" i="13"/>
  <c r="K4" i="13"/>
  <c r="J4" i="13"/>
  <c r="I4" i="13"/>
  <c r="I3" i="13" s="1"/>
  <c r="Q3" i="13"/>
  <c r="R3" i="13" s="1"/>
  <c r="L3" i="13"/>
  <c r="K3" i="13"/>
  <c r="J3" i="13"/>
  <c r="H3" i="13"/>
  <c r="G3" i="13"/>
  <c r="F3" i="13"/>
  <c r="E3" i="13"/>
  <c r="D3" i="13"/>
  <c r="C3" i="13"/>
  <c r="J19" i="2" l="1"/>
  <c r="Q197" i="13"/>
  <c r="Z130" i="13"/>
  <c r="Q198" i="13"/>
  <c r="Q199" i="13" s="1"/>
  <c r="O139" i="13"/>
  <c r="AA70" i="13"/>
  <c r="AA72" i="13"/>
  <c r="S133" i="13"/>
  <c r="W133" i="13"/>
  <c r="AA133" i="13"/>
  <c r="M135" i="13"/>
  <c r="AC135" i="13" s="1"/>
  <c r="U136" i="13"/>
  <c r="Y136" i="13"/>
  <c r="Q137" i="13"/>
  <c r="R137" i="13" s="1"/>
  <c r="M201" i="13"/>
  <c r="AC186" i="13"/>
  <c r="N139" i="13"/>
  <c r="AD139" i="13" s="1"/>
  <c r="V130" i="13"/>
  <c r="M73" i="13"/>
  <c r="AB70" i="13"/>
  <c r="AC70" i="13"/>
  <c r="AB72" i="13"/>
  <c r="AC72" i="13"/>
  <c r="L197" i="13"/>
  <c r="AA144" i="13"/>
  <c r="O195" i="13"/>
  <c r="O206" i="13" s="1"/>
  <c r="O194" i="13"/>
  <c r="AD74" i="13"/>
  <c r="N194" i="13"/>
  <c r="D67" i="13"/>
  <c r="S67" i="13" s="1"/>
  <c r="H67" i="13"/>
  <c r="H74" i="13" s="1"/>
  <c r="F73" i="13"/>
  <c r="J73" i="13"/>
  <c r="W130" i="13"/>
  <c r="C73" i="13"/>
  <c r="G73" i="13"/>
  <c r="V73" i="13" s="1"/>
  <c r="K73" i="13"/>
  <c r="S72" i="13"/>
  <c r="W72" i="13"/>
  <c r="D73" i="13"/>
  <c r="H73" i="13"/>
  <c r="L73" i="13"/>
  <c r="AA73" i="13" s="1"/>
  <c r="C202" i="13"/>
  <c r="K134" i="13"/>
  <c r="T70" i="13"/>
  <c r="X70" i="13"/>
  <c r="I73" i="13"/>
  <c r="X73" i="13" s="1"/>
  <c r="D128" i="13"/>
  <c r="D134" i="13"/>
  <c r="S130" i="13"/>
  <c r="AA130" i="13"/>
  <c r="C199" i="13"/>
  <c r="S186" i="13"/>
  <c r="W186" i="13"/>
  <c r="AA186" i="13"/>
  <c r="U186" i="13"/>
  <c r="G201" i="13"/>
  <c r="H134" i="13"/>
  <c r="H138" i="13" s="1"/>
  <c r="U73" i="13"/>
  <c r="U135" i="13"/>
  <c r="AB186" i="13"/>
  <c r="H201" i="13"/>
  <c r="F67" i="13"/>
  <c r="F74" i="13" s="1"/>
  <c r="K67" i="13"/>
  <c r="L134" i="13"/>
  <c r="AA134" i="13" s="1"/>
  <c r="C67" i="13"/>
  <c r="C74" i="13" s="1"/>
  <c r="C194" i="13" s="1"/>
  <c r="C205" i="13" s="1"/>
  <c r="G67" i="13"/>
  <c r="L67" i="13"/>
  <c r="AA67" i="13" s="1"/>
  <c r="Y70" i="13"/>
  <c r="V72" i="13"/>
  <c r="Z72" i="13"/>
  <c r="Q134" i="13"/>
  <c r="R134" i="13" s="1"/>
  <c r="U130" i="13"/>
  <c r="Y130" i="13"/>
  <c r="V133" i="13"/>
  <c r="D198" i="13"/>
  <c r="D199" i="13" s="1"/>
  <c r="K201" i="13"/>
  <c r="K202" i="13" s="1"/>
  <c r="G51" i="3"/>
  <c r="G54" i="3" s="1"/>
  <c r="K33" i="9"/>
  <c r="K50" i="9" s="1"/>
  <c r="K53" i="9" s="1"/>
  <c r="K7" i="9"/>
  <c r="K26" i="9" s="1"/>
  <c r="K29" i="9" s="1"/>
  <c r="G20" i="3"/>
  <c r="G23" i="3" s="1"/>
  <c r="D74" i="13"/>
  <c r="H128" i="13"/>
  <c r="V67" i="13"/>
  <c r="M3" i="13"/>
  <c r="G134" i="13"/>
  <c r="V129" i="13"/>
  <c r="J200" i="13"/>
  <c r="J202" i="13" s="1"/>
  <c r="Y176" i="13"/>
  <c r="L114" i="13"/>
  <c r="S144" i="13"/>
  <c r="Z155" i="13"/>
  <c r="Q67" i="13"/>
  <c r="R67" i="13" s="1"/>
  <c r="Q73" i="13"/>
  <c r="X72" i="13"/>
  <c r="C128" i="13"/>
  <c r="F128" i="13"/>
  <c r="J128" i="13"/>
  <c r="L79" i="13"/>
  <c r="E128" i="13"/>
  <c r="X135" i="13"/>
  <c r="I137" i="13"/>
  <c r="X137" i="13" s="1"/>
  <c r="G135" i="13"/>
  <c r="W135" i="13" s="1"/>
  <c r="V136" i="13"/>
  <c r="K137" i="13"/>
  <c r="Z137" i="13" s="1"/>
  <c r="Z135" i="13"/>
  <c r="K197" i="13"/>
  <c r="K199" i="13" s="1"/>
  <c r="Z144" i="13"/>
  <c r="E197" i="13"/>
  <c r="E199" i="13" s="1"/>
  <c r="T144" i="13"/>
  <c r="I197" i="13"/>
  <c r="X144" i="13"/>
  <c r="M144" i="13"/>
  <c r="S153" i="13"/>
  <c r="G144" i="13"/>
  <c r="I198" i="13"/>
  <c r="X155" i="13"/>
  <c r="Z176" i="13"/>
  <c r="S176" i="13"/>
  <c r="D200" i="13"/>
  <c r="D202" i="13" s="1"/>
  <c r="W176" i="13"/>
  <c r="H200" i="13"/>
  <c r="AA176" i="13"/>
  <c r="L200" i="13"/>
  <c r="L202" i="13" s="1"/>
  <c r="I67" i="13"/>
  <c r="X129" i="13"/>
  <c r="I134" i="13"/>
  <c r="J198" i="13"/>
  <c r="Y155" i="13"/>
  <c r="W129" i="13"/>
  <c r="Q128" i="13"/>
  <c r="R128" i="13" s="1"/>
  <c r="M129" i="13"/>
  <c r="AC129" i="13" s="1"/>
  <c r="T72" i="13"/>
  <c r="T73" i="13"/>
  <c r="E67" i="13"/>
  <c r="J67" i="13"/>
  <c r="F134" i="13"/>
  <c r="J134" i="13"/>
  <c r="Y129" i="13"/>
  <c r="Y66" i="13"/>
  <c r="U70" i="13"/>
  <c r="I128" i="13"/>
  <c r="M90" i="13"/>
  <c r="G108" i="13"/>
  <c r="G128" i="13" s="1"/>
  <c r="K108" i="13"/>
  <c r="K128" i="13" s="1"/>
  <c r="M108" i="13"/>
  <c r="E129" i="13"/>
  <c r="Z129" i="13"/>
  <c r="Z136" i="13"/>
  <c r="H197" i="13"/>
  <c r="W144" i="13"/>
  <c r="T155" i="13"/>
  <c r="V70" i="13"/>
  <c r="Z70" i="13"/>
  <c r="S135" i="13"/>
  <c r="AA135" i="13"/>
  <c r="F197" i="13"/>
  <c r="U144" i="13"/>
  <c r="H198" i="13"/>
  <c r="W155" i="13"/>
  <c r="S179" i="13"/>
  <c r="E176" i="13"/>
  <c r="AB176" i="13"/>
  <c r="M200" i="13"/>
  <c r="M202" i="13" s="1"/>
  <c r="W66" i="13"/>
  <c r="S70" i="13"/>
  <c r="W70" i="13"/>
  <c r="M79" i="13"/>
  <c r="M114" i="13"/>
  <c r="C134" i="13"/>
  <c r="C138" i="13" s="1"/>
  <c r="T133" i="13"/>
  <c r="X133" i="13"/>
  <c r="AB133" i="13"/>
  <c r="T135" i="13"/>
  <c r="AB135" i="13"/>
  <c r="Y135" i="13"/>
  <c r="T136" i="13"/>
  <c r="X136" i="13"/>
  <c r="AB136" i="13"/>
  <c r="D137" i="13"/>
  <c r="S137" i="13" s="1"/>
  <c r="L137" i="13"/>
  <c r="L154" i="13"/>
  <c r="AA155" i="13" s="1"/>
  <c r="S136" i="13"/>
  <c r="AA136" i="13"/>
  <c r="J197" i="13"/>
  <c r="Y144" i="13"/>
  <c r="F198" i="13"/>
  <c r="U155" i="13"/>
  <c r="V155" i="13"/>
  <c r="X176" i="13"/>
  <c r="I200" i="13"/>
  <c r="I202" i="13" s="1"/>
  <c r="AA129" i="13"/>
  <c r="S129" i="13"/>
  <c r="T130" i="13"/>
  <c r="X130" i="13"/>
  <c r="AB130" i="13"/>
  <c r="W136" i="13"/>
  <c r="E137" i="13"/>
  <c r="M137" i="13"/>
  <c r="AC137" i="13" s="1"/>
  <c r="G200" i="13"/>
  <c r="V176" i="13"/>
  <c r="S154" i="13"/>
  <c r="X186" i="13"/>
  <c r="M154" i="13"/>
  <c r="Q176" i="13"/>
  <c r="R176" i="13" s="1"/>
  <c r="Q201" i="13"/>
  <c r="Y186" i="13"/>
  <c r="AA31" i="12"/>
  <c r="Y16" i="12"/>
  <c r="Z16" i="12"/>
  <c r="AA16" i="12"/>
  <c r="Y10" i="12"/>
  <c r="Z10" i="12"/>
  <c r="AA10" i="12"/>
  <c r="I42" i="2"/>
  <c r="J42" i="2" s="1"/>
  <c r="Q138" i="13" l="1"/>
  <c r="R138" i="13" s="1"/>
  <c r="AB155" i="13"/>
  <c r="AC155" i="13"/>
  <c r="T137" i="13"/>
  <c r="H202" i="13"/>
  <c r="K74" i="13"/>
  <c r="AB73" i="13"/>
  <c r="AC73" i="13"/>
  <c r="N195" i="13"/>
  <c r="N206" i="13" s="1"/>
  <c r="AB144" i="13"/>
  <c r="AC144" i="13"/>
  <c r="W67" i="13"/>
  <c r="O209" i="13"/>
  <c r="O212" i="13"/>
  <c r="O205" i="13"/>
  <c r="O196" i="13"/>
  <c r="O203" i="13" s="1"/>
  <c r="N196" i="13"/>
  <c r="N203" i="13" s="1"/>
  <c r="N205" i="13"/>
  <c r="G74" i="13"/>
  <c r="Z73" i="13"/>
  <c r="W73" i="13"/>
  <c r="L74" i="13"/>
  <c r="AA74" i="13" s="1"/>
  <c r="S73" i="13"/>
  <c r="J199" i="13"/>
  <c r="Y137" i="13"/>
  <c r="H199" i="13"/>
  <c r="Z67" i="13"/>
  <c r="U137" i="13"/>
  <c r="G202" i="13"/>
  <c r="Y73" i="13"/>
  <c r="G55" i="3"/>
  <c r="K54" i="9"/>
  <c r="V128" i="13"/>
  <c r="M67" i="13"/>
  <c r="Q200" i="13"/>
  <c r="Q202" i="13" s="1"/>
  <c r="AA137" i="13"/>
  <c r="X128" i="13"/>
  <c r="Y134" i="13"/>
  <c r="J138" i="13"/>
  <c r="J139" i="13" s="1"/>
  <c r="E74" i="13"/>
  <c r="U74" i="13" s="1"/>
  <c r="T67" i="13"/>
  <c r="Q139" i="13"/>
  <c r="R139" i="13" s="1"/>
  <c r="X134" i="13"/>
  <c r="I138" i="13"/>
  <c r="X138" i="13" s="1"/>
  <c r="K138" i="13"/>
  <c r="Z138" i="13" s="1"/>
  <c r="V144" i="13"/>
  <c r="G197" i="13"/>
  <c r="G199" i="13" s="1"/>
  <c r="S134" i="13"/>
  <c r="L128" i="13"/>
  <c r="Q74" i="13"/>
  <c r="R74" i="13" s="1"/>
  <c r="D194" i="13"/>
  <c r="S74" i="13"/>
  <c r="T128" i="13"/>
  <c r="M198" i="13"/>
  <c r="T176" i="13"/>
  <c r="E200" i="13"/>
  <c r="E202" i="13" s="1"/>
  <c r="T129" i="13"/>
  <c r="E134" i="13"/>
  <c r="U134" i="13" s="1"/>
  <c r="U129" i="13"/>
  <c r="Z134" i="13"/>
  <c r="I199" i="13"/>
  <c r="G137" i="13"/>
  <c r="G138" i="13" s="1"/>
  <c r="V135" i="13"/>
  <c r="D138" i="13"/>
  <c r="Y128" i="13"/>
  <c r="F194" i="13"/>
  <c r="V134" i="13"/>
  <c r="U67" i="13"/>
  <c r="G194" i="13"/>
  <c r="V74" i="13"/>
  <c r="K194" i="13"/>
  <c r="Y67" i="13"/>
  <c r="J74" i="13"/>
  <c r="Z74" i="13" s="1"/>
  <c r="Z128" i="13"/>
  <c r="C139" i="13"/>
  <c r="C195" i="13" s="1"/>
  <c r="M128" i="13"/>
  <c r="AC128" i="13" s="1"/>
  <c r="U176" i="13"/>
  <c r="AB137" i="13"/>
  <c r="L198" i="13"/>
  <c r="L199" i="13" s="1"/>
  <c r="F199" i="13"/>
  <c r="F138" i="13"/>
  <c r="AB129" i="13"/>
  <c r="M134" i="13"/>
  <c r="AC134" i="13" s="1"/>
  <c r="I74" i="13"/>
  <c r="X67" i="13"/>
  <c r="M197" i="13"/>
  <c r="M199" i="13" s="1"/>
  <c r="F139" i="13"/>
  <c r="U128" i="13"/>
  <c r="L138" i="13"/>
  <c r="H194" i="13"/>
  <c r="W74" i="13"/>
  <c r="S128" i="13"/>
  <c r="W134" i="13"/>
  <c r="H139" i="13"/>
  <c r="W128" i="13"/>
  <c r="C208" i="13"/>
  <c r="C211" i="13" s="1"/>
  <c r="N103" i="12"/>
  <c r="V138" i="13" l="1"/>
  <c r="L194" i="13"/>
  <c r="L205" i="13" s="1"/>
  <c r="N209" i="13"/>
  <c r="AD206" i="13"/>
  <c r="N208" i="13"/>
  <c r="I139" i="13"/>
  <c r="AD209" i="13"/>
  <c r="O208" i="13"/>
  <c r="AD205" i="13"/>
  <c r="AB67" i="13"/>
  <c r="AC67" i="13"/>
  <c r="H195" i="13"/>
  <c r="H206" i="13" s="1"/>
  <c r="J195" i="13"/>
  <c r="J206" i="13" s="1"/>
  <c r="Y139" i="13"/>
  <c r="T134" i="13"/>
  <c r="E138" i="13"/>
  <c r="U138" i="13" s="1"/>
  <c r="I195" i="13"/>
  <c r="I206" i="13" s="1"/>
  <c r="X139" i="13"/>
  <c r="AA138" i="13"/>
  <c r="M138" i="13"/>
  <c r="AC138" i="13" s="1"/>
  <c r="AB134" i="13"/>
  <c r="W138" i="13"/>
  <c r="J194" i="13"/>
  <c r="Y74" i="13"/>
  <c r="D205" i="13"/>
  <c r="Q195" i="13"/>
  <c r="Q206" i="13" s="1"/>
  <c r="Y138" i="13"/>
  <c r="M74" i="13"/>
  <c r="H205" i="13"/>
  <c r="V137" i="13"/>
  <c r="W137" i="13"/>
  <c r="L139" i="13"/>
  <c r="AA128" i="13"/>
  <c r="E194" i="13"/>
  <c r="T74" i="13"/>
  <c r="C206" i="13"/>
  <c r="C196" i="13"/>
  <c r="C203" i="13" s="1"/>
  <c r="G205" i="13"/>
  <c r="S138" i="13"/>
  <c r="D139" i="13"/>
  <c r="F195" i="13"/>
  <c r="F206" i="13" s="1"/>
  <c r="I194" i="13"/>
  <c r="X74" i="13"/>
  <c r="M139" i="13"/>
  <c r="AC139" i="13" s="1"/>
  <c r="AB128" i="13"/>
  <c r="K139" i="13"/>
  <c r="K205" i="13"/>
  <c r="F205" i="13"/>
  <c r="Q194" i="13"/>
  <c r="G139" i="13"/>
  <c r="O32" i="9"/>
  <c r="O29" i="9"/>
  <c r="H196" i="13" l="1"/>
  <c r="H203" i="13" s="1"/>
  <c r="N211" i="13"/>
  <c r="N212" i="13"/>
  <c r="O211" i="13"/>
  <c r="AD208" i="13"/>
  <c r="AB74" i="13"/>
  <c r="AC74" i="13"/>
  <c r="J209" i="13"/>
  <c r="Y206" i="13"/>
  <c r="Q205" i="13"/>
  <c r="Q196" i="13"/>
  <c r="Q203" i="13" s="1"/>
  <c r="F209" i="13"/>
  <c r="F212" i="13" s="1"/>
  <c r="E205" i="13"/>
  <c r="U205" i="13" s="1"/>
  <c r="M194" i="13"/>
  <c r="D195" i="13"/>
  <c r="S139" i="13"/>
  <c r="H209" i="13"/>
  <c r="M195" i="13"/>
  <c r="M206" i="13" s="1"/>
  <c r="AC206" i="13" s="1"/>
  <c r="AB139" i="13"/>
  <c r="Q209" i="13"/>
  <c r="Q212" i="13" s="1"/>
  <c r="J205" i="13"/>
  <c r="Z205" i="13" s="1"/>
  <c r="J196" i="13"/>
  <c r="J203" i="13" s="1"/>
  <c r="AB138" i="13"/>
  <c r="K208" i="13"/>
  <c r="K211" i="13" s="1"/>
  <c r="V205" i="13"/>
  <c r="G208" i="13"/>
  <c r="L208" i="13"/>
  <c r="AA205" i="13"/>
  <c r="F196" i="13"/>
  <c r="F203" i="13" s="1"/>
  <c r="K195" i="13"/>
  <c r="Z139" i="13"/>
  <c r="D208" i="13"/>
  <c r="S208" i="13" s="1"/>
  <c r="S205" i="13"/>
  <c r="T138" i="13"/>
  <c r="E139" i="13"/>
  <c r="V139" i="13"/>
  <c r="G195" i="13"/>
  <c r="F208" i="13"/>
  <c r="I205" i="13"/>
  <c r="I196" i="13"/>
  <c r="I203" i="13" s="1"/>
  <c r="C209" i="13"/>
  <c r="C212" i="13" s="1"/>
  <c r="C213" i="13" s="1"/>
  <c r="L195" i="13"/>
  <c r="AA139" i="13"/>
  <c r="H208" i="13"/>
  <c r="W205" i="13"/>
  <c r="X206" i="13"/>
  <c r="I209" i="13"/>
  <c r="W139" i="13"/>
  <c r="C48" i="2"/>
  <c r="E48" i="2"/>
  <c r="AD212" i="13" l="1"/>
  <c r="N213" i="13"/>
  <c r="AD211" i="13"/>
  <c r="O213" i="13"/>
  <c r="AA208" i="13"/>
  <c r="D211" i="13"/>
  <c r="S211" i="13" s="1"/>
  <c r="X209" i="13"/>
  <c r="W208" i="13"/>
  <c r="V208" i="13"/>
  <c r="I208" i="13"/>
  <c r="X208" i="13" s="1"/>
  <c r="X205" i="13"/>
  <c r="G206" i="13"/>
  <c r="G196" i="13"/>
  <c r="G203" i="13" s="1"/>
  <c r="H212" i="13"/>
  <c r="G211" i="13"/>
  <c r="J208" i="13"/>
  <c r="J211" i="13" s="1"/>
  <c r="Z211" i="13" s="1"/>
  <c r="Y205" i="13"/>
  <c r="M209" i="13"/>
  <c r="AC209" i="13" s="1"/>
  <c r="Y209" i="13"/>
  <c r="L206" i="13"/>
  <c r="L196" i="13"/>
  <c r="L203" i="13" s="1"/>
  <c r="K206" i="13"/>
  <c r="K196" i="13"/>
  <c r="K203" i="13" s="1"/>
  <c r="Q208" i="13"/>
  <c r="Q211" i="13" s="1"/>
  <c r="Q213" i="13" s="1"/>
  <c r="I212" i="13"/>
  <c r="M205" i="13"/>
  <c r="AC205" i="13" s="1"/>
  <c r="M196" i="13"/>
  <c r="M203" i="13" s="1"/>
  <c r="H211" i="13"/>
  <c r="W211" i="13" s="1"/>
  <c r="E195" i="13"/>
  <c r="T139" i="13"/>
  <c r="U139" i="13"/>
  <c r="L211" i="13"/>
  <c r="AA211" i="13" s="1"/>
  <c r="F211" i="13"/>
  <c r="F213" i="13" s="1"/>
  <c r="D206" i="13"/>
  <c r="D196" i="13"/>
  <c r="D203" i="13" s="1"/>
  <c r="E208" i="13"/>
  <c r="T208" i="13" s="1"/>
  <c r="T205" i="13"/>
  <c r="J212" i="13"/>
  <c r="M66" i="12"/>
  <c r="L66" i="12"/>
  <c r="O30" i="9"/>
  <c r="O33" i="9"/>
  <c r="O31" i="9"/>
  <c r="O8" i="9"/>
  <c r="O28" i="9"/>
  <c r="V211" i="13" l="1"/>
  <c r="E211" i="13"/>
  <c r="T211" i="13" s="1"/>
  <c r="U208" i="13"/>
  <c r="Z208" i="13"/>
  <c r="L209" i="13"/>
  <c r="AB209" i="13" s="1"/>
  <c r="AA206" i="13"/>
  <c r="J213" i="13"/>
  <c r="Y212" i="13"/>
  <c r="D209" i="13"/>
  <c r="S209" i="13" s="1"/>
  <c r="S206" i="13"/>
  <c r="K209" i="13"/>
  <c r="Z209" i="13" s="1"/>
  <c r="Z206" i="13"/>
  <c r="H213" i="13"/>
  <c r="I211" i="13"/>
  <c r="X211" i="13" s="1"/>
  <c r="X212" i="13"/>
  <c r="AB206" i="13"/>
  <c r="U211" i="13"/>
  <c r="E206" i="13"/>
  <c r="E196" i="13"/>
  <c r="E203" i="13" s="1"/>
  <c r="M208" i="13"/>
  <c r="AB205" i="13"/>
  <c r="M212" i="13"/>
  <c r="AC212" i="13" s="1"/>
  <c r="Y208" i="13"/>
  <c r="G209" i="13"/>
  <c r="G212" i="13" s="1"/>
  <c r="V206" i="13"/>
  <c r="W206" i="13"/>
  <c r="O41" i="9"/>
  <c r="S8" i="9"/>
  <c r="AB208" i="13" l="1"/>
  <c r="AC208" i="13"/>
  <c r="Y211" i="13"/>
  <c r="V212" i="13"/>
  <c r="G213" i="13"/>
  <c r="M211" i="13"/>
  <c r="D212" i="13"/>
  <c r="K212" i="13"/>
  <c r="AA209" i="13"/>
  <c r="I213" i="13"/>
  <c r="V209" i="13"/>
  <c r="W209" i="13"/>
  <c r="T206" i="13"/>
  <c r="E209" i="13"/>
  <c r="E212" i="13" s="1"/>
  <c r="U206" i="13"/>
  <c r="W212" i="13"/>
  <c r="L212" i="13"/>
  <c r="M50" i="2"/>
  <c r="AB211" i="13" l="1"/>
  <c r="AC211" i="13"/>
  <c r="S212" i="13"/>
  <c r="D213" i="13"/>
  <c r="K213" i="13"/>
  <c r="Z212" i="13"/>
  <c r="T212" i="13"/>
  <c r="E213" i="13"/>
  <c r="U212" i="13"/>
  <c r="M213" i="13"/>
  <c r="AA212" i="13"/>
  <c r="L213" i="13"/>
  <c r="T209" i="13"/>
  <c r="U209" i="13"/>
  <c r="AB212" i="13"/>
  <c r="M160" i="12"/>
  <c r="M157" i="12"/>
  <c r="M159" i="12"/>
  <c r="X131" i="12"/>
  <c r="Y131" i="12"/>
  <c r="X132" i="12"/>
  <c r="Y132" i="12"/>
  <c r="Y66" i="12"/>
  <c r="Y68" i="12"/>
  <c r="Y69" i="12"/>
  <c r="Y71" i="12"/>
  <c r="X68" i="12"/>
  <c r="X69" i="12"/>
  <c r="X71" i="12"/>
  <c r="M80" i="12"/>
  <c r="M4" i="12"/>
  <c r="K26" i="3"/>
  <c r="K8" i="3"/>
  <c r="M120" i="12"/>
  <c r="M119" i="12"/>
  <c r="M115" i="12"/>
  <c r="M100" i="12"/>
  <c r="K32" i="3"/>
  <c r="F40" i="2" l="1"/>
  <c r="C40" i="2"/>
  <c r="C41" i="2"/>
  <c r="C38" i="2"/>
  <c r="F38" i="2"/>
  <c r="F41" i="2"/>
  <c r="M5" i="12" l="1"/>
  <c r="O4" i="12" l="1"/>
  <c r="O5" i="12"/>
  <c r="O6" i="12"/>
  <c r="O7" i="12"/>
  <c r="O8" i="12"/>
  <c r="O9" i="12"/>
  <c r="O10" i="12"/>
  <c r="O12" i="12"/>
  <c r="O13" i="12"/>
  <c r="O14" i="12"/>
  <c r="O15" i="12"/>
  <c r="O17" i="12"/>
  <c r="O19" i="12"/>
  <c r="O21" i="12"/>
  <c r="O22" i="12"/>
  <c r="O23" i="12"/>
  <c r="O24" i="12"/>
  <c r="O25" i="12"/>
  <c r="O26" i="12"/>
  <c r="O27" i="12"/>
  <c r="O28" i="12"/>
  <c r="O29" i="12"/>
  <c r="O30" i="12"/>
  <c r="O31" i="12"/>
  <c r="O33" i="12"/>
  <c r="O36" i="12"/>
  <c r="O37" i="12"/>
  <c r="O38" i="12"/>
  <c r="O44" i="12"/>
  <c r="O45" i="12"/>
  <c r="O47" i="12"/>
  <c r="O48" i="12"/>
  <c r="O49" i="12"/>
  <c r="O50" i="12"/>
  <c r="O51" i="12"/>
  <c r="O52" i="12"/>
  <c r="O53" i="12"/>
  <c r="O54" i="12"/>
  <c r="O55" i="12"/>
  <c r="O56" i="12"/>
  <c r="O58" i="12"/>
  <c r="O59" i="12"/>
  <c r="O62" i="12"/>
  <c r="O63" i="12"/>
  <c r="O64" i="12"/>
  <c r="O68" i="12"/>
  <c r="O69" i="12"/>
  <c r="O71" i="12"/>
  <c r="O80" i="12"/>
  <c r="O84" i="12"/>
  <c r="O86" i="12"/>
  <c r="O89" i="12"/>
  <c r="O93" i="12"/>
  <c r="O97" i="12"/>
  <c r="O98" i="12"/>
  <c r="O100" i="12"/>
  <c r="O104" i="12"/>
  <c r="O105" i="12"/>
  <c r="O106" i="12"/>
  <c r="O111" i="12"/>
  <c r="O115" i="12"/>
  <c r="O117" i="12"/>
  <c r="O118" i="12"/>
  <c r="O119" i="12"/>
  <c r="O120" i="12"/>
  <c r="O121" i="12"/>
  <c r="O123" i="12"/>
  <c r="O124" i="12"/>
  <c r="O127" i="12"/>
  <c r="O132" i="12"/>
  <c r="O147" i="12"/>
  <c r="O149" i="12"/>
  <c r="O150" i="12"/>
  <c r="O151" i="12"/>
  <c r="O152" i="12"/>
  <c r="O155" i="12"/>
  <c r="O156" i="12"/>
  <c r="O159" i="12"/>
  <c r="O160" i="12"/>
  <c r="O162" i="12"/>
  <c r="O163" i="12"/>
  <c r="O164" i="12"/>
  <c r="O165" i="12"/>
  <c r="O168" i="12"/>
  <c r="O170" i="12"/>
  <c r="O177" i="12"/>
  <c r="O178" i="12"/>
  <c r="O180" i="12"/>
  <c r="O181" i="12"/>
  <c r="O182" i="12"/>
  <c r="O183" i="12"/>
  <c r="O184" i="12"/>
  <c r="O187" i="12"/>
  <c r="O188" i="12"/>
  <c r="O189" i="12"/>
  <c r="M125" i="12"/>
  <c r="M123" i="12"/>
  <c r="M110" i="12"/>
  <c r="O110" i="12" s="1"/>
  <c r="M95" i="12"/>
  <c r="O95" i="12" s="1"/>
  <c r="M92" i="12"/>
  <c r="O92" i="12" s="1"/>
  <c r="M91" i="12"/>
  <c r="O91" i="12" s="1"/>
  <c r="K29" i="3"/>
  <c r="M81" i="12"/>
  <c r="O81" i="12" s="1"/>
  <c r="M83" i="12"/>
  <c r="O83" i="12" s="1"/>
  <c r="O157" i="12"/>
  <c r="M167" i="12"/>
  <c r="O167" i="12" s="1"/>
  <c r="L110" i="12"/>
  <c r="M57" i="12"/>
  <c r="O57" i="12" s="1"/>
  <c r="L57" i="12"/>
  <c r="L201" i="12"/>
  <c r="L179" i="12"/>
  <c r="L176" i="12" s="1"/>
  <c r="L200" i="12" s="1"/>
  <c r="M179" i="12"/>
  <c r="M176" i="12" s="1"/>
  <c r="L186" i="12"/>
  <c r="M186" i="12"/>
  <c r="L145" i="12"/>
  <c r="M145" i="12"/>
  <c r="L146" i="12"/>
  <c r="M146" i="12"/>
  <c r="O146" i="12" s="1"/>
  <c r="L153" i="12"/>
  <c r="M153" i="12"/>
  <c r="L157" i="12"/>
  <c r="L158" i="12"/>
  <c r="M158" i="12"/>
  <c r="O158" i="12" s="1"/>
  <c r="L159" i="12"/>
  <c r="L171" i="12"/>
  <c r="M171" i="12"/>
  <c r="O171" i="12" s="1"/>
  <c r="L80" i="12"/>
  <c r="L81" i="12"/>
  <c r="L82" i="12"/>
  <c r="M82" i="12"/>
  <c r="O82" i="12" s="1"/>
  <c r="L86" i="12"/>
  <c r="L85" i="12" s="1"/>
  <c r="M86" i="12"/>
  <c r="M85" i="12" s="1"/>
  <c r="L88" i="12"/>
  <c r="L87" i="12" s="1"/>
  <c r="M88" i="12"/>
  <c r="M87" i="12" s="1"/>
  <c r="O87" i="12" s="1"/>
  <c r="L91" i="12"/>
  <c r="L90" i="12" s="1"/>
  <c r="L96" i="12"/>
  <c r="L94" i="12" s="1"/>
  <c r="M96" i="12"/>
  <c r="L100" i="12"/>
  <c r="L101" i="12"/>
  <c r="M101" i="12"/>
  <c r="O101" i="12" s="1"/>
  <c r="L102" i="12"/>
  <c r="M102" i="12"/>
  <c r="O102" i="12" s="1"/>
  <c r="L107" i="12"/>
  <c r="L103" i="12" s="1"/>
  <c r="M107" i="12"/>
  <c r="M103" i="12" s="1"/>
  <c r="L109" i="12"/>
  <c r="M109" i="12"/>
  <c r="L111" i="12"/>
  <c r="M111" i="12"/>
  <c r="L112" i="12"/>
  <c r="M112" i="12"/>
  <c r="O112" i="12" s="1"/>
  <c r="L113" i="12"/>
  <c r="M113" i="12"/>
  <c r="O113" i="12" s="1"/>
  <c r="L115" i="12"/>
  <c r="M114" i="12"/>
  <c r="L116" i="12"/>
  <c r="M116" i="12"/>
  <c r="O116" i="12" s="1"/>
  <c r="L119" i="12"/>
  <c r="L123" i="12"/>
  <c r="L122" i="12" s="1"/>
  <c r="L126" i="12"/>
  <c r="M126" i="12"/>
  <c r="O126" i="12" s="1"/>
  <c r="L129" i="12"/>
  <c r="L130" i="12"/>
  <c r="X130" i="12" s="1"/>
  <c r="M130" i="12"/>
  <c r="L133" i="12"/>
  <c r="M133" i="12"/>
  <c r="Y133" i="12" s="1"/>
  <c r="L136" i="12"/>
  <c r="M136" i="12"/>
  <c r="L4" i="12"/>
  <c r="L3" i="12" s="1"/>
  <c r="M3" i="12"/>
  <c r="L20" i="12"/>
  <c r="M20" i="12"/>
  <c r="L32" i="12"/>
  <c r="M32" i="12"/>
  <c r="L39" i="12"/>
  <c r="L34" i="12" s="1"/>
  <c r="M39" i="12"/>
  <c r="L40" i="12"/>
  <c r="M40" i="12"/>
  <c r="O40" i="12" s="1"/>
  <c r="L42" i="12"/>
  <c r="M42" i="12"/>
  <c r="L46" i="12"/>
  <c r="M46" i="12"/>
  <c r="O46" i="12" s="1"/>
  <c r="L60" i="12"/>
  <c r="M60" i="12"/>
  <c r="O60" i="12" s="1"/>
  <c r="L61" i="12"/>
  <c r="M61" i="12"/>
  <c r="O61" i="12" s="1"/>
  <c r="L70" i="12"/>
  <c r="M70" i="12"/>
  <c r="L72" i="12"/>
  <c r="M72" i="12"/>
  <c r="O72" i="12" s="1"/>
  <c r="H53" i="2"/>
  <c r="G53" i="2"/>
  <c r="F53" i="2"/>
  <c r="E53" i="2"/>
  <c r="D53" i="2"/>
  <c r="C53" i="2"/>
  <c r="I52" i="2"/>
  <c r="I53" i="2" s="1"/>
  <c r="J53" i="2" s="1"/>
  <c r="H51" i="2"/>
  <c r="G51" i="2"/>
  <c r="E51" i="2"/>
  <c r="D51" i="2"/>
  <c r="D54" i="2" s="1"/>
  <c r="F50" i="2"/>
  <c r="D50" i="2"/>
  <c r="C50" i="2"/>
  <c r="J49" i="2"/>
  <c r="I49" i="2"/>
  <c r="F47" i="2"/>
  <c r="I47" i="2" s="1"/>
  <c r="C47" i="2"/>
  <c r="I48" i="2"/>
  <c r="J48" i="2" s="1"/>
  <c r="I46" i="2"/>
  <c r="J46" i="2" s="1"/>
  <c r="M46" i="2"/>
  <c r="F45" i="2"/>
  <c r="I45" i="2" s="1"/>
  <c r="J45" i="2" s="1"/>
  <c r="F44" i="2"/>
  <c r="I44" i="2" s="1"/>
  <c r="J44" i="2" s="1"/>
  <c r="I43" i="2"/>
  <c r="J43" i="2" s="1"/>
  <c r="I41" i="2"/>
  <c r="J41" i="2" s="1"/>
  <c r="I40" i="2"/>
  <c r="J40" i="2" s="1"/>
  <c r="M40" i="2"/>
  <c r="I39" i="2"/>
  <c r="C39" i="2"/>
  <c r="M39" i="2"/>
  <c r="I38" i="2"/>
  <c r="I37" i="2"/>
  <c r="J37" i="2" s="1"/>
  <c r="F36" i="2"/>
  <c r="I36" i="2" s="1"/>
  <c r="C36" i="2"/>
  <c r="I35" i="2"/>
  <c r="J35" i="2" s="1"/>
  <c r="K36" i="3"/>
  <c r="N186" i="12"/>
  <c r="O186" i="12" s="1"/>
  <c r="K186" i="12"/>
  <c r="J186" i="12"/>
  <c r="J201" i="12" s="1"/>
  <c r="I186" i="12"/>
  <c r="I201" i="12" s="1"/>
  <c r="H186" i="12"/>
  <c r="H201" i="12" s="1"/>
  <c r="G186" i="12"/>
  <c r="G201" i="12" s="1"/>
  <c r="F186" i="12"/>
  <c r="F201" i="12" s="1"/>
  <c r="E186" i="12"/>
  <c r="E201" i="12" s="1"/>
  <c r="D186" i="12"/>
  <c r="D201" i="12" s="1"/>
  <c r="C186" i="12"/>
  <c r="N179" i="12"/>
  <c r="N176" i="12" s="1"/>
  <c r="K179" i="12"/>
  <c r="K176" i="12" s="1"/>
  <c r="K200" i="12" s="1"/>
  <c r="J179" i="12"/>
  <c r="J176" i="12" s="1"/>
  <c r="J200" i="12" s="1"/>
  <c r="I179" i="12"/>
  <c r="I176" i="12" s="1"/>
  <c r="H179" i="12"/>
  <c r="G179" i="12"/>
  <c r="F179" i="12"/>
  <c r="E179" i="12"/>
  <c r="D179" i="12"/>
  <c r="D176" i="12" s="1"/>
  <c r="D200" i="12" s="1"/>
  <c r="C179" i="12"/>
  <c r="C176" i="12" s="1"/>
  <c r="C200" i="12" s="1"/>
  <c r="H176" i="12"/>
  <c r="H200" i="12" s="1"/>
  <c r="G176" i="12"/>
  <c r="G200" i="12" s="1"/>
  <c r="F176" i="12"/>
  <c r="F200" i="12" s="1"/>
  <c r="K171" i="12"/>
  <c r="J171" i="12"/>
  <c r="I171" i="12"/>
  <c r="H171" i="12"/>
  <c r="G171" i="12"/>
  <c r="G154" i="12" s="1"/>
  <c r="F171" i="12"/>
  <c r="F154" i="12" s="1"/>
  <c r="F198" i="12" s="1"/>
  <c r="E171" i="12"/>
  <c r="D171" i="12"/>
  <c r="D154" i="12" s="1"/>
  <c r="D198" i="12" s="1"/>
  <c r="C171" i="12"/>
  <c r="C154" i="12" s="1"/>
  <c r="C198" i="12" s="1"/>
  <c r="K159" i="12"/>
  <c r="K158" i="12"/>
  <c r="J158" i="12"/>
  <c r="J154" i="12" s="1"/>
  <c r="I158" i="12"/>
  <c r="I154" i="12" s="1"/>
  <c r="H158" i="12"/>
  <c r="G158" i="12"/>
  <c r="K157" i="12"/>
  <c r="N154" i="12"/>
  <c r="E154" i="12"/>
  <c r="P153" i="12"/>
  <c r="N153" i="12"/>
  <c r="O153" i="12" s="1"/>
  <c r="K153" i="12"/>
  <c r="J153" i="12"/>
  <c r="I153" i="12"/>
  <c r="H153" i="12"/>
  <c r="G153" i="12"/>
  <c r="F153" i="12"/>
  <c r="E153" i="12"/>
  <c r="D153" i="12"/>
  <c r="D144" i="12" s="1"/>
  <c r="C153" i="12"/>
  <c r="K146" i="12"/>
  <c r="J146" i="12"/>
  <c r="I146" i="12"/>
  <c r="H146" i="12"/>
  <c r="G146" i="12"/>
  <c r="F146" i="12"/>
  <c r="E146" i="12"/>
  <c r="K145" i="12"/>
  <c r="J145" i="12"/>
  <c r="I145" i="12"/>
  <c r="H145" i="12"/>
  <c r="H144" i="12" s="1"/>
  <c r="G145" i="12"/>
  <c r="F145" i="12"/>
  <c r="E145" i="12"/>
  <c r="N144" i="12"/>
  <c r="C144" i="12"/>
  <c r="C197" i="12" s="1"/>
  <c r="N136" i="12"/>
  <c r="O136" i="12" s="1"/>
  <c r="K136" i="12"/>
  <c r="J136" i="12"/>
  <c r="I136" i="12"/>
  <c r="H136" i="12"/>
  <c r="H135" i="12" s="1"/>
  <c r="H137" i="12" s="1"/>
  <c r="G136" i="12"/>
  <c r="F136" i="12"/>
  <c r="E136" i="12"/>
  <c r="D136" i="12"/>
  <c r="D135" i="12" s="1"/>
  <c r="D137" i="12" s="1"/>
  <c r="C136" i="12"/>
  <c r="N133" i="12"/>
  <c r="O133" i="12" s="1"/>
  <c r="K133" i="12"/>
  <c r="J133" i="12"/>
  <c r="I133" i="12"/>
  <c r="H133" i="12"/>
  <c r="G133" i="12"/>
  <c r="F133" i="12"/>
  <c r="E133" i="12"/>
  <c r="D133" i="12"/>
  <c r="C133" i="12"/>
  <c r="W132" i="12"/>
  <c r="V132" i="12"/>
  <c r="U132" i="12"/>
  <c r="T132" i="12"/>
  <c r="S132" i="12"/>
  <c r="R132" i="12"/>
  <c r="Q132" i="12"/>
  <c r="P132" i="12"/>
  <c r="W131" i="12"/>
  <c r="V131" i="12"/>
  <c r="U131" i="12"/>
  <c r="T131" i="12"/>
  <c r="S131" i="12"/>
  <c r="R131" i="12"/>
  <c r="Q131" i="12"/>
  <c r="P131" i="12"/>
  <c r="N130" i="12"/>
  <c r="O130" i="12" s="1"/>
  <c r="K130" i="12"/>
  <c r="J130" i="12"/>
  <c r="I130" i="12"/>
  <c r="H130" i="12"/>
  <c r="G130" i="12"/>
  <c r="F130" i="12"/>
  <c r="E130" i="12"/>
  <c r="D130" i="12"/>
  <c r="C130" i="12"/>
  <c r="N129" i="12"/>
  <c r="D129" i="12"/>
  <c r="C129" i="12"/>
  <c r="K126" i="12"/>
  <c r="J126" i="12"/>
  <c r="I126" i="12"/>
  <c r="H126" i="12"/>
  <c r="G126" i="12"/>
  <c r="K123" i="12"/>
  <c r="J123" i="12"/>
  <c r="J122" i="12" s="1"/>
  <c r="I123" i="12"/>
  <c r="H123" i="12"/>
  <c r="H122" i="12" s="1"/>
  <c r="G123" i="12"/>
  <c r="F123" i="12"/>
  <c r="E123" i="12"/>
  <c r="E122" i="12" s="1"/>
  <c r="D123" i="12"/>
  <c r="D122" i="12" s="1"/>
  <c r="C123" i="12"/>
  <c r="N122" i="12"/>
  <c r="F122" i="12"/>
  <c r="C122" i="12"/>
  <c r="K119" i="12"/>
  <c r="J119" i="12"/>
  <c r="I119" i="12"/>
  <c r="H119" i="12"/>
  <c r="H114" i="12" s="1"/>
  <c r="G119" i="12"/>
  <c r="F119" i="12"/>
  <c r="E119" i="12"/>
  <c r="K116" i="12"/>
  <c r="J116" i="12"/>
  <c r="I116" i="12"/>
  <c r="K115" i="12"/>
  <c r="J115" i="12"/>
  <c r="I115" i="12"/>
  <c r="H115" i="12"/>
  <c r="G115" i="12"/>
  <c r="F115" i="12"/>
  <c r="F114" i="12" s="1"/>
  <c r="E115" i="12"/>
  <c r="D115" i="12"/>
  <c r="C115" i="12"/>
  <c r="N114" i="12"/>
  <c r="O114" i="12" s="1"/>
  <c r="D114" i="12"/>
  <c r="C114" i="12"/>
  <c r="K113" i="12"/>
  <c r="K112" i="12"/>
  <c r="J112" i="12"/>
  <c r="I112" i="12"/>
  <c r="H112" i="12"/>
  <c r="G112" i="12"/>
  <c r="K111" i="12"/>
  <c r="J111" i="12"/>
  <c r="I111" i="12"/>
  <c r="K110" i="12"/>
  <c r="J110" i="12"/>
  <c r="I110" i="12"/>
  <c r="H110" i="12"/>
  <c r="G110" i="12"/>
  <c r="F110" i="12"/>
  <c r="F108" i="12" s="1"/>
  <c r="E110" i="12"/>
  <c r="E108" i="12" s="1"/>
  <c r="K109" i="12"/>
  <c r="J109" i="12"/>
  <c r="I109" i="12"/>
  <c r="H109" i="12"/>
  <c r="G109" i="12"/>
  <c r="N108" i="12"/>
  <c r="D108" i="12"/>
  <c r="C108" i="12"/>
  <c r="K107" i="12"/>
  <c r="J107" i="12"/>
  <c r="J103" i="12" s="1"/>
  <c r="I107" i="12"/>
  <c r="H107" i="12"/>
  <c r="G107" i="12"/>
  <c r="G103" i="12" s="1"/>
  <c r="O103" i="12"/>
  <c r="I103" i="12"/>
  <c r="H103" i="12"/>
  <c r="F103" i="12"/>
  <c r="E103" i="12"/>
  <c r="D103" i="12"/>
  <c r="C103" i="12"/>
  <c r="K102" i="12"/>
  <c r="J102" i="12"/>
  <c r="I102" i="12"/>
  <c r="H102" i="12"/>
  <c r="G102" i="12"/>
  <c r="K101" i="12"/>
  <c r="J101" i="12"/>
  <c r="I101" i="12"/>
  <c r="H101" i="12"/>
  <c r="G101" i="12"/>
  <c r="K100" i="12"/>
  <c r="J100" i="12"/>
  <c r="I100" i="12"/>
  <c r="H100" i="12"/>
  <c r="G100" i="12"/>
  <c r="N99" i="12"/>
  <c r="F99" i="12"/>
  <c r="E99" i="12"/>
  <c r="D99" i="12"/>
  <c r="C99" i="12"/>
  <c r="K96" i="12"/>
  <c r="K94" i="12" s="1"/>
  <c r="J96" i="12"/>
  <c r="J94" i="12" s="1"/>
  <c r="I96" i="12"/>
  <c r="I94" i="12" s="1"/>
  <c r="H96" i="12"/>
  <c r="G96" i="12"/>
  <c r="N94" i="12"/>
  <c r="H94" i="12"/>
  <c r="G94" i="12"/>
  <c r="F94" i="12"/>
  <c r="E94" i="12"/>
  <c r="D94" i="12"/>
  <c r="C94" i="12"/>
  <c r="K91" i="12"/>
  <c r="N90" i="12"/>
  <c r="K90" i="12"/>
  <c r="J90" i="12"/>
  <c r="I90" i="12"/>
  <c r="H90" i="12"/>
  <c r="G90" i="12"/>
  <c r="F90" i="12"/>
  <c r="E90" i="12"/>
  <c r="D90" i="12"/>
  <c r="C90" i="12"/>
  <c r="K88" i="12"/>
  <c r="K87" i="12" s="1"/>
  <c r="J88" i="12"/>
  <c r="I88" i="12"/>
  <c r="I87" i="12" s="1"/>
  <c r="H88" i="12"/>
  <c r="H87" i="12" s="1"/>
  <c r="G88" i="12"/>
  <c r="G87" i="12" s="1"/>
  <c r="F88" i="12"/>
  <c r="F87" i="12" s="1"/>
  <c r="E88" i="12"/>
  <c r="N87" i="12"/>
  <c r="J87" i="12"/>
  <c r="E87" i="12"/>
  <c r="D87" i="12"/>
  <c r="C87" i="12"/>
  <c r="K86" i="12"/>
  <c r="J86" i="12"/>
  <c r="J85" i="12" s="1"/>
  <c r="I86" i="12"/>
  <c r="I85" i="12" s="1"/>
  <c r="H86" i="12"/>
  <c r="H85" i="12" s="1"/>
  <c r="G86" i="12"/>
  <c r="G85" i="12" s="1"/>
  <c r="F86" i="12"/>
  <c r="F85" i="12" s="1"/>
  <c r="E86" i="12"/>
  <c r="N85" i="12"/>
  <c r="O85" i="12" s="1"/>
  <c r="K85" i="12"/>
  <c r="E85" i="12"/>
  <c r="D85" i="12"/>
  <c r="C85" i="12"/>
  <c r="K82" i="12"/>
  <c r="J82" i="12"/>
  <c r="I82" i="12"/>
  <c r="H82" i="12"/>
  <c r="G82" i="12"/>
  <c r="F82" i="12"/>
  <c r="E82" i="12"/>
  <c r="D82" i="12"/>
  <c r="C82" i="12"/>
  <c r="K81" i="12"/>
  <c r="J81" i="12"/>
  <c r="I81" i="12"/>
  <c r="K80" i="12"/>
  <c r="J80" i="12"/>
  <c r="I80" i="12"/>
  <c r="I79" i="12" s="1"/>
  <c r="H80" i="12"/>
  <c r="G80" i="12"/>
  <c r="F80" i="12"/>
  <c r="F79" i="12" s="1"/>
  <c r="E80" i="12"/>
  <c r="E79" i="12" s="1"/>
  <c r="D80" i="12"/>
  <c r="C80" i="12"/>
  <c r="N79" i="12"/>
  <c r="D79" i="12"/>
  <c r="N72" i="12"/>
  <c r="K72" i="12"/>
  <c r="J72" i="12"/>
  <c r="I72" i="12"/>
  <c r="H72" i="12"/>
  <c r="G72" i="12"/>
  <c r="F72" i="12"/>
  <c r="E72" i="12"/>
  <c r="D72" i="12"/>
  <c r="C72" i="12"/>
  <c r="W71" i="12"/>
  <c r="V71" i="12"/>
  <c r="U71" i="12"/>
  <c r="T71" i="12"/>
  <c r="S71" i="12"/>
  <c r="R71" i="12"/>
  <c r="Q71" i="12"/>
  <c r="P71" i="12"/>
  <c r="N70" i="12"/>
  <c r="K70" i="12"/>
  <c r="J70" i="12"/>
  <c r="I70" i="12"/>
  <c r="H70" i="12"/>
  <c r="H73" i="12" s="1"/>
  <c r="G70" i="12"/>
  <c r="S70" i="12" s="1"/>
  <c r="F70" i="12"/>
  <c r="E70" i="12"/>
  <c r="D70" i="12"/>
  <c r="D73" i="12" s="1"/>
  <c r="C70" i="12"/>
  <c r="W69" i="12"/>
  <c r="V69" i="12"/>
  <c r="U69" i="12"/>
  <c r="T69" i="12"/>
  <c r="S69" i="12"/>
  <c r="R69" i="12"/>
  <c r="Q69" i="12"/>
  <c r="P69" i="12"/>
  <c r="W68" i="12"/>
  <c r="V68" i="12"/>
  <c r="U68" i="12"/>
  <c r="T68" i="12"/>
  <c r="S68" i="12"/>
  <c r="R68" i="12"/>
  <c r="Q68" i="12"/>
  <c r="P68" i="12"/>
  <c r="P66" i="12"/>
  <c r="K66" i="12"/>
  <c r="K129" i="12" s="1"/>
  <c r="J66" i="12"/>
  <c r="I66" i="12"/>
  <c r="I129" i="12" s="1"/>
  <c r="H66" i="12"/>
  <c r="H129" i="12" s="1"/>
  <c r="G66" i="12"/>
  <c r="G129" i="12" s="1"/>
  <c r="F66" i="12"/>
  <c r="F129" i="12" s="1"/>
  <c r="E66" i="12"/>
  <c r="E129" i="12" s="1"/>
  <c r="K61" i="12"/>
  <c r="J61" i="12"/>
  <c r="I61" i="12"/>
  <c r="H61" i="12"/>
  <c r="G61" i="12"/>
  <c r="F61" i="12"/>
  <c r="E61" i="12"/>
  <c r="D61" i="12"/>
  <c r="C61" i="12"/>
  <c r="C41" i="12" s="1"/>
  <c r="K60" i="12"/>
  <c r="J60" i="12"/>
  <c r="I60" i="12"/>
  <c r="H60" i="12"/>
  <c r="G60" i="12"/>
  <c r="F60" i="12"/>
  <c r="E60" i="12"/>
  <c r="K57" i="12"/>
  <c r="J57" i="12"/>
  <c r="I57" i="12"/>
  <c r="H57" i="12"/>
  <c r="G57" i="12"/>
  <c r="F57" i="12"/>
  <c r="E57" i="12"/>
  <c r="K46" i="12"/>
  <c r="J46" i="12"/>
  <c r="I46" i="12"/>
  <c r="H46" i="12"/>
  <c r="G46" i="12"/>
  <c r="K42" i="12"/>
  <c r="J42" i="12"/>
  <c r="I42" i="12"/>
  <c r="H42" i="12"/>
  <c r="G42" i="12"/>
  <c r="N41" i="12"/>
  <c r="D41" i="12"/>
  <c r="K40" i="12"/>
  <c r="J40" i="12"/>
  <c r="I40" i="12"/>
  <c r="F40" i="12"/>
  <c r="F34" i="12" s="1"/>
  <c r="E40" i="12"/>
  <c r="D40" i="12"/>
  <c r="D34" i="12" s="1"/>
  <c r="C40" i="12"/>
  <c r="C34" i="12" s="1"/>
  <c r="K39" i="12"/>
  <c r="J39" i="12"/>
  <c r="I39" i="12"/>
  <c r="H39" i="12"/>
  <c r="H34" i="12" s="1"/>
  <c r="G39" i="12"/>
  <c r="G34" i="12" s="1"/>
  <c r="F39" i="12"/>
  <c r="E39" i="12"/>
  <c r="N34" i="12"/>
  <c r="K34" i="12"/>
  <c r="E34" i="12"/>
  <c r="N32" i="12"/>
  <c r="K32" i="12"/>
  <c r="J32" i="12"/>
  <c r="I32" i="12"/>
  <c r="H32" i="12"/>
  <c r="G32" i="12"/>
  <c r="F32" i="12"/>
  <c r="E32" i="12"/>
  <c r="D32" i="12"/>
  <c r="C32" i="12"/>
  <c r="K20" i="12"/>
  <c r="X31" i="12" s="1"/>
  <c r="J20" i="12"/>
  <c r="W31" i="12" s="1"/>
  <c r="I20" i="12"/>
  <c r="V31" i="12" s="1"/>
  <c r="H20" i="12"/>
  <c r="H11" i="12" s="1"/>
  <c r="G20" i="12"/>
  <c r="T31" i="12" s="1"/>
  <c r="F20" i="12"/>
  <c r="S31" i="12" s="1"/>
  <c r="E20" i="12"/>
  <c r="R31" i="12" s="1"/>
  <c r="D20" i="12"/>
  <c r="Q31" i="12" s="1"/>
  <c r="C20" i="12"/>
  <c r="C11" i="12" s="1"/>
  <c r="X16" i="12"/>
  <c r="W16" i="12"/>
  <c r="V16" i="12"/>
  <c r="U16" i="12"/>
  <c r="T16" i="12"/>
  <c r="S16" i="12"/>
  <c r="R16" i="12"/>
  <c r="Q16" i="12"/>
  <c r="P16" i="12"/>
  <c r="N11" i="12"/>
  <c r="J11" i="12"/>
  <c r="F11" i="12"/>
  <c r="X10" i="12"/>
  <c r="W10" i="12"/>
  <c r="V10" i="12"/>
  <c r="U10" i="12"/>
  <c r="T10" i="12"/>
  <c r="S10" i="12"/>
  <c r="R10" i="12"/>
  <c r="Q10" i="12"/>
  <c r="P10" i="12"/>
  <c r="K4" i="12"/>
  <c r="J4" i="12"/>
  <c r="J3" i="12" s="1"/>
  <c r="I4" i="12"/>
  <c r="I3" i="12" s="1"/>
  <c r="N3" i="12"/>
  <c r="K3" i="12"/>
  <c r="H3" i="12"/>
  <c r="G3" i="12"/>
  <c r="F3" i="12"/>
  <c r="E3" i="12"/>
  <c r="D3" i="12"/>
  <c r="C3" i="12"/>
  <c r="O37" i="9"/>
  <c r="O35" i="9"/>
  <c r="O27" i="9"/>
  <c r="O17" i="9"/>
  <c r="O13" i="9"/>
  <c r="O7" i="9"/>
  <c r="K48" i="3"/>
  <c r="K42" i="3"/>
  <c r="K15" i="3"/>
  <c r="K12" i="3"/>
  <c r="K7" i="3"/>
  <c r="L135" i="12" l="1"/>
  <c r="X136" i="12"/>
  <c r="K122" i="12"/>
  <c r="Q133" i="12"/>
  <c r="M201" i="12"/>
  <c r="Y186" i="12"/>
  <c r="L202" i="12"/>
  <c r="D11" i="12"/>
  <c r="D67" i="12" s="1"/>
  <c r="D74" i="12" s="1"/>
  <c r="O32" i="12"/>
  <c r="I34" i="12"/>
  <c r="J34" i="12"/>
  <c r="J67" i="12" s="1"/>
  <c r="J74" i="12" s="1"/>
  <c r="G99" i="12"/>
  <c r="I122" i="12"/>
  <c r="Q155" i="12"/>
  <c r="P181" i="12"/>
  <c r="X133" i="12"/>
  <c r="X186" i="12"/>
  <c r="O107" i="12"/>
  <c r="L11" i="12"/>
  <c r="Y31" i="12"/>
  <c r="X176" i="12"/>
  <c r="K11" i="12"/>
  <c r="I108" i="12"/>
  <c r="G122" i="12"/>
  <c r="U133" i="12"/>
  <c r="M73" i="12"/>
  <c r="Y72" i="12"/>
  <c r="H41" i="12"/>
  <c r="E41" i="12"/>
  <c r="R72" i="12"/>
  <c r="V72" i="12"/>
  <c r="P133" i="12"/>
  <c r="H154" i="12"/>
  <c r="H198" i="12" s="1"/>
  <c r="Y70" i="12"/>
  <c r="M11" i="12"/>
  <c r="O11" i="12" s="1"/>
  <c r="Z31" i="12"/>
  <c r="M135" i="12"/>
  <c r="Y136" i="12"/>
  <c r="Y130" i="12"/>
  <c r="M79" i="12"/>
  <c r="M200" i="12"/>
  <c r="Y176" i="12"/>
  <c r="H54" i="2"/>
  <c r="J47" i="2"/>
  <c r="G54" i="2"/>
  <c r="J36" i="2"/>
  <c r="L134" i="12"/>
  <c r="X129" i="12"/>
  <c r="O79" i="12"/>
  <c r="O20" i="9"/>
  <c r="O23" i="9" s="1"/>
  <c r="O90" i="12"/>
  <c r="Q66" i="12"/>
  <c r="N200" i="12"/>
  <c r="O176" i="12"/>
  <c r="L114" i="12"/>
  <c r="L108" i="12"/>
  <c r="L99" i="12"/>
  <c r="M144" i="12"/>
  <c r="M197" i="12" s="1"/>
  <c r="O145" i="12"/>
  <c r="O125" i="12"/>
  <c r="M122" i="12"/>
  <c r="O122" i="12" s="1"/>
  <c r="O179" i="12"/>
  <c r="P31" i="12"/>
  <c r="I41" i="12"/>
  <c r="J129" i="12"/>
  <c r="V129" i="12" s="1"/>
  <c r="V66" i="12"/>
  <c r="R66" i="12"/>
  <c r="N73" i="12"/>
  <c r="O70" i="12"/>
  <c r="N128" i="12"/>
  <c r="E144" i="12"/>
  <c r="E197" i="12" s="1"/>
  <c r="I144" i="12"/>
  <c r="I197" i="12" s="1"/>
  <c r="N198" i="12"/>
  <c r="M129" i="12"/>
  <c r="Y129" i="12" s="1"/>
  <c r="O66" i="12"/>
  <c r="M41" i="12"/>
  <c r="O41" i="12" s="1"/>
  <c r="O39" i="12"/>
  <c r="M34" i="12"/>
  <c r="O34" i="12" s="1"/>
  <c r="O20" i="12"/>
  <c r="N67" i="12"/>
  <c r="N74" i="12" s="1"/>
  <c r="G11" i="12"/>
  <c r="F41" i="12"/>
  <c r="F67" i="12" s="1"/>
  <c r="F74" i="12" s="1"/>
  <c r="J41" i="12"/>
  <c r="S66" i="12"/>
  <c r="E114" i="12"/>
  <c r="E128" i="12" s="1"/>
  <c r="I114" i="12"/>
  <c r="I128" i="12" s="1"/>
  <c r="G114" i="12"/>
  <c r="Q136" i="12"/>
  <c r="U136" i="12"/>
  <c r="I135" i="12"/>
  <c r="U135" i="12" s="1"/>
  <c r="C199" i="12"/>
  <c r="E198" i="12"/>
  <c r="X72" i="12"/>
  <c r="L73" i="12"/>
  <c r="X73" i="12" s="1"/>
  <c r="X66" i="12"/>
  <c r="U31" i="12"/>
  <c r="W66" i="12"/>
  <c r="F73" i="12"/>
  <c r="J73" i="12"/>
  <c r="H79" i="12"/>
  <c r="J99" i="12"/>
  <c r="I99" i="12"/>
  <c r="G108" i="12"/>
  <c r="H108" i="12"/>
  <c r="J114" i="12"/>
  <c r="D134" i="12"/>
  <c r="U130" i="12"/>
  <c r="W133" i="12"/>
  <c r="O3" i="12"/>
  <c r="M108" i="12"/>
  <c r="O108" i="12" s="1"/>
  <c r="O109" i="12"/>
  <c r="M99" i="12"/>
  <c r="O99" i="12" s="1"/>
  <c r="M90" i="12"/>
  <c r="L154" i="12"/>
  <c r="O42" i="12"/>
  <c r="K154" i="12"/>
  <c r="K198" i="12" s="1"/>
  <c r="M94" i="12"/>
  <c r="O94" i="12" s="1"/>
  <c r="L79" i="12"/>
  <c r="L144" i="12"/>
  <c r="L197" i="12" s="1"/>
  <c r="G41" i="12"/>
  <c r="G67" i="12" s="1"/>
  <c r="K41" i="12"/>
  <c r="H134" i="12"/>
  <c r="E73" i="12"/>
  <c r="Q73" i="12" s="1"/>
  <c r="I73" i="12"/>
  <c r="U73" i="12" s="1"/>
  <c r="S72" i="12"/>
  <c r="W72" i="12"/>
  <c r="C79" i="12"/>
  <c r="C128" i="12" s="1"/>
  <c r="G79" i="12"/>
  <c r="G128" i="12" s="1"/>
  <c r="K79" i="12"/>
  <c r="R130" i="12"/>
  <c r="F144" i="12"/>
  <c r="F197" i="12" s="1"/>
  <c r="F199" i="12" s="1"/>
  <c r="J144" i="12"/>
  <c r="J197" i="12" s="1"/>
  <c r="G144" i="12"/>
  <c r="U186" i="12"/>
  <c r="X70" i="12"/>
  <c r="O135" i="12"/>
  <c r="O96" i="12"/>
  <c r="O88" i="12"/>
  <c r="K25" i="3"/>
  <c r="K50" i="3" s="1"/>
  <c r="K53" i="3" s="1"/>
  <c r="J38" i="2"/>
  <c r="M154" i="12"/>
  <c r="M202" i="12"/>
  <c r="L41" i="12"/>
  <c r="N134" i="12"/>
  <c r="Q130" i="12"/>
  <c r="P129" i="12"/>
  <c r="V130" i="12"/>
  <c r="P72" i="12"/>
  <c r="T72" i="12"/>
  <c r="W130" i="12"/>
  <c r="R133" i="12"/>
  <c r="V133" i="12"/>
  <c r="E135" i="12"/>
  <c r="E137" i="12" s="1"/>
  <c r="Q137" i="12" s="1"/>
  <c r="U155" i="12"/>
  <c r="R155" i="12"/>
  <c r="J202" i="12"/>
  <c r="S176" i="12"/>
  <c r="P186" i="12"/>
  <c r="W186" i="12"/>
  <c r="I198" i="12"/>
  <c r="I199" i="12" s="1"/>
  <c r="H67" i="12"/>
  <c r="H74" i="12" s="1"/>
  <c r="C73" i="12"/>
  <c r="P73" i="12" s="1"/>
  <c r="G73" i="12"/>
  <c r="S73" i="12" s="1"/>
  <c r="K73" i="12"/>
  <c r="W70" i="12"/>
  <c r="F202" i="12"/>
  <c r="W176" i="12"/>
  <c r="D128" i="12"/>
  <c r="R136" i="12"/>
  <c r="V136" i="12"/>
  <c r="G202" i="12"/>
  <c r="Q186" i="12"/>
  <c r="M51" i="2"/>
  <c r="E54" i="2"/>
  <c r="J52" i="2"/>
  <c r="C51" i="2"/>
  <c r="C54" i="2" s="1"/>
  <c r="F51" i="2"/>
  <c r="F54" i="2" s="1"/>
  <c r="F55" i="2" s="1"/>
  <c r="F57" i="2" s="1"/>
  <c r="I50" i="2"/>
  <c r="J50" i="2" s="1"/>
  <c r="J39" i="2"/>
  <c r="E55" i="2"/>
  <c r="K18" i="3"/>
  <c r="K21" i="3" s="1"/>
  <c r="F134" i="12"/>
  <c r="R129" i="12"/>
  <c r="C67" i="12"/>
  <c r="H138" i="12"/>
  <c r="K99" i="12"/>
  <c r="T144" i="12"/>
  <c r="H197" i="12"/>
  <c r="H199" i="12" s="1"/>
  <c r="U144" i="12"/>
  <c r="V176" i="12"/>
  <c r="U176" i="12"/>
  <c r="I200" i="12"/>
  <c r="I202" i="12" s="1"/>
  <c r="E11" i="12"/>
  <c r="E67" i="12" s="1"/>
  <c r="I11" i="12"/>
  <c r="E134" i="12"/>
  <c r="Q129" i="12"/>
  <c r="I134" i="12"/>
  <c r="U129" i="12"/>
  <c r="T66" i="12"/>
  <c r="P70" i="12"/>
  <c r="T70" i="12"/>
  <c r="F128" i="12"/>
  <c r="J79" i="12"/>
  <c r="H99" i="12"/>
  <c r="J108" i="12"/>
  <c r="T129" i="12"/>
  <c r="S144" i="12"/>
  <c r="G197" i="12"/>
  <c r="K144" i="12"/>
  <c r="J198" i="12"/>
  <c r="V155" i="12"/>
  <c r="P179" i="12"/>
  <c r="E176" i="12"/>
  <c r="U66" i="12"/>
  <c r="Q70" i="12"/>
  <c r="U70" i="12"/>
  <c r="Q72" i="12"/>
  <c r="U72" i="12"/>
  <c r="K114" i="12"/>
  <c r="C134" i="12"/>
  <c r="P130" i="12"/>
  <c r="T130" i="12"/>
  <c r="S130" i="12"/>
  <c r="P136" i="12"/>
  <c r="C135" i="12"/>
  <c r="T136" i="12"/>
  <c r="S136" i="12"/>
  <c r="G135" i="12"/>
  <c r="W136" i="12"/>
  <c r="K135" i="12"/>
  <c r="R73" i="12"/>
  <c r="G134" i="12"/>
  <c r="S129" i="12"/>
  <c r="K134" i="12"/>
  <c r="R70" i="12"/>
  <c r="V70" i="12"/>
  <c r="K103" i="12"/>
  <c r="T133" i="12"/>
  <c r="S133" i="12"/>
  <c r="D138" i="12"/>
  <c r="F135" i="12"/>
  <c r="J135" i="12"/>
  <c r="N137" i="12"/>
  <c r="P147" i="12"/>
  <c r="Q147" i="12" s="1"/>
  <c r="D202" i="12"/>
  <c r="H202" i="12"/>
  <c r="K201" i="12"/>
  <c r="K202" i="12" s="1"/>
  <c r="K108" i="12"/>
  <c r="P144" i="12"/>
  <c r="D197" i="12"/>
  <c r="D199" i="12" s="1"/>
  <c r="N197" i="12"/>
  <c r="P154" i="12"/>
  <c r="G198" i="12"/>
  <c r="S155" i="12"/>
  <c r="T186" i="12"/>
  <c r="S186" i="12"/>
  <c r="C201" i="12"/>
  <c r="C202" i="12" s="1"/>
  <c r="P176" i="12"/>
  <c r="T176" i="12"/>
  <c r="R186" i="12"/>
  <c r="V186" i="12"/>
  <c r="N201" i="12"/>
  <c r="P155" i="12"/>
  <c r="T155" i="12"/>
  <c r="O39" i="9"/>
  <c r="O42" i="9" s="1"/>
  <c r="K91" i="11"/>
  <c r="K113" i="11"/>
  <c r="I51" i="2" l="1"/>
  <c r="I54" i="2" s="1"/>
  <c r="N202" i="12"/>
  <c r="L198" i="12"/>
  <c r="X155" i="12"/>
  <c r="V73" i="12"/>
  <c r="O73" i="12"/>
  <c r="L128" i="12"/>
  <c r="O144" i="12"/>
  <c r="M137" i="12"/>
  <c r="O137" i="12" s="1"/>
  <c r="Y135" i="12"/>
  <c r="L67" i="12"/>
  <c r="L74" i="12" s="1"/>
  <c r="L199" i="12"/>
  <c r="Q128" i="12"/>
  <c r="Y73" i="12"/>
  <c r="W155" i="12"/>
  <c r="J134" i="12"/>
  <c r="V134" i="12" s="1"/>
  <c r="I137" i="12"/>
  <c r="U137" i="12" s="1"/>
  <c r="M198" i="12"/>
  <c r="M199" i="12" s="1"/>
  <c r="Y155" i="12"/>
  <c r="K67" i="12"/>
  <c r="K74" i="12" s="1"/>
  <c r="E199" i="12"/>
  <c r="L137" i="12"/>
  <c r="X135" i="12"/>
  <c r="I67" i="12"/>
  <c r="U67" i="12" s="1"/>
  <c r="M67" i="12"/>
  <c r="M74" i="12" s="1"/>
  <c r="X134" i="12"/>
  <c r="O43" i="9"/>
  <c r="O154" i="12"/>
  <c r="M134" i="12"/>
  <c r="M138" i="12" s="1"/>
  <c r="O129" i="12"/>
  <c r="V144" i="12"/>
  <c r="H128" i="12"/>
  <c r="H139" i="12" s="1"/>
  <c r="C74" i="12"/>
  <c r="C194" i="12" s="1"/>
  <c r="C205" i="12" s="1"/>
  <c r="M128" i="12"/>
  <c r="N199" i="12"/>
  <c r="R144" i="12"/>
  <c r="W129" i="12"/>
  <c r="W73" i="12"/>
  <c r="Q144" i="12"/>
  <c r="K54" i="3"/>
  <c r="O67" i="12"/>
  <c r="D139" i="12"/>
  <c r="Q135" i="12"/>
  <c r="P128" i="12"/>
  <c r="T67" i="12"/>
  <c r="T73" i="12"/>
  <c r="P67" i="12"/>
  <c r="J51" i="2"/>
  <c r="J54" i="2"/>
  <c r="E74" i="12"/>
  <c r="R74" i="12" s="1"/>
  <c r="Q67" i="12"/>
  <c r="R67" i="12"/>
  <c r="T128" i="12"/>
  <c r="U128" i="12"/>
  <c r="I74" i="12"/>
  <c r="V74" i="12" s="1"/>
  <c r="S134" i="12"/>
  <c r="G199" i="12"/>
  <c r="U134" i="12"/>
  <c r="I138" i="12"/>
  <c r="D195" i="12"/>
  <c r="D206" i="12" s="1"/>
  <c r="J137" i="12"/>
  <c r="V137" i="12" s="1"/>
  <c r="V135" i="12"/>
  <c r="K137" i="12"/>
  <c r="W135" i="12"/>
  <c r="S128" i="12"/>
  <c r="J128" i="12"/>
  <c r="J194" i="12"/>
  <c r="D194" i="12"/>
  <c r="K128" i="12"/>
  <c r="R176" i="12"/>
  <c r="Q176" i="12"/>
  <c r="E200" i="12"/>
  <c r="E202" i="12" s="1"/>
  <c r="F137" i="12"/>
  <c r="R137" i="12" s="1"/>
  <c r="R135" i="12"/>
  <c r="P134" i="12"/>
  <c r="W134" i="12"/>
  <c r="C137" i="12"/>
  <c r="P137" i="12" s="1"/>
  <c r="P135" i="12"/>
  <c r="W144" i="12"/>
  <c r="K197" i="12"/>
  <c r="K199" i="12" s="1"/>
  <c r="R128" i="12"/>
  <c r="E138" i="12"/>
  <c r="Q134" i="12"/>
  <c r="S67" i="12"/>
  <c r="G74" i="12"/>
  <c r="T74" i="12" s="1"/>
  <c r="N194" i="12"/>
  <c r="R134" i="12"/>
  <c r="G137" i="12"/>
  <c r="S135" i="12"/>
  <c r="T135" i="12"/>
  <c r="J199" i="12"/>
  <c r="N138" i="12"/>
  <c r="F194" i="12"/>
  <c r="H194" i="12"/>
  <c r="T134" i="12"/>
  <c r="J138" i="12"/>
  <c r="O155" i="11"/>
  <c r="P155" i="11"/>
  <c r="Q155" i="11"/>
  <c r="R155" i="11"/>
  <c r="S155" i="11"/>
  <c r="T155" i="11"/>
  <c r="U155" i="11"/>
  <c r="U186" i="11"/>
  <c r="O176" i="11"/>
  <c r="P176" i="11"/>
  <c r="Q176" i="11"/>
  <c r="R176" i="11"/>
  <c r="S176" i="11"/>
  <c r="T176" i="11"/>
  <c r="U176" i="11"/>
  <c r="D213" i="11"/>
  <c r="E213" i="11"/>
  <c r="F213" i="11"/>
  <c r="G213" i="11"/>
  <c r="H213" i="11"/>
  <c r="I213" i="11"/>
  <c r="J213" i="11"/>
  <c r="L213" i="11"/>
  <c r="C213" i="11"/>
  <c r="O31" i="11"/>
  <c r="P31" i="11"/>
  <c r="Q31" i="11"/>
  <c r="R31" i="11"/>
  <c r="S31" i="11"/>
  <c r="T31" i="11"/>
  <c r="U31" i="11"/>
  <c r="V31" i="11"/>
  <c r="W31" i="11"/>
  <c r="U16" i="11"/>
  <c r="V16" i="11"/>
  <c r="W16" i="11"/>
  <c r="V10" i="11"/>
  <c r="W10" i="11"/>
  <c r="O10" i="11"/>
  <c r="P10" i="11"/>
  <c r="Q10" i="11"/>
  <c r="R10" i="11"/>
  <c r="S10" i="11"/>
  <c r="T10" i="11"/>
  <c r="U10" i="11"/>
  <c r="S16" i="11"/>
  <c r="T16" i="11"/>
  <c r="O16" i="11"/>
  <c r="P16" i="11"/>
  <c r="Q16" i="11"/>
  <c r="R16" i="11"/>
  <c r="K194" i="12" l="1"/>
  <c r="W74" i="12"/>
  <c r="W67" i="12"/>
  <c r="Y138" i="12"/>
  <c r="X128" i="12"/>
  <c r="V67" i="12"/>
  <c r="X67" i="12"/>
  <c r="Y67" i="12"/>
  <c r="X137" i="12"/>
  <c r="M139" i="12"/>
  <c r="Y128" i="12"/>
  <c r="O128" i="12"/>
  <c r="Y137" i="12"/>
  <c r="L138" i="12"/>
  <c r="X138" i="12" s="1"/>
  <c r="Y134" i="12"/>
  <c r="Y74" i="12"/>
  <c r="O138" i="12"/>
  <c r="P74" i="12"/>
  <c r="L194" i="12"/>
  <c r="X74" i="12"/>
  <c r="W137" i="12"/>
  <c r="O134" i="12"/>
  <c r="M194" i="12"/>
  <c r="O74" i="12"/>
  <c r="F138" i="12"/>
  <c r="R138" i="12" s="1"/>
  <c r="F205" i="12"/>
  <c r="U138" i="12"/>
  <c r="I139" i="12"/>
  <c r="H195" i="12"/>
  <c r="H206" i="12" s="1"/>
  <c r="V138" i="12"/>
  <c r="N139" i="12"/>
  <c r="S137" i="12"/>
  <c r="T137" i="12"/>
  <c r="G138" i="12"/>
  <c r="I194" i="12"/>
  <c r="U74" i="12"/>
  <c r="D205" i="12"/>
  <c r="D196" i="12"/>
  <c r="D203" i="12" s="1"/>
  <c r="K205" i="12"/>
  <c r="H205" i="12"/>
  <c r="H196" i="12"/>
  <c r="H203" i="12" s="1"/>
  <c r="N205" i="12"/>
  <c r="Q138" i="12"/>
  <c r="E139" i="12"/>
  <c r="W128" i="12"/>
  <c r="J205" i="12"/>
  <c r="C208" i="12"/>
  <c r="C211" i="12" s="1"/>
  <c r="G194" i="12"/>
  <c r="S74" i="12"/>
  <c r="K138" i="12"/>
  <c r="W138" i="12" s="1"/>
  <c r="J139" i="12"/>
  <c r="V128" i="12"/>
  <c r="D209" i="12"/>
  <c r="D212" i="12" s="1"/>
  <c r="C138" i="12"/>
  <c r="E194" i="12"/>
  <c r="Q74" i="12"/>
  <c r="F72" i="2"/>
  <c r="E83" i="2"/>
  <c r="G83" i="2"/>
  <c r="H83" i="2"/>
  <c r="C72" i="2"/>
  <c r="C70" i="2"/>
  <c r="F70" i="2"/>
  <c r="O139" i="12" l="1"/>
  <c r="F139" i="12"/>
  <c r="M195" i="12"/>
  <c r="M206" i="12" s="1"/>
  <c r="M209" i="12" s="1"/>
  <c r="L139" i="12"/>
  <c r="L205" i="12"/>
  <c r="M205" i="12"/>
  <c r="J208" i="12"/>
  <c r="J211" i="12" s="1"/>
  <c r="S138" i="12"/>
  <c r="T138" i="12"/>
  <c r="G139" i="12"/>
  <c r="I195" i="12"/>
  <c r="I206" i="12" s="1"/>
  <c r="U139" i="12"/>
  <c r="E205" i="12"/>
  <c r="R205" i="12" s="1"/>
  <c r="F195" i="12"/>
  <c r="R139" i="12"/>
  <c r="H208" i="12"/>
  <c r="D208" i="12"/>
  <c r="P208" i="12" s="1"/>
  <c r="P205" i="12"/>
  <c r="E195" i="12"/>
  <c r="E206" i="12" s="1"/>
  <c r="Q139" i="12"/>
  <c r="C139" i="12"/>
  <c r="P138" i="12"/>
  <c r="K139" i="12"/>
  <c r="J195" i="12"/>
  <c r="V139" i="12"/>
  <c r="G205" i="12"/>
  <c r="T205" i="12" s="1"/>
  <c r="N208" i="12"/>
  <c r="N211" i="12" s="1"/>
  <c r="W205" i="12"/>
  <c r="K208" i="12"/>
  <c r="I205" i="12"/>
  <c r="N195" i="12"/>
  <c r="H209" i="12"/>
  <c r="H212" i="12" s="1"/>
  <c r="F208" i="12"/>
  <c r="K159" i="11"/>
  <c r="K157" i="11"/>
  <c r="K4" i="11"/>
  <c r="J66" i="11"/>
  <c r="M72" i="2"/>
  <c r="M73" i="2"/>
  <c r="M105" i="2"/>
  <c r="M104" i="2"/>
  <c r="S28" i="3"/>
  <c r="W34" i="9"/>
  <c r="W31" i="9"/>
  <c r="W35" i="9"/>
  <c r="W30" i="9"/>
  <c r="W33" i="9"/>
  <c r="W27" i="9"/>
  <c r="W11" i="9"/>
  <c r="M196" i="12" l="1"/>
  <c r="M203" i="12" s="1"/>
  <c r="X139" i="12"/>
  <c r="L195" i="12"/>
  <c r="Y139" i="12"/>
  <c r="W208" i="12"/>
  <c r="L208" i="12"/>
  <c r="X208" i="12" s="1"/>
  <c r="X205" i="12"/>
  <c r="L211" i="12"/>
  <c r="M212" i="12"/>
  <c r="M208" i="12"/>
  <c r="Y205" i="12"/>
  <c r="D211" i="12"/>
  <c r="P211" i="12" s="1"/>
  <c r="E196" i="12"/>
  <c r="E203" i="12" s="1"/>
  <c r="C195" i="12"/>
  <c r="P139" i="12"/>
  <c r="K211" i="12"/>
  <c r="W211" i="12" s="1"/>
  <c r="D213" i="12"/>
  <c r="F206" i="12"/>
  <c r="F196" i="12"/>
  <c r="F203" i="12" s="1"/>
  <c r="U206" i="12"/>
  <c r="I209" i="12"/>
  <c r="U209" i="12" s="1"/>
  <c r="S205" i="12"/>
  <c r="G211" i="12"/>
  <c r="G208" i="12"/>
  <c r="S208" i="12" s="1"/>
  <c r="S139" i="12"/>
  <c r="G195" i="12"/>
  <c r="T139" i="12"/>
  <c r="N206" i="12"/>
  <c r="N196" i="12"/>
  <c r="N203" i="12" s="1"/>
  <c r="J206" i="12"/>
  <c r="J196" i="12"/>
  <c r="J203" i="12" s="1"/>
  <c r="U205" i="12"/>
  <c r="I208" i="12"/>
  <c r="U208" i="12" s="1"/>
  <c r="W139" i="12"/>
  <c r="K195" i="12"/>
  <c r="T208" i="12"/>
  <c r="F211" i="12"/>
  <c r="I196" i="12"/>
  <c r="I203" i="12" s="1"/>
  <c r="Q206" i="12"/>
  <c r="E209" i="12"/>
  <c r="Q209" i="12" s="1"/>
  <c r="H211" i="12"/>
  <c r="H213" i="12" s="1"/>
  <c r="Q205" i="12"/>
  <c r="E208" i="12"/>
  <c r="Q208" i="12" s="1"/>
  <c r="V205" i="12"/>
  <c r="M82" i="2"/>
  <c r="M79" i="2"/>
  <c r="M83" i="2" l="1"/>
  <c r="L206" i="12"/>
  <c r="L196" i="12"/>
  <c r="L203" i="12" s="1"/>
  <c r="X211" i="12"/>
  <c r="M211" i="12"/>
  <c r="Y208" i="12"/>
  <c r="E211" i="12"/>
  <c r="Q211" i="12" s="1"/>
  <c r="E212" i="12"/>
  <c r="I211" i="12"/>
  <c r="V208" i="12"/>
  <c r="S211" i="12"/>
  <c r="F209" i="12"/>
  <c r="R209" i="12" s="1"/>
  <c r="R206" i="12"/>
  <c r="N209" i="12"/>
  <c r="N212" i="12" s="1"/>
  <c r="N213" i="12" s="1"/>
  <c r="R208" i="12"/>
  <c r="K206" i="12"/>
  <c r="X206" i="12" s="1"/>
  <c r="K196" i="12"/>
  <c r="K203" i="12" s="1"/>
  <c r="J209" i="12"/>
  <c r="V209" i="12" s="1"/>
  <c r="V206" i="12"/>
  <c r="T211" i="12"/>
  <c r="G206" i="12"/>
  <c r="G196" i="12"/>
  <c r="G203" i="12" s="1"/>
  <c r="I212" i="12"/>
  <c r="C206" i="12"/>
  <c r="C196" i="12"/>
  <c r="C203" i="12" s="1"/>
  <c r="U131" i="11"/>
  <c r="U132" i="11"/>
  <c r="K100" i="11"/>
  <c r="K110" i="11"/>
  <c r="K42" i="11"/>
  <c r="J42" i="11"/>
  <c r="J110" i="11"/>
  <c r="L209" i="12" l="1"/>
  <c r="Y206" i="12"/>
  <c r="Y211" i="12"/>
  <c r="M213" i="12"/>
  <c r="S206" i="12"/>
  <c r="G209" i="12"/>
  <c r="G212" i="12" s="1"/>
  <c r="T206" i="12"/>
  <c r="J212" i="12"/>
  <c r="F212" i="12"/>
  <c r="Q212" i="12"/>
  <c r="E213" i="12"/>
  <c r="U211" i="12"/>
  <c r="V211" i="12"/>
  <c r="C209" i="12"/>
  <c r="P209" i="12" s="1"/>
  <c r="P206" i="12"/>
  <c r="U212" i="12"/>
  <c r="I213" i="12"/>
  <c r="W206" i="12"/>
  <c r="K209" i="12"/>
  <c r="R211" i="12"/>
  <c r="I78" i="2"/>
  <c r="J78" i="2" s="1"/>
  <c r="H85" i="2"/>
  <c r="G85" i="2"/>
  <c r="F85" i="2"/>
  <c r="E85" i="2"/>
  <c r="D85" i="2"/>
  <c r="C85" i="2"/>
  <c r="I84" i="2"/>
  <c r="I85" i="2" s="1"/>
  <c r="F82" i="2"/>
  <c r="D82" i="2"/>
  <c r="D83" i="2" s="1"/>
  <c r="C82" i="2"/>
  <c r="I81" i="2"/>
  <c r="J81" i="2" s="1"/>
  <c r="F80" i="2"/>
  <c r="I80" i="2" s="1"/>
  <c r="C80" i="2"/>
  <c r="I79" i="2"/>
  <c r="J79" i="2" s="1"/>
  <c r="F77" i="2"/>
  <c r="I77" i="2" s="1"/>
  <c r="J77" i="2" s="1"/>
  <c r="F76" i="2"/>
  <c r="I76" i="2" s="1"/>
  <c r="J76" i="2" s="1"/>
  <c r="I75" i="2"/>
  <c r="J75" i="2" s="1"/>
  <c r="I74" i="2"/>
  <c r="J74" i="2" s="1"/>
  <c r="I73" i="2"/>
  <c r="J73" i="2" s="1"/>
  <c r="I72" i="2"/>
  <c r="F71" i="2"/>
  <c r="I71" i="2" s="1"/>
  <c r="C71" i="2"/>
  <c r="I70" i="2"/>
  <c r="J70" i="2" s="1"/>
  <c r="I69" i="2"/>
  <c r="J69" i="2" s="1"/>
  <c r="F68" i="2"/>
  <c r="C68" i="2"/>
  <c r="I67" i="2"/>
  <c r="J67" i="2" s="1"/>
  <c r="O25" i="3"/>
  <c r="M189" i="11"/>
  <c r="M4" i="11"/>
  <c r="M5" i="11"/>
  <c r="M6" i="11"/>
  <c r="M7" i="11"/>
  <c r="M8" i="11"/>
  <c r="M9" i="11"/>
  <c r="M10" i="11"/>
  <c r="M12" i="11"/>
  <c r="M13" i="11"/>
  <c r="M14" i="11"/>
  <c r="M15" i="11"/>
  <c r="M17" i="11"/>
  <c r="M19" i="11"/>
  <c r="M21" i="11"/>
  <c r="M22" i="11"/>
  <c r="M23" i="11"/>
  <c r="M24" i="11"/>
  <c r="M25" i="11"/>
  <c r="M26" i="11"/>
  <c r="M27" i="11"/>
  <c r="M28" i="11"/>
  <c r="M29" i="11"/>
  <c r="M30" i="11"/>
  <c r="M31" i="11"/>
  <c r="M33" i="11"/>
  <c r="M36" i="11"/>
  <c r="M37" i="11"/>
  <c r="M38" i="11"/>
  <c r="M42" i="11"/>
  <c r="M44" i="11"/>
  <c r="M45" i="11"/>
  <c r="M46" i="11"/>
  <c r="M47" i="11"/>
  <c r="M48" i="11"/>
  <c r="M49" i="11"/>
  <c r="M51" i="11"/>
  <c r="M52" i="11"/>
  <c r="M53" i="11"/>
  <c r="M54" i="11"/>
  <c r="M55" i="11"/>
  <c r="M56" i="11"/>
  <c r="M58" i="11"/>
  <c r="M59" i="11"/>
  <c r="M62" i="11"/>
  <c r="M63" i="11"/>
  <c r="M64" i="11"/>
  <c r="M68" i="11"/>
  <c r="M69" i="11"/>
  <c r="M71" i="11"/>
  <c r="M83" i="11"/>
  <c r="M84" i="11"/>
  <c r="M89" i="11"/>
  <c r="M91" i="11"/>
  <c r="M92" i="11"/>
  <c r="M93" i="11"/>
  <c r="M95" i="11"/>
  <c r="M97" i="11"/>
  <c r="M98" i="11"/>
  <c r="M100" i="11"/>
  <c r="M104" i="11"/>
  <c r="M105" i="11"/>
  <c r="M106" i="11"/>
  <c r="M110" i="11"/>
  <c r="M113" i="11"/>
  <c r="M117" i="11"/>
  <c r="M118" i="11"/>
  <c r="M120" i="11"/>
  <c r="M121" i="11"/>
  <c r="M124" i="11"/>
  <c r="M125" i="11"/>
  <c r="M127" i="11"/>
  <c r="M132" i="11"/>
  <c r="M147" i="11"/>
  <c r="M149" i="11"/>
  <c r="M150" i="11"/>
  <c r="M151" i="11"/>
  <c r="M152" i="11"/>
  <c r="M155" i="11"/>
  <c r="M156" i="11"/>
  <c r="M157" i="11"/>
  <c r="M159" i="11"/>
  <c r="M160" i="11"/>
  <c r="M162" i="11"/>
  <c r="M164" i="11"/>
  <c r="M165" i="11"/>
  <c r="M167" i="11"/>
  <c r="M168" i="11"/>
  <c r="M170" i="11"/>
  <c r="M177" i="11"/>
  <c r="M180" i="11"/>
  <c r="M181" i="11"/>
  <c r="M182" i="11"/>
  <c r="M183" i="11"/>
  <c r="M184" i="11"/>
  <c r="M187" i="11"/>
  <c r="M188" i="11"/>
  <c r="K179" i="11"/>
  <c r="K176" i="11" s="1"/>
  <c r="K200" i="11" s="1"/>
  <c r="K186" i="11"/>
  <c r="K201" i="11" s="1"/>
  <c r="U68" i="11"/>
  <c r="U69" i="11"/>
  <c r="U71" i="11"/>
  <c r="K145" i="11"/>
  <c r="K146" i="11"/>
  <c r="M146" i="11" s="1"/>
  <c r="K153" i="11"/>
  <c r="K158" i="11"/>
  <c r="K154" i="11" s="1"/>
  <c r="K171" i="11"/>
  <c r="M171" i="11" s="1"/>
  <c r="K80" i="11"/>
  <c r="K81" i="11"/>
  <c r="M81" i="11" s="1"/>
  <c r="K82" i="11"/>
  <c r="M82" i="11" s="1"/>
  <c r="K86" i="11"/>
  <c r="K85" i="11" s="1"/>
  <c r="K88" i="11"/>
  <c r="K87" i="11" s="1"/>
  <c r="K90" i="11"/>
  <c r="K96" i="11"/>
  <c r="K94" i="11" s="1"/>
  <c r="K101" i="11"/>
  <c r="M101" i="11" s="1"/>
  <c r="K102" i="11"/>
  <c r="M102" i="11" s="1"/>
  <c r="K103" i="11"/>
  <c r="K107" i="11"/>
  <c r="M107" i="11" s="1"/>
  <c r="K109" i="11"/>
  <c r="M109" i="11" s="1"/>
  <c r="K111" i="11"/>
  <c r="M111" i="11" s="1"/>
  <c r="K112" i="11"/>
  <c r="M112" i="11" s="1"/>
  <c r="K115" i="11"/>
  <c r="K116" i="11"/>
  <c r="M116" i="11" s="1"/>
  <c r="K119" i="11"/>
  <c r="M119" i="11" s="1"/>
  <c r="K123" i="11"/>
  <c r="K122" i="11" s="1"/>
  <c r="K126" i="11"/>
  <c r="M126" i="11" s="1"/>
  <c r="K130" i="11"/>
  <c r="K133" i="11"/>
  <c r="K136" i="11"/>
  <c r="K3" i="11"/>
  <c r="K20" i="11"/>
  <c r="K11" i="11" s="1"/>
  <c r="K32" i="11"/>
  <c r="K39" i="11"/>
  <c r="K34" i="11" s="1"/>
  <c r="K40" i="11"/>
  <c r="M40" i="11" s="1"/>
  <c r="K50" i="11"/>
  <c r="M50" i="11" s="1"/>
  <c r="K57" i="11"/>
  <c r="M57" i="11" s="1"/>
  <c r="K60" i="11"/>
  <c r="M60" i="11" s="1"/>
  <c r="K61" i="11"/>
  <c r="M61" i="11" s="1"/>
  <c r="K66" i="11"/>
  <c r="M66" i="11" s="1"/>
  <c r="K70" i="11"/>
  <c r="K72" i="11"/>
  <c r="U72" i="11" s="1"/>
  <c r="T68" i="11"/>
  <c r="T69" i="11"/>
  <c r="T71" i="11"/>
  <c r="T131" i="11"/>
  <c r="T132" i="11"/>
  <c r="J179" i="11"/>
  <c r="J176" i="11" s="1"/>
  <c r="J186" i="11"/>
  <c r="J145" i="11"/>
  <c r="J144" i="11" s="1"/>
  <c r="J146" i="11"/>
  <c r="J153" i="11"/>
  <c r="J158" i="11"/>
  <c r="J171" i="11"/>
  <c r="J80" i="11"/>
  <c r="J81" i="11"/>
  <c r="J82" i="11"/>
  <c r="J86" i="11"/>
  <c r="J85" i="11" s="1"/>
  <c r="J88" i="11"/>
  <c r="J87" i="11" s="1"/>
  <c r="J90" i="11"/>
  <c r="J96" i="11"/>
  <c r="J94" i="11" s="1"/>
  <c r="J100" i="11"/>
  <c r="J101" i="11"/>
  <c r="J102" i="11"/>
  <c r="J107" i="11"/>
  <c r="J103" i="11" s="1"/>
  <c r="J109" i="11"/>
  <c r="J111" i="11"/>
  <c r="J112" i="11"/>
  <c r="J115" i="11"/>
  <c r="J116" i="11"/>
  <c r="J119" i="11"/>
  <c r="J123" i="11"/>
  <c r="J126" i="11"/>
  <c r="J129" i="11"/>
  <c r="J130" i="11"/>
  <c r="T130" i="11" s="1"/>
  <c r="J133" i="11"/>
  <c r="J136" i="11"/>
  <c r="J135" i="11" s="1"/>
  <c r="J137" i="11" s="1"/>
  <c r="J4" i="11"/>
  <c r="J3" i="11" s="1"/>
  <c r="J20" i="11"/>
  <c r="J11" i="11" s="1"/>
  <c r="J32" i="11"/>
  <c r="J39" i="11"/>
  <c r="J34" i="11" s="1"/>
  <c r="J40" i="11"/>
  <c r="J50" i="11"/>
  <c r="J57" i="11"/>
  <c r="J60" i="11"/>
  <c r="J61" i="11"/>
  <c r="J70" i="11"/>
  <c r="T70" i="11" s="1"/>
  <c r="J72" i="11"/>
  <c r="S42" i="9"/>
  <c r="S38" i="9"/>
  <c r="S36" i="9"/>
  <c r="S27" i="9"/>
  <c r="S17" i="9"/>
  <c r="S13" i="9"/>
  <c r="S7" i="9"/>
  <c r="O39" i="3"/>
  <c r="O33" i="3"/>
  <c r="O15" i="3"/>
  <c r="O12" i="3"/>
  <c r="O7" i="3"/>
  <c r="L186" i="11"/>
  <c r="L201" i="11" s="1"/>
  <c r="I186" i="11"/>
  <c r="I201" i="11" s="1"/>
  <c r="H186" i="11"/>
  <c r="H201" i="11" s="1"/>
  <c r="G186" i="11"/>
  <c r="G201" i="11" s="1"/>
  <c r="F186" i="11"/>
  <c r="E186" i="11"/>
  <c r="D186" i="11"/>
  <c r="D201" i="11" s="1"/>
  <c r="C186" i="11"/>
  <c r="C201" i="11" s="1"/>
  <c r="L179" i="11"/>
  <c r="M179" i="11" s="1"/>
  <c r="I179" i="11"/>
  <c r="I176" i="11" s="1"/>
  <c r="I200" i="11" s="1"/>
  <c r="H179" i="11"/>
  <c r="H176" i="11" s="1"/>
  <c r="H200" i="11" s="1"/>
  <c r="G179" i="11"/>
  <c r="G176" i="11" s="1"/>
  <c r="F179" i="11"/>
  <c r="F176" i="11" s="1"/>
  <c r="E179" i="11"/>
  <c r="D179" i="11"/>
  <c r="C179" i="11"/>
  <c r="N181" i="11" s="1"/>
  <c r="D176" i="11"/>
  <c r="D200" i="11" s="1"/>
  <c r="C176" i="11"/>
  <c r="C200" i="11" s="1"/>
  <c r="I171" i="11"/>
  <c r="I154" i="11" s="1"/>
  <c r="H171" i="11"/>
  <c r="G171" i="11"/>
  <c r="F171" i="11"/>
  <c r="F154" i="11" s="1"/>
  <c r="E171" i="11"/>
  <c r="E154" i="11" s="1"/>
  <c r="D171" i="11"/>
  <c r="C171" i="11"/>
  <c r="C154" i="11" s="1"/>
  <c r="C198" i="11" s="1"/>
  <c r="I158" i="11"/>
  <c r="H158" i="11"/>
  <c r="G158" i="11"/>
  <c r="L154" i="11"/>
  <c r="H154" i="11"/>
  <c r="D154" i="11"/>
  <c r="D198" i="11" s="1"/>
  <c r="L153" i="11"/>
  <c r="L144" i="11" s="1"/>
  <c r="I153" i="11"/>
  <c r="H153" i="11"/>
  <c r="G153" i="11"/>
  <c r="N153" i="11" s="1"/>
  <c r="F153" i="11"/>
  <c r="E153" i="11"/>
  <c r="D153" i="11"/>
  <c r="D144" i="11" s="1"/>
  <c r="C153" i="11"/>
  <c r="C144" i="11" s="1"/>
  <c r="C197" i="11" s="1"/>
  <c r="I146" i="11"/>
  <c r="I144" i="11" s="1"/>
  <c r="I197" i="11" s="1"/>
  <c r="H146" i="11"/>
  <c r="G146" i="11"/>
  <c r="F146" i="11"/>
  <c r="E146" i="11"/>
  <c r="E144" i="11" s="1"/>
  <c r="I145" i="11"/>
  <c r="H145" i="11"/>
  <c r="G145" i="11"/>
  <c r="F145" i="11"/>
  <c r="E145" i="11"/>
  <c r="L136" i="11"/>
  <c r="M136" i="11" s="1"/>
  <c r="I136" i="11"/>
  <c r="I135" i="11" s="1"/>
  <c r="H136" i="11"/>
  <c r="H135" i="11" s="1"/>
  <c r="H137" i="11" s="1"/>
  <c r="G136" i="11"/>
  <c r="G135" i="11" s="1"/>
  <c r="F136" i="11"/>
  <c r="F135" i="11" s="1"/>
  <c r="P135" i="11" s="1"/>
  <c r="E136" i="11"/>
  <c r="E135" i="11" s="1"/>
  <c r="E137" i="11" s="1"/>
  <c r="D136" i="11"/>
  <c r="D135" i="11" s="1"/>
  <c r="D137" i="11" s="1"/>
  <c r="C136" i="11"/>
  <c r="C135" i="11" s="1"/>
  <c r="L133" i="11"/>
  <c r="M133" i="11" s="1"/>
  <c r="I133" i="11"/>
  <c r="H133" i="11"/>
  <c r="R133" i="11" s="1"/>
  <c r="G133" i="11"/>
  <c r="F133" i="11"/>
  <c r="E133" i="11"/>
  <c r="D133" i="11"/>
  <c r="C133" i="11"/>
  <c r="S132" i="11"/>
  <c r="R132" i="11"/>
  <c r="Q132" i="11"/>
  <c r="P132" i="11"/>
  <c r="O132" i="11"/>
  <c r="N132" i="11"/>
  <c r="S131" i="11"/>
  <c r="R131" i="11"/>
  <c r="Q131" i="11"/>
  <c r="P131" i="11"/>
  <c r="O131" i="11"/>
  <c r="N131" i="11"/>
  <c r="L130" i="11"/>
  <c r="M130" i="11" s="1"/>
  <c r="I130" i="11"/>
  <c r="H130" i="11"/>
  <c r="G130" i="11"/>
  <c r="F130" i="11"/>
  <c r="E130" i="11"/>
  <c r="D130" i="11"/>
  <c r="C130" i="11"/>
  <c r="L129" i="11"/>
  <c r="D129" i="11"/>
  <c r="C129" i="11"/>
  <c r="I126" i="11"/>
  <c r="I122" i="11" s="1"/>
  <c r="H126" i="11"/>
  <c r="G126" i="11"/>
  <c r="I123" i="11"/>
  <c r="H123" i="11"/>
  <c r="H122" i="11" s="1"/>
  <c r="G123" i="11"/>
  <c r="G122" i="11" s="1"/>
  <c r="F123" i="11"/>
  <c r="E123" i="11"/>
  <c r="D123" i="11"/>
  <c r="D122" i="11" s="1"/>
  <c r="C123" i="11"/>
  <c r="C122" i="11" s="1"/>
  <c r="L122" i="11"/>
  <c r="M122" i="11" s="1"/>
  <c r="F122" i="11"/>
  <c r="E122" i="11"/>
  <c r="I119" i="11"/>
  <c r="H119" i="11"/>
  <c r="G119" i="11"/>
  <c r="F119" i="11"/>
  <c r="E119" i="11"/>
  <c r="I116" i="11"/>
  <c r="I115" i="11"/>
  <c r="H115" i="11"/>
  <c r="G115" i="11"/>
  <c r="F115" i="11"/>
  <c r="E115" i="11"/>
  <c r="D115" i="11"/>
  <c r="C115" i="11"/>
  <c r="C114" i="11" s="1"/>
  <c r="L114" i="11"/>
  <c r="D114" i="11"/>
  <c r="I112" i="11"/>
  <c r="H112" i="11"/>
  <c r="G112" i="11"/>
  <c r="I111" i="11"/>
  <c r="I110" i="11"/>
  <c r="H110" i="11"/>
  <c r="G110" i="11"/>
  <c r="F110" i="11"/>
  <c r="F108" i="11" s="1"/>
  <c r="E110" i="11"/>
  <c r="E108" i="11" s="1"/>
  <c r="I109" i="11"/>
  <c r="H109" i="11"/>
  <c r="G109" i="11"/>
  <c r="L108" i="11"/>
  <c r="D108" i="11"/>
  <c r="C108" i="11"/>
  <c r="I107" i="11"/>
  <c r="H107" i="11"/>
  <c r="H103" i="11" s="1"/>
  <c r="G107" i="11"/>
  <c r="G103" i="11" s="1"/>
  <c r="L103" i="11"/>
  <c r="F103" i="11"/>
  <c r="E103" i="11"/>
  <c r="D103" i="11"/>
  <c r="C103" i="11"/>
  <c r="I102" i="11"/>
  <c r="H102" i="11"/>
  <c r="G102" i="11"/>
  <c r="I101" i="11"/>
  <c r="I99" i="11" s="1"/>
  <c r="H101" i="11"/>
  <c r="G101" i="11"/>
  <c r="G99" i="11" s="1"/>
  <c r="I100" i="11"/>
  <c r="H100" i="11"/>
  <c r="G100" i="11"/>
  <c r="L99" i="11"/>
  <c r="F99" i="11"/>
  <c r="E99" i="11"/>
  <c r="D99" i="11"/>
  <c r="C99" i="11"/>
  <c r="I96" i="11"/>
  <c r="H96" i="11"/>
  <c r="H94" i="11" s="1"/>
  <c r="G96" i="11"/>
  <c r="G94" i="11" s="1"/>
  <c r="L94" i="11"/>
  <c r="F94" i="11"/>
  <c r="E94" i="11"/>
  <c r="D94" i="11"/>
  <c r="C94" i="11"/>
  <c r="L90" i="11"/>
  <c r="M90" i="11" s="1"/>
  <c r="I90" i="11"/>
  <c r="H90" i="11"/>
  <c r="G90" i="11"/>
  <c r="F90" i="11"/>
  <c r="E90" i="11"/>
  <c r="D90" i="11"/>
  <c r="C90" i="11"/>
  <c r="I88" i="11"/>
  <c r="H88" i="11"/>
  <c r="H87" i="11" s="1"/>
  <c r="G88" i="11"/>
  <c r="G87" i="11" s="1"/>
  <c r="F88" i="11"/>
  <c r="F87" i="11" s="1"/>
  <c r="E88" i="11"/>
  <c r="L87" i="11"/>
  <c r="M87" i="11" s="1"/>
  <c r="I87" i="11"/>
  <c r="E87" i="11"/>
  <c r="D87" i="11"/>
  <c r="C87" i="11"/>
  <c r="I86" i="11"/>
  <c r="I85" i="11" s="1"/>
  <c r="H86" i="11"/>
  <c r="H85" i="11" s="1"/>
  <c r="G86" i="11"/>
  <c r="G85" i="11" s="1"/>
  <c r="F86" i="11"/>
  <c r="F85" i="11" s="1"/>
  <c r="E86" i="11"/>
  <c r="L85" i="11"/>
  <c r="M85" i="11" s="1"/>
  <c r="E85" i="11"/>
  <c r="D85" i="11"/>
  <c r="C85" i="11"/>
  <c r="I82" i="11"/>
  <c r="H82" i="11"/>
  <c r="G82" i="11"/>
  <c r="F82" i="11"/>
  <c r="E82" i="11"/>
  <c r="D82" i="11"/>
  <c r="C82" i="11"/>
  <c r="I81" i="11"/>
  <c r="I80" i="11"/>
  <c r="H80" i="11"/>
  <c r="G80" i="11"/>
  <c r="F80" i="11"/>
  <c r="F79" i="11" s="1"/>
  <c r="E80" i="11"/>
  <c r="D80" i="11"/>
  <c r="C80" i="11"/>
  <c r="L79" i="11"/>
  <c r="E79" i="11"/>
  <c r="L72" i="11"/>
  <c r="M72" i="11" s="1"/>
  <c r="I72" i="11"/>
  <c r="H72" i="11"/>
  <c r="G72" i="11"/>
  <c r="F72" i="11"/>
  <c r="E72" i="11"/>
  <c r="D72" i="11"/>
  <c r="C72" i="11"/>
  <c r="S71" i="11"/>
  <c r="R71" i="11"/>
  <c r="Q71" i="11"/>
  <c r="P71" i="11"/>
  <c r="O71" i="11"/>
  <c r="N71" i="11"/>
  <c r="L70" i="11"/>
  <c r="M70" i="11" s="1"/>
  <c r="I70" i="11"/>
  <c r="H70" i="11"/>
  <c r="G70" i="11"/>
  <c r="F70" i="11"/>
  <c r="E70" i="11"/>
  <c r="D70" i="11"/>
  <c r="C70" i="11"/>
  <c r="S69" i="11"/>
  <c r="R69" i="11"/>
  <c r="Q69" i="11"/>
  <c r="P69" i="11"/>
  <c r="O69" i="11"/>
  <c r="N69" i="11"/>
  <c r="S68" i="11"/>
  <c r="R68" i="11"/>
  <c r="Q68" i="11"/>
  <c r="P68" i="11"/>
  <c r="O68" i="11"/>
  <c r="N68" i="11"/>
  <c r="N66" i="11"/>
  <c r="I66" i="11"/>
  <c r="T66" i="11" s="1"/>
  <c r="H66" i="11"/>
  <c r="H129" i="11" s="1"/>
  <c r="G66" i="11"/>
  <c r="G129" i="11" s="1"/>
  <c r="G134" i="11" s="1"/>
  <c r="F66" i="11"/>
  <c r="F129" i="11" s="1"/>
  <c r="E66" i="11"/>
  <c r="E129" i="11" s="1"/>
  <c r="I61" i="11"/>
  <c r="H61" i="11"/>
  <c r="G61" i="11"/>
  <c r="F61" i="11"/>
  <c r="E61" i="11"/>
  <c r="D61" i="11"/>
  <c r="C61" i="11"/>
  <c r="C41" i="11" s="1"/>
  <c r="I60" i="11"/>
  <c r="H60" i="11"/>
  <c r="G60" i="11"/>
  <c r="F60" i="11"/>
  <c r="E60" i="11"/>
  <c r="I57" i="11"/>
  <c r="H57" i="11"/>
  <c r="G57" i="11"/>
  <c r="F57" i="11"/>
  <c r="E57" i="11"/>
  <c r="I50" i="11"/>
  <c r="H50" i="11"/>
  <c r="G50" i="11"/>
  <c r="I42" i="11"/>
  <c r="H42" i="11"/>
  <c r="G42" i="11"/>
  <c r="G41" i="11" s="1"/>
  <c r="L41" i="11"/>
  <c r="D41" i="11"/>
  <c r="I40" i="11"/>
  <c r="F40" i="11"/>
  <c r="E40" i="11"/>
  <c r="D40" i="11"/>
  <c r="D34" i="11" s="1"/>
  <c r="C40" i="11"/>
  <c r="I39" i="11"/>
  <c r="H39" i="11"/>
  <c r="H34" i="11" s="1"/>
  <c r="G39" i="11"/>
  <c r="G34" i="11" s="1"/>
  <c r="F39" i="11"/>
  <c r="E39" i="11"/>
  <c r="L34" i="11"/>
  <c r="C34" i="11"/>
  <c r="L32" i="11"/>
  <c r="M32" i="11" s="1"/>
  <c r="I32" i="11"/>
  <c r="H32" i="11"/>
  <c r="G32" i="11"/>
  <c r="F32" i="11"/>
  <c r="E32" i="11"/>
  <c r="D32" i="11"/>
  <c r="C32" i="11"/>
  <c r="I20" i="11"/>
  <c r="H20" i="11"/>
  <c r="H11" i="11" s="1"/>
  <c r="G20" i="11"/>
  <c r="F20" i="11"/>
  <c r="F11" i="11" s="1"/>
  <c r="E20" i="11"/>
  <c r="E11" i="11" s="1"/>
  <c r="D20" i="11"/>
  <c r="D11" i="11" s="1"/>
  <c r="C20" i="11"/>
  <c r="N31" i="11" s="1"/>
  <c r="N16" i="11"/>
  <c r="L11" i="11"/>
  <c r="M11" i="11" s="1"/>
  <c r="N10" i="11"/>
  <c r="I4" i="11"/>
  <c r="L3" i="11"/>
  <c r="M3" i="11" s="1"/>
  <c r="H3" i="11"/>
  <c r="G3" i="11"/>
  <c r="F3" i="11"/>
  <c r="E3" i="11"/>
  <c r="D3" i="11"/>
  <c r="C3" i="11"/>
  <c r="I110" i="10"/>
  <c r="H110" i="10"/>
  <c r="I66" i="10"/>
  <c r="H66" i="10"/>
  <c r="I111" i="10"/>
  <c r="M155" i="10"/>
  <c r="N155" i="10"/>
  <c r="O155" i="10"/>
  <c r="P155" i="10"/>
  <c r="Q155" i="10"/>
  <c r="M144" i="10"/>
  <c r="N144" i="10"/>
  <c r="O144" i="10"/>
  <c r="P144" i="10"/>
  <c r="Q144" i="10"/>
  <c r="I4" i="10"/>
  <c r="L212" i="12" l="1"/>
  <c r="Y209" i="12"/>
  <c r="W209" i="12"/>
  <c r="X209" i="12"/>
  <c r="I68" i="2"/>
  <c r="J68" i="2" s="1"/>
  <c r="F83" i="2"/>
  <c r="F86" i="2" s="1"/>
  <c r="F87" i="2" s="1"/>
  <c r="F89" i="2" s="1"/>
  <c r="C212" i="12"/>
  <c r="S209" i="12"/>
  <c r="T209" i="12"/>
  <c r="F213" i="12"/>
  <c r="R212" i="12"/>
  <c r="G213" i="12"/>
  <c r="S212" i="12"/>
  <c r="T212" i="12"/>
  <c r="K212" i="12"/>
  <c r="X212" i="12" s="1"/>
  <c r="J213" i="12"/>
  <c r="V212" i="12"/>
  <c r="T144" i="11"/>
  <c r="J197" i="11"/>
  <c r="M34" i="11"/>
  <c r="I41" i="11"/>
  <c r="F114" i="11"/>
  <c r="H114" i="11"/>
  <c r="F144" i="11"/>
  <c r="F197" i="11" s="1"/>
  <c r="T72" i="11"/>
  <c r="T133" i="11"/>
  <c r="J122" i="11"/>
  <c r="J154" i="11"/>
  <c r="J198" i="11" s="1"/>
  <c r="J199" i="11" s="1"/>
  <c r="T186" i="11"/>
  <c r="T135" i="11"/>
  <c r="K73" i="11"/>
  <c r="U133" i="11"/>
  <c r="U70" i="11"/>
  <c r="H99" i="11"/>
  <c r="J99" i="11"/>
  <c r="M153" i="11"/>
  <c r="C11" i="11"/>
  <c r="F34" i="11"/>
  <c r="M94" i="11"/>
  <c r="M103" i="11"/>
  <c r="I108" i="11"/>
  <c r="S130" i="11"/>
  <c r="J41" i="11"/>
  <c r="J67" i="11" s="1"/>
  <c r="J200" i="11"/>
  <c r="K114" i="11"/>
  <c r="M114" i="11" s="1"/>
  <c r="K99" i="11"/>
  <c r="M99" i="11" s="1"/>
  <c r="K202" i="11"/>
  <c r="M158" i="11"/>
  <c r="E34" i="11"/>
  <c r="I34" i="11"/>
  <c r="H41" i="11"/>
  <c r="H67" i="11" s="1"/>
  <c r="Q66" i="11"/>
  <c r="R66" i="11"/>
  <c r="I79" i="11"/>
  <c r="H108" i="11"/>
  <c r="N130" i="11"/>
  <c r="O137" i="11"/>
  <c r="H144" i="11"/>
  <c r="H197" i="11" s="1"/>
  <c r="J73" i="11"/>
  <c r="J108" i="11"/>
  <c r="K41" i="11"/>
  <c r="U130" i="11"/>
  <c r="M86" i="11"/>
  <c r="M20" i="11"/>
  <c r="G11" i="11"/>
  <c r="E114" i="11"/>
  <c r="E128" i="11" s="1"/>
  <c r="I114" i="11"/>
  <c r="G114" i="11"/>
  <c r="H198" i="11"/>
  <c r="J114" i="11"/>
  <c r="J79" i="11"/>
  <c r="J128" i="11" s="1"/>
  <c r="J201" i="11"/>
  <c r="J202" i="11" s="1"/>
  <c r="K129" i="11"/>
  <c r="K134" i="11" s="1"/>
  <c r="K108" i="11"/>
  <c r="M108" i="11" s="1"/>
  <c r="K79" i="11"/>
  <c r="M79" i="11" s="1"/>
  <c r="M186" i="11"/>
  <c r="M123" i="11"/>
  <c r="M115" i="11"/>
  <c r="M41" i="11"/>
  <c r="F41" i="11"/>
  <c r="F67" i="11" s="1"/>
  <c r="Q72" i="11"/>
  <c r="C79" i="11"/>
  <c r="G79" i="11"/>
  <c r="P130" i="11"/>
  <c r="C202" i="11"/>
  <c r="T136" i="11"/>
  <c r="K135" i="11"/>
  <c r="U136" i="11"/>
  <c r="K144" i="11"/>
  <c r="U66" i="11"/>
  <c r="M145" i="11"/>
  <c r="M96" i="11"/>
  <c r="M88" i="11"/>
  <c r="M80" i="11"/>
  <c r="M39" i="11"/>
  <c r="J134" i="11"/>
  <c r="S40" i="9"/>
  <c r="S43" i="9" s="1"/>
  <c r="O41" i="3"/>
  <c r="O44" i="3" s="1"/>
  <c r="O18" i="3"/>
  <c r="O21" i="3" s="1"/>
  <c r="D86" i="2"/>
  <c r="H86" i="2"/>
  <c r="M154" i="11"/>
  <c r="G86" i="2"/>
  <c r="J72" i="2"/>
  <c r="I82" i="2"/>
  <c r="J82" i="2" s="1"/>
  <c r="C83" i="2"/>
  <c r="J85" i="2"/>
  <c r="J71" i="2"/>
  <c r="J80" i="2"/>
  <c r="E86" i="2"/>
  <c r="J84" i="2"/>
  <c r="E87" i="2"/>
  <c r="K198" i="11"/>
  <c r="K67" i="11"/>
  <c r="O186" i="11"/>
  <c r="L67" i="11"/>
  <c r="C73" i="11"/>
  <c r="N72" i="11"/>
  <c r="R72" i="11"/>
  <c r="P133" i="11"/>
  <c r="N154" i="11"/>
  <c r="N133" i="11"/>
  <c r="R136" i="11"/>
  <c r="H202" i="11"/>
  <c r="C137" i="11"/>
  <c r="N137" i="11" s="1"/>
  <c r="N135" i="11"/>
  <c r="S136" i="11"/>
  <c r="S186" i="11"/>
  <c r="N70" i="11"/>
  <c r="R70" i="11"/>
  <c r="C128" i="11"/>
  <c r="S135" i="11"/>
  <c r="P136" i="11"/>
  <c r="I137" i="11"/>
  <c r="S137" i="11" s="1"/>
  <c r="D202" i="11"/>
  <c r="E201" i="11"/>
  <c r="C67" i="11"/>
  <c r="C74" i="11" s="1"/>
  <c r="C194" i="11" s="1"/>
  <c r="C205" i="11" s="1"/>
  <c r="G67" i="11"/>
  <c r="E73" i="11"/>
  <c r="S70" i="11"/>
  <c r="F128" i="11"/>
  <c r="C134" i="11"/>
  <c r="Q130" i="11"/>
  <c r="N136" i="11"/>
  <c r="I202" i="11"/>
  <c r="G200" i="11"/>
  <c r="G202" i="11" s="1"/>
  <c r="F73" i="11"/>
  <c r="G73" i="11"/>
  <c r="P72" i="11"/>
  <c r="O130" i="11"/>
  <c r="R130" i="11"/>
  <c r="O133" i="11"/>
  <c r="S133" i="11"/>
  <c r="Q186" i="11"/>
  <c r="S20" i="9"/>
  <c r="S23" i="9" s="1"/>
  <c r="E134" i="11"/>
  <c r="O129" i="11"/>
  <c r="N144" i="11"/>
  <c r="D197" i="11"/>
  <c r="D199" i="11" s="1"/>
  <c r="I3" i="11"/>
  <c r="O70" i="11"/>
  <c r="H73" i="11"/>
  <c r="R73" i="11" s="1"/>
  <c r="L128" i="11"/>
  <c r="O144" i="11"/>
  <c r="H199" i="11"/>
  <c r="F198" i="11"/>
  <c r="F199" i="11" s="1"/>
  <c r="D67" i="11"/>
  <c r="E41" i="11"/>
  <c r="E67" i="11" s="1"/>
  <c r="S66" i="11"/>
  <c r="P70" i="11"/>
  <c r="O72" i="11"/>
  <c r="S72" i="11"/>
  <c r="D73" i="11"/>
  <c r="N73" i="11" s="1"/>
  <c r="I73" i="11"/>
  <c r="I129" i="11"/>
  <c r="T129" i="11" s="1"/>
  <c r="Q129" i="11"/>
  <c r="Q135" i="11"/>
  <c r="O135" i="11"/>
  <c r="S144" i="11"/>
  <c r="C199" i="11"/>
  <c r="N176" i="11"/>
  <c r="F201" i="11"/>
  <c r="P186" i="11"/>
  <c r="O66" i="11"/>
  <c r="L73" i="11"/>
  <c r="M73" i="11" s="1"/>
  <c r="I103" i="11"/>
  <c r="G108" i="11"/>
  <c r="D134" i="11"/>
  <c r="N129" i="11"/>
  <c r="F134" i="11"/>
  <c r="Q134" i="11" s="1"/>
  <c r="L137" i="11"/>
  <c r="F137" i="11"/>
  <c r="P137" i="11" s="1"/>
  <c r="L197" i="11"/>
  <c r="G154" i="11"/>
  <c r="N179" i="11"/>
  <c r="E176" i="11"/>
  <c r="I11" i="11"/>
  <c r="H134" i="11"/>
  <c r="R129" i="11"/>
  <c r="P66" i="11"/>
  <c r="Q70" i="11"/>
  <c r="D79" i="11"/>
  <c r="D128" i="11" s="1"/>
  <c r="H79" i="11"/>
  <c r="I94" i="11"/>
  <c r="L134" i="11"/>
  <c r="M134" i="11" s="1"/>
  <c r="Q136" i="11"/>
  <c r="G137" i="11"/>
  <c r="N147" i="11"/>
  <c r="O147" i="11" s="1"/>
  <c r="G144" i="11"/>
  <c r="E198" i="11"/>
  <c r="F200" i="11"/>
  <c r="L176" i="11"/>
  <c r="M176" i="11" s="1"/>
  <c r="E197" i="11"/>
  <c r="Q133" i="11"/>
  <c r="O136" i="11"/>
  <c r="N155" i="11"/>
  <c r="N186" i="11"/>
  <c r="R186" i="11"/>
  <c r="I198" i="11"/>
  <c r="I199" i="11" s="1"/>
  <c r="P129" i="11"/>
  <c r="R135" i="11"/>
  <c r="L198" i="11"/>
  <c r="W7" i="9"/>
  <c r="W44" i="9"/>
  <c r="W29" i="9"/>
  <c r="L213" i="12" l="1"/>
  <c r="Y212" i="12"/>
  <c r="K213" i="12"/>
  <c r="W212" i="12"/>
  <c r="C213" i="12"/>
  <c r="P212" i="12"/>
  <c r="P144" i="11"/>
  <c r="K128" i="11"/>
  <c r="U128" i="11" s="1"/>
  <c r="T73" i="11"/>
  <c r="G128" i="11"/>
  <c r="P128" i="11"/>
  <c r="K138" i="11"/>
  <c r="K139" i="11" s="1"/>
  <c r="U73" i="11"/>
  <c r="U129" i="11"/>
  <c r="K197" i="11"/>
  <c r="U144" i="11"/>
  <c r="T137" i="11"/>
  <c r="K137" i="11"/>
  <c r="U137" i="11" s="1"/>
  <c r="U135" i="11"/>
  <c r="M135" i="11"/>
  <c r="H128" i="11"/>
  <c r="M137" i="11"/>
  <c r="M129" i="11"/>
  <c r="O128" i="11"/>
  <c r="S73" i="11"/>
  <c r="M144" i="11"/>
  <c r="J138" i="11"/>
  <c r="J139" i="11" s="1"/>
  <c r="U134" i="11"/>
  <c r="O45" i="3"/>
  <c r="I83" i="2"/>
  <c r="I86" i="2" s="1"/>
  <c r="S44" i="9"/>
  <c r="J74" i="11"/>
  <c r="K74" i="11"/>
  <c r="U67" i="11"/>
  <c r="M67" i="11"/>
  <c r="K199" i="11"/>
  <c r="C86" i="2"/>
  <c r="F74" i="11"/>
  <c r="P73" i="11"/>
  <c r="Q67" i="11"/>
  <c r="G74" i="11"/>
  <c r="Q73" i="11"/>
  <c r="L199" i="11"/>
  <c r="Q137" i="11"/>
  <c r="I67" i="11"/>
  <c r="T67" i="11" s="1"/>
  <c r="C138" i="11"/>
  <c r="C139" i="11" s="1"/>
  <c r="C195" i="11" s="1"/>
  <c r="E74" i="11"/>
  <c r="O67" i="11"/>
  <c r="P67" i="11"/>
  <c r="Q128" i="11"/>
  <c r="G198" i="11"/>
  <c r="N134" i="11"/>
  <c r="D138" i="11"/>
  <c r="S67" i="11"/>
  <c r="G138" i="11"/>
  <c r="G139" i="11" s="1"/>
  <c r="E138" i="11"/>
  <c r="O134" i="11"/>
  <c r="I128" i="11"/>
  <c r="T128" i="11" s="1"/>
  <c r="R137" i="11"/>
  <c r="L200" i="11"/>
  <c r="L202" i="11" s="1"/>
  <c r="Q144" i="11"/>
  <c r="G197" i="11"/>
  <c r="R144" i="11"/>
  <c r="R128" i="11"/>
  <c r="G194" i="11"/>
  <c r="L138" i="11"/>
  <c r="N128" i="11"/>
  <c r="D139" i="11"/>
  <c r="R134" i="11"/>
  <c r="H138" i="11"/>
  <c r="E200" i="11"/>
  <c r="E202" i="11" s="1"/>
  <c r="F138" i="11"/>
  <c r="P134" i="11"/>
  <c r="R67" i="11"/>
  <c r="H74" i="11"/>
  <c r="C208" i="11"/>
  <c r="C211" i="11" s="1"/>
  <c r="E199" i="11"/>
  <c r="F202" i="11"/>
  <c r="I134" i="11"/>
  <c r="T134" i="11" s="1"/>
  <c r="S129" i="11"/>
  <c r="N67" i="11"/>
  <c r="D74" i="11"/>
  <c r="L74" i="11"/>
  <c r="O73" i="11"/>
  <c r="S31" i="3"/>
  <c r="S8" i="3"/>
  <c r="J83" i="2" l="1"/>
  <c r="P74" i="11"/>
  <c r="M128" i="11"/>
  <c r="Q74" i="11"/>
  <c r="F194" i="11"/>
  <c r="F205" i="11" s="1"/>
  <c r="H139" i="11"/>
  <c r="R139" i="11" s="1"/>
  <c r="M138" i="11"/>
  <c r="U139" i="11"/>
  <c r="U138" i="11"/>
  <c r="J86" i="2"/>
  <c r="J194" i="11"/>
  <c r="J205" i="11" s="1"/>
  <c r="T74" i="11"/>
  <c r="J195" i="11"/>
  <c r="K194" i="11"/>
  <c r="K205" i="11" s="1"/>
  <c r="U74" i="11"/>
  <c r="M74" i="11"/>
  <c r="K195" i="11"/>
  <c r="I74" i="11"/>
  <c r="I194" i="11" s="1"/>
  <c r="C196" i="11"/>
  <c r="C203" i="11" s="1"/>
  <c r="C206" i="11"/>
  <c r="C209" i="11" s="1"/>
  <c r="C212" i="11" s="1"/>
  <c r="G199" i="11"/>
  <c r="N138" i="11"/>
  <c r="D194" i="11"/>
  <c r="N74" i="11"/>
  <c r="I138" i="11"/>
  <c r="S138" i="11" s="1"/>
  <c r="S134" i="11"/>
  <c r="P138" i="11"/>
  <c r="F139" i="11"/>
  <c r="H195" i="11"/>
  <c r="H206" i="11" s="1"/>
  <c r="G195" i="11"/>
  <c r="G206" i="11" s="1"/>
  <c r="L194" i="11"/>
  <c r="H194" i="11"/>
  <c r="R74" i="11"/>
  <c r="N139" i="11"/>
  <c r="D195" i="11"/>
  <c r="D206" i="11" s="1"/>
  <c r="G205" i="11"/>
  <c r="O138" i="11"/>
  <c r="E139" i="11"/>
  <c r="Q138" i="11"/>
  <c r="L139" i="11"/>
  <c r="M139" i="11" s="1"/>
  <c r="R138" i="11"/>
  <c r="S128" i="11"/>
  <c r="E194" i="11"/>
  <c r="O74" i="11"/>
  <c r="K4" i="10"/>
  <c r="K5" i="10"/>
  <c r="K6" i="10"/>
  <c r="K7" i="10"/>
  <c r="K8" i="10"/>
  <c r="K9" i="10"/>
  <c r="K10" i="10"/>
  <c r="K11" i="10"/>
  <c r="K12" i="10"/>
  <c r="K13" i="10"/>
  <c r="K14" i="10"/>
  <c r="K15" i="10"/>
  <c r="K17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6" i="10"/>
  <c r="K37" i="10"/>
  <c r="K38" i="10"/>
  <c r="K39" i="10"/>
  <c r="K40" i="10"/>
  <c r="K42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6" i="10"/>
  <c r="K68" i="10"/>
  <c r="K69" i="10"/>
  <c r="K70" i="10"/>
  <c r="K71" i="10"/>
  <c r="K72" i="10"/>
  <c r="K73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30" i="10"/>
  <c r="K132" i="10"/>
  <c r="K133" i="10"/>
  <c r="K135" i="10"/>
  <c r="K136" i="10"/>
  <c r="K137" i="10"/>
  <c r="K144" i="10"/>
  <c r="K145" i="10"/>
  <c r="K146" i="10"/>
  <c r="K147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2" i="10"/>
  <c r="K164" i="10"/>
  <c r="K165" i="10"/>
  <c r="K166" i="10"/>
  <c r="K167" i="10"/>
  <c r="K169" i="10"/>
  <c r="K170" i="10"/>
  <c r="K175" i="10"/>
  <c r="K176" i="10"/>
  <c r="K178" i="10"/>
  <c r="K179" i="10"/>
  <c r="K180" i="10"/>
  <c r="K181" i="10"/>
  <c r="K182" i="10"/>
  <c r="K183" i="10"/>
  <c r="K185" i="10"/>
  <c r="K186" i="10"/>
  <c r="K187" i="10"/>
  <c r="K188" i="10"/>
  <c r="I139" i="11" l="1"/>
  <c r="T139" i="11" s="1"/>
  <c r="T138" i="11"/>
  <c r="J208" i="11"/>
  <c r="J211" i="11"/>
  <c r="J206" i="11"/>
  <c r="J209" i="11" s="1"/>
  <c r="J212" i="11" s="1"/>
  <c r="J196" i="11"/>
  <c r="J203" i="11" s="1"/>
  <c r="U205" i="11"/>
  <c r="K208" i="11"/>
  <c r="U208" i="11" s="1"/>
  <c r="K196" i="11"/>
  <c r="K203" i="11" s="1"/>
  <c r="K206" i="11"/>
  <c r="S74" i="11"/>
  <c r="Q205" i="11"/>
  <c r="G208" i="11"/>
  <c r="H205" i="11"/>
  <c r="H196" i="11"/>
  <c r="H203" i="11" s="1"/>
  <c r="H209" i="11"/>
  <c r="R206" i="11"/>
  <c r="S139" i="11"/>
  <c r="I195" i="11"/>
  <c r="I206" i="11" s="1"/>
  <c r="D209" i="11"/>
  <c r="N209" i="11" s="1"/>
  <c r="N206" i="11"/>
  <c r="F208" i="11"/>
  <c r="F211" i="11" s="1"/>
  <c r="L205" i="11"/>
  <c r="I205" i="11"/>
  <c r="T205" i="11" s="1"/>
  <c r="F195" i="11"/>
  <c r="P139" i="11"/>
  <c r="E205" i="11"/>
  <c r="P205" i="11" s="1"/>
  <c r="G209" i="11"/>
  <c r="G212" i="11" s="1"/>
  <c r="E195" i="11"/>
  <c r="E206" i="11" s="1"/>
  <c r="O139" i="11"/>
  <c r="L195" i="11"/>
  <c r="L206" i="11" s="1"/>
  <c r="G196" i="11"/>
  <c r="G203" i="11" s="1"/>
  <c r="Q139" i="11"/>
  <c r="D205" i="11"/>
  <c r="D196" i="11"/>
  <c r="D203" i="11" s="1"/>
  <c r="I170" i="10"/>
  <c r="I153" i="10"/>
  <c r="J153" i="10"/>
  <c r="J144" i="10" s="1"/>
  <c r="J196" i="10" s="1"/>
  <c r="Q66" i="10"/>
  <c r="Q68" i="10"/>
  <c r="Q69" i="10"/>
  <c r="Q70" i="10"/>
  <c r="Q71" i="10"/>
  <c r="Q72" i="10"/>
  <c r="Q73" i="10"/>
  <c r="I123" i="10"/>
  <c r="H123" i="10"/>
  <c r="G123" i="10"/>
  <c r="I116" i="10"/>
  <c r="I102" i="10"/>
  <c r="I81" i="10"/>
  <c r="I80" i="10"/>
  <c r="I40" i="10"/>
  <c r="I196" i="10"/>
  <c r="I199" i="10"/>
  <c r="I201" i="10" s="1"/>
  <c r="I200" i="10"/>
  <c r="I178" i="10"/>
  <c r="I175" i="10" s="1"/>
  <c r="Q175" i="10" s="1"/>
  <c r="I185" i="10"/>
  <c r="Q185" i="10" s="1"/>
  <c r="I145" i="10"/>
  <c r="I144" i="10" s="1"/>
  <c r="I146" i="10"/>
  <c r="I158" i="10"/>
  <c r="I154" i="10" s="1"/>
  <c r="I197" i="10" s="1"/>
  <c r="I79" i="10"/>
  <c r="I82" i="10"/>
  <c r="I85" i="10"/>
  <c r="I86" i="10"/>
  <c r="I87" i="10"/>
  <c r="I88" i="10"/>
  <c r="I90" i="10"/>
  <c r="I94" i="10"/>
  <c r="I96" i="10"/>
  <c r="I100" i="10"/>
  <c r="I99" i="10" s="1"/>
  <c r="I101" i="10"/>
  <c r="I107" i="10"/>
  <c r="I103" i="10" s="1"/>
  <c r="I109" i="10"/>
  <c r="I108" i="10"/>
  <c r="K108" i="10" s="1"/>
  <c r="I112" i="10"/>
  <c r="I114" i="10"/>
  <c r="I115" i="10"/>
  <c r="I119" i="10"/>
  <c r="I122" i="10"/>
  <c r="I126" i="10"/>
  <c r="I129" i="10"/>
  <c r="I130" i="10"/>
  <c r="I133" i="10"/>
  <c r="I135" i="10"/>
  <c r="Q135" i="10" s="1"/>
  <c r="I136" i="10"/>
  <c r="I3" i="10"/>
  <c r="K3" i="10" s="1"/>
  <c r="I20" i="10"/>
  <c r="I11" i="10" s="1"/>
  <c r="I32" i="10"/>
  <c r="I34" i="10"/>
  <c r="I39" i="10"/>
  <c r="I42" i="10"/>
  <c r="I50" i="10"/>
  <c r="I57" i="10"/>
  <c r="I60" i="10"/>
  <c r="I41" i="10" s="1"/>
  <c r="K41" i="10" s="1"/>
  <c r="I61" i="10"/>
  <c r="I70" i="10"/>
  <c r="I73" i="10" s="1"/>
  <c r="I72" i="10"/>
  <c r="Q130" i="10"/>
  <c r="Q131" i="10"/>
  <c r="Q132" i="10"/>
  <c r="Q133" i="10"/>
  <c r="Q136" i="10"/>
  <c r="P185" i="10"/>
  <c r="P175" i="10"/>
  <c r="M128" i="10"/>
  <c r="N128" i="10"/>
  <c r="M129" i="10"/>
  <c r="N129" i="10"/>
  <c r="O129" i="10"/>
  <c r="P129" i="10"/>
  <c r="M130" i="10"/>
  <c r="N130" i="10"/>
  <c r="O130" i="10"/>
  <c r="P130" i="10"/>
  <c r="M131" i="10"/>
  <c r="N131" i="10"/>
  <c r="O131" i="10"/>
  <c r="P131" i="10"/>
  <c r="M132" i="10"/>
  <c r="N132" i="10"/>
  <c r="O132" i="10"/>
  <c r="P132" i="10"/>
  <c r="M133" i="10"/>
  <c r="N133" i="10"/>
  <c r="O133" i="10"/>
  <c r="P133" i="10"/>
  <c r="M134" i="10"/>
  <c r="N134" i="10"/>
  <c r="O134" i="10"/>
  <c r="P134" i="10"/>
  <c r="M135" i="10"/>
  <c r="N135" i="10"/>
  <c r="O135" i="10"/>
  <c r="P135" i="10"/>
  <c r="M136" i="10"/>
  <c r="N136" i="10"/>
  <c r="O136" i="10"/>
  <c r="P136" i="10"/>
  <c r="M137" i="10"/>
  <c r="N137" i="10"/>
  <c r="O137" i="10"/>
  <c r="P137" i="10"/>
  <c r="M138" i="10"/>
  <c r="N138" i="10"/>
  <c r="O138" i="10"/>
  <c r="M139" i="10"/>
  <c r="N139" i="10"/>
  <c r="M66" i="10"/>
  <c r="N66" i="10"/>
  <c r="O66" i="10"/>
  <c r="P66" i="10"/>
  <c r="M67" i="10"/>
  <c r="N67" i="10"/>
  <c r="O67" i="10"/>
  <c r="M68" i="10"/>
  <c r="N68" i="10"/>
  <c r="O68" i="10"/>
  <c r="P68" i="10"/>
  <c r="M69" i="10"/>
  <c r="N69" i="10"/>
  <c r="O69" i="10"/>
  <c r="P69" i="10"/>
  <c r="M70" i="10"/>
  <c r="N70" i="10"/>
  <c r="O70" i="10"/>
  <c r="P70" i="10"/>
  <c r="M71" i="10"/>
  <c r="N71" i="10"/>
  <c r="O71" i="10"/>
  <c r="P71" i="10"/>
  <c r="M72" i="10"/>
  <c r="N72" i="10"/>
  <c r="O72" i="10"/>
  <c r="P72" i="10"/>
  <c r="M73" i="10"/>
  <c r="N73" i="10"/>
  <c r="O73" i="10"/>
  <c r="P73" i="10"/>
  <c r="M74" i="10"/>
  <c r="N74" i="10"/>
  <c r="O74" i="10"/>
  <c r="H196" i="10"/>
  <c r="H198" i="10" s="1"/>
  <c r="H197" i="10"/>
  <c r="H199" i="10"/>
  <c r="H201" i="10" s="1"/>
  <c r="H200" i="10"/>
  <c r="H178" i="10"/>
  <c r="H175" i="10" s="1"/>
  <c r="H185" i="10"/>
  <c r="H145" i="10"/>
  <c r="H144" i="10" s="1"/>
  <c r="H146" i="10"/>
  <c r="H153" i="10"/>
  <c r="H158" i="10"/>
  <c r="H154" i="10" s="1"/>
  <c r="H170" i="10"/>
  <c r="H80" i="10"/>
  <c r="H79" i="10" s="1"/>
  <c r="H82" i="10"/>
  <c r="H85" i="10"/>
  <c r="H86" i="10"/>
  <c r="H88" i="10"/>
  <c r="H87" i="10" s="1"/>
  <c r="H90" i="10"/>
  <c r="H96" i="10"/>
  <c r="H94" i="10" s="1"/>
  <c r="H100" i="10"/>
  <c r="H99" i="10" s="1"/>
  <c r="H101" i="10"/>
  <c r="H102" i="10"/>
  <c r="H107" i="10"/>
  <c r="H103" i="10" s="1"/>
  <c r="H109" i="10"/>
  <c r="H108" i="10" s="1"/>
  <c r="H112" i="10"/>
  <c r="H115" i="10"/>
  <c r="H114" i="10" s="1"/>
  <c r="H119" i="10"/>
  <c r="H122" i="10"/>
  <c r="H126" i="10"/>
  <c r="H129" i="10"/>
  <c r="H134" i="10" s="1"/>
  <c r="H130" i="10"/>
  <c r="H133" i="10"/>
  <c r="H135" i="10"/>
  <c r="H137" i="10" s="1"/>
  <c r="H136" i="10"/>
  <c r="H3" i="10"/>
  <c r="H20" i="10"/>
  <c r="H11" i="10" s="1"/>
  <c r="H32" i="10"/>
  <c r="H39" i="10"/>
  <c r="H34" i="10" s="1"/>
  <c r="H42" i="10"/>
  <c r="H41" i="10" s="1"/>
  <c r="H50" i="10"/>
  <c r="H57" i="10"/>
  <c r="H60" i="10"/>
  <c r="H61" i="10"/>
  <c r="H70" i="10"/>
  <c r="H73" i="10" s="1"/>
  <c r="H72" i="10"/>
  <c r="C197" i="10"/>
  <c r="J185" i="10"/>
  <c r="J200" i="10" s="1"/>
  <c r="G185" i="10"/>
  <c r="G200" i="10" s="1"/>
  <c r="F185" i="10"/>
  <c r="F200" i="10" s="1"/>
  <c r="E185" i="10"/>
  <c r="D185" i="10"/>
  <c r="D200" i="10" s="1"/>
  <c r="C185" i="10"/>
  <c r="C200" i="10" s="1"/>
  <c r="J178" i="10"/>
  <c r="G178" i="10"/>
  <c r="F178" i="10"/>
  <c r="E178" i="10"/>
  <c r="D178" i="10"/>
  <c r="C178" i="10"/>
  <c r="L180" i="10" s="1"/>
  <c r="M175" i="10"/>
  <c r="J175" i="10"/>
  <c r="J199" i="10" s="1"/>
  <c r="G175" i="10"/>
  <c r="F175" i="10"/>
  <c r="F199" i="10" s="1"/>
  <c r="F201" i="10" s="1"/>
  <c r="E175" i="10"/>
  <c r="E199" i="10" s="1"/>
  <c r="D175" i="10"/>
  <c r="D199" i="10" s="1"/>
  <c r="C175" i="10"/>
  <c r="L175" i="10" s="1"/>
  <c r="G170" i="10"/>
  <c r="F170" i="10"/>
  <c r="E170" i="10"/>
  <c r="E154" i="10" s="1"/>
  <c r="D170" i="10"/>
  <c r="C170" i="10"/>
  <c r="C154" i="10" s="1"/>
  <c r="G158" i="10"/>
  <c r="J154" i="10"/>
  <c r="F154" i="10"/>
  <c r="F197" i="10" s="1"/>
  <c r="D154" i="10"/>
  <c r="L153" i="10"/>
  <c r="G153" i="10"/>
  <c r="F153" i="10"/>
  <c r="E153" i="10"/>
  <c r="E144" i="10" s="1"/>
  <c r="E196" i="10" s="1"/>
  <c r="D153" i="10"/>
  <c r="D144" i="10" s="1"/>
  <c r="C153" i="10"/>
  <c r="L147" i="10"/>
  <c r="M147" i="10" s="1"/>
  <c r="G146" i="10"/>
  <c r="F146" i="10"/>
  <c r="E146" i="10"/>
  <c r="G145" i="10"/>
  <c r="F145" i="10"/>
  <c r="F144" i="10" s="1"/>
  <c r="E145" i="10"/>
  <c r="G144" i="10"/>
  <c r="C144" i="10"/>
  <c r="C196" i="10" s="1"/>
  <c r="J137" i="10"/>
  <c r="D137" i="10"/>
  <c r="J136" i="10"/>
  <c r="G136" i="10"/>
  <c r="F136" i="10"/>
  <c r="E136" i="10"/>
  <c r="D136" i="10"/>
  <c r="C136" i="10"/>
  <c r="E135" i="10"/>
  <c r="D135" i="10"/>
  <c r="J134" i="10"/>
  <c r="D134" i="10"/>
  <c r="J133" i="10"/>
  <c r="G133" i="10"/>
  <c r="F133" i="10"/>
  <c r="E133" i="10"/>
  <c r="D133" i="10"/>
  <c r="C133" i="10"/>
  <c r="L133" i="10" s="1"/>
  <c r="L132" i="10"/>
  <c r="L131" i="10"/>
  <c r="J130" i="10"/>
  <c r="G130" i="10"/>
  <c r="F130" i="10"/>
  <c r="E130" i="10"/>
  <c r="D130" i="10"/>
  <c r="C130" i="10"/>
  <c r="L129" i="10"/>
  <c r="J129" i="10"/>
  <c r="D129" i="10"/>
  <c r="C129" i="10"/>
  <c r="G126" i="10"/>
  <c r="F123" i="10"/>
  <c r="F122" i="10" s="1"/>
  <c r="E123" i="10"/>
  <c r="D123" i="10"/>
  <c r="D122" i="10" s="1"/>
  <c r="C123" i="10"/>
  <c r="J122" i="10"/>
  <c r="G122" i="10"/>
  <c r="E122" i="10"/>
  <c r="C122" i="10"/>
  <c r="G119" i="10"/>
  <c r="F119" i="10"/>
  <c r="E119" i="10"/>
  <c r="G115" i="10"/>
  <c r="F115" i="10"/>
  <c r="F114" i="10" s="1"/>
  <c r="E115" i="10"/>
  <c r="D115" i="10"/>
  <c r="D114" i="10" s="1"/>
  <c r="C115" i="10"/>
  <c r="J114" i="10"/>
  <c r="E114" i="10"/>
  <c r="C114" i="10"/>
  <c r="G112" i="10"/>
  <c r="G110" i="10"/>
  <c r="F110" i="10"/>
  <c r="E110" i="10"/>
  <c r="E108" i="10" s="1"/>
  <c r="G109" i="10"/>
  <c r="J108" i="10"/>
  <c r="F108" i="10"/>
  <c r="D108" i="10"/>
  <c r="C108" i="10"/>
  <c r="G107" i="10"/>
  <c r="G103" i="10" s="1"/>
  <c r="J103" i="10"/>
  <c r="F103" i="10"/>
  <c r="E103" i="10"/>
  <c r="D103" i="10"/>
  <c r="C103" i="10"/>
  <c r="G102" i="10"/>
  <c r="G101" i="10"/>
  <c r="G100" i="10"/>
  <c r="J99" i="10"/>
  <c r="G99" i="10"/>
  <c r="F99" i="10"/>
  <c r="E99" i="10"/>
  <c r="D99" i="10"/>
  <c r="C99" i="10"/>
  <c r="G96" i="10"/>
  <c r="J94" i="10"/>
  <c r="G94" i="10"/>
  <c r="F94" i="10"/>
  <c r="E94" i="10"/>
  <c r="D94" i="10"/>
  <c r="C94" i="10"/>
  <c r="J90" i="10"/>
  <c r="G90" i="10"/>
  <c r="F90" i="10"/>
  <c r="E90" i="10"/>
  <c r="D90" i="10"/>
  <c r="C90" i="10"/>
  <c r="G88" i="10"/>
  <c r="F88" i="10"/>
  <c r="F87" i="10" s="1"/>
  <c r="E88" i="10"/>
  <c r="J87" i="10"/>
  <c r="G87" i="10"/>
  <c r="E87" i="10"/>
  <c r="D87" i="10"/>
  <c r="C87" i="10"/>
  <c r="G86" i="10"/>
  <c r="F86" i="10"/>
  <c r="E86" i="10"/>
  <c r="E85" i="10" s="1"/>
  <c r="J85" i="10"/>
  <c r="F85" i="10"/>
  <c r="D85" i="10"/>
  <c r="C85" i="10"/>
  <c r="G82" i="10"/>
  <c r="F82" i="10"/>
  <c r="F79" i="10" s="1"/>
  <c r="E82" i="10"/>
  <c r="D82" i="10"/>
  <c r="C82" i="10"/>
  <c r="G80" i="10"/>
  <c r="F80" i="10"/>
  <c r="E80" i="10"/>
  <c r="E79" i="10" s="1"/>
  <c r="D80" i="10"/>
  <c r="C80" i="10"/>
  <c r="C79" i="10" s="1"/>
  <c r="J79" i="10"/>
  <c r="D79" i="10"/>
  <c r="J73" i="10"/>
  <c r="F73" i="10"/>
  <c r="D73" i="10"/>
  <c r="J72" i="10"/>
  <c r="G72" i="10"/>
  <c r="F72" i="10"/>
  <c r="E72" i="10"/>
  <c r="D72" i="10"/>
  <c r="C72" i="10"/>
  <c r="L71" i="10"/>
  <c r="J70" i="10"/>
  <c r="G70" i="10"/>
  <c r="F70" i="10"/>
  <c r="E70" i="10"/>
  <c r="E73" i="10" s="1"/>
  <c r="D70" i="10"/>
  <c r="L70" i="10" s="1"/>
  <c r="C70" i="10"/>
  <c r="L69" i="10"/>
  <c r="L68" i="10"/>
  <c r="L66" i="10"/>
  <c r="G66" i="10"/>
  <c r="G129" i="10" s="1"/>
  <c r="F66" i="10"/>
  <c r="E66" i="10"/>
  <c r="E129" i="10" s="1"/>
  <c r="G61" i="10"/>
  <c r="F61" i="10"/>
  <c r="E61" i="10"/>
  <c r="D61" i="10"/>
  <c r="D41" i="10" s="1"/>
  <c r="C61" i="10"/>
  <c r="C41" i="10" s="1"/>
  <c r="G60" i="10"/>
  <c r="F60" i="10"/>
  <c r="E60" i="10"/>
  <c r="G57" i="10"/>
  <c r="F57" i="10"/>
  <c r="E57" i="10"/>
  <c r="G50" i="10"/>
  <c r="G42" i="10"/>
  <c r="G41" i="10" s="1"/>
  <c r="J41" i="10"/>
  <c r="F41" i="10"/>
  <c r="F40" i="10"/>
  <c r="F34" i="10" s="1"/>
  <c r="E40" i="10"/>
  <c r="D40" i="10"/>
  <c r="C40" i="10"/>
  <c r="C34" i="10" s="1"/>
  <c r="G39" i="10"/>
  <c r="F39" i="10"/>
  <c r="E39" i="10"/>
  <c r="J34" i="10"/>
  <c r="G34" i="10"/>
  <c r="E34" i="10"/>
  <c r="D34" i="10"/>
  <c r="J32" i="10"/>
  <c r="G32" i="10"/>
  <c r="F32" i="10"/>
  <c r="E32" i="10"/>
  <c r="D32" i="10"/>
  <c r="C32" i="10"/>
  <c r="N31" i="10"/>
  <c r="M31" i="10"/>
  <c r="L31" i="10"/>
  <c r="G20" i="10"/>
  <c r="F20" i="10"/>
  <c r="E20" i="10"/>
  <c r="D20" i="10"/>
  <c r="C20" i="10"/>
  <c r="N16" i="10"/>
  <c r="M16" i="10"/>
  <c r="L16" i="10"/>
  <c r="J11" i="10"/>
  <c r="G11" i="10"/>
  <c r="F11" i="10"/>
  <c r="E11" i="10"/>
  <c r="D11" i="10"/>
  <c r="C11" i="10"/>
  <c r="O10" i="10"/>
  <c r="N10" i="10"/>
  <c r="M10" i="10"/>
  <c r="L10" i="10"/>
  <c r="J3" i="10"/>
  <c r="G3" i="10"/>
  <c r="F3" i="10"/>
  <c r="E3" i="10"/>
  <c r="D3" i="10"/>
  <c r="C3" i="10"/>
  <c r="W32" i="9"/>
  <c r="W28" i="9"/>
  <c r="AA53" i="9"/>
  <c r="AA52" i="9"/>
  <c r="AA51" i="9"/>
  <c r="AA50" i="9"/>
  <c r="AA49" i="9"/>
  <c r="AA48" i="9"/>
  <c r="AA47" i="9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8" i="9"/>
  <c r="K211" i="11" l="1"/>
  <c r="U211" i="11"/>
  <c r="T206" i="11"/>
  <c r="K209" i="11"/>
  <c r="U209" i="11" s="1"/>
  <c r="U206" i="11"/>
  <c r="I196" i="11"/>
  <c r="I203" i="11" s="1"/>
  <c r="R209" i="11"/>
  <c r="O206" i="11"/>
  <c r="E209" i="11"/>
  <c r="O209" i="11" s="1"/>
  <c r="E196" i="11"/>
  <c r="E203" i="11" s="1"/>
  <c r="H208" i="11"/>
  <c r="R208" i="11" s="1"/>
  <c r="R205" i="11"/>
  <c r="I208" i="11"/>
  <c r="I211" i="11" s="1"/>
  <c r="T211" i="11" s="1"/>
  <c r="S205" i="11"/>
  <c r="D212" i="11"/>
  <c r="N212" i="11" s="1"/>
  <c r="Q208" i="11"/>
  <c r="D208" i="11"/>
  <c r="N208" i="11" s="1"/>
  <c r="N205" i="11"/>
  <c r="L209" i="11"/>
  <c r="L212" i="11" s="1"/>
  <c r="L196" i="11"/>
  <c r="L203" i="11" s="1"/>
  <c r="S206" i="11"/>
  <c r="I209" i="11"/>
  <c r="H212" i="11"/>
  <c r="R212" i="11" s="1"/>
  <c r="G211" i="11"/>
  <c r="Q211" i="11" s="1"/>
  <c r="E208" i="11"/>
  <c r="O208" i="11" s="1"/>
  <c r="O205" i="11"/>
  <c r="F206" i="11"/>
  <c r="F196" i="11"/>
  <c r="F203" i="11" s="1"/>
  <c r="L208" i="11"/>
  <c r="L211" i="11" s="1"/>
  <c r="I134" i="10"/>
  <c r="K134" i="10" s="1"/>
  <c r="K129" i="10"/>
  <c r="I198" i="10"/>
  <c r="I128" i="10"/>
  <c r="K128" i="10" s="1"/>
  <c r="Q134" i="10"/>
  <c r="Q129" i="10"/>
  <c r="I137" i="10"/>
  <c r="Q137" i="10" s="1"/>
  <c r="I67" i="10"/>
  <c r="H67" i="10"/>
  <c r="D67" i="10"/>
  <c r="D74" i="10" s="1"/>
  <c r="H128" i="10"/>
  <c r="H138" i="10"/>
  <c r="P138" i="10" s="1"/>
  <c r="F128" i="10"/>
  <c r="D128" i="10"/>
  <c r="D139" i="10" s="1"/>
  <c r="E128" i="10"/>
  <c r="F67" i="10"/>
  <c r="O185" i="10"/>
  <c r="F74" i="10"/>
  <c r="G67" i="10"/>
  <c r="E134" i="10"/>
  <c r="O175" i="10"/>
  <c r="J67" i="10"/>
  <c r="L72" i="10"/>
  <c r="G114" i="10"/>
  <c r="D138" i="10"/>
  <c r="E137" i="10"/>
  <c r="D196" i="10"/>
  <c r="L144" i="10"/>
  <c r="L154" i="10"/>
  <c r="E197" i="10"/>
  <c r="E198" i="10" s="1"/>
  <c r="D201" i="10"/>
  <c r="J201" i="10"/>
  <c r="N185" i="10"/>
  <c r="M185" i="10"/>
  <c r="E200" i="10"/>
  <c r="C67" i="10"/>
  <c r="G199" i="10"/>
  <c r="G201" i="10" s="1"/>
  <c r="G134" i="10"/>
  <c r="C73" i="10"/>
  <c r="L73" i="10" s="1"/>
  <c r="G73" i="10"/>
  <c r="J128" i="10"/>
  <c r="C134" i="10"/>
  <c r="L130" i="10"/>
  <c r="J138" i="10"/>
  <c r="C198" i="10"/>
  <c r="L155" i="10"/>
  <c r="G154" i="10"/>
  <c r="E201" i="10"/>
  <c r="L178" i="10"/>
  <c r="E41" i="10"/>
  <c r="E67" i="10" s="1"/>
  <c r="C128" i="10"/>
  <c r="G79" i="10"/>
  <c r="G85" i="10"/>
  <c r="G108" i="10"/>
  <c r="F129" i="10"/>
  <c r="L136" i="10"/>
  <c r="C135" i="10"/>
  <c r="G135" i="10"/>
  <c r="G196" i="10"/>
  <c r="F196" i="10"/>
  <c r="F198" i="10" s="1"/>
  <c r="C199" i="10"/>
  <c r="C201" i="10" s="1"/>
  <c r="F135" i="10"/>
  <c r="N175" i="10"/>
  <c r="L185" i="10"/>
  <c r="D197" i="10"/>
  <c r="J197" i="10"/>
  <c r="J198" i="10" s="1"/>
  <c r="M203" i="6"/>
  <c r="M204" i="6"/>
  <c r="M206" i="6"/>
  <c r="M207" i="6"/>
  <c r="M209" i="6"/>
  <c r="M210" i="6"/>
  <c r="M184" i="6"/>
  <c r="K184" i="6"/>
  <c r="L184" i="6"/>
  <c r="J184" i="6"/>
  <c r="K174" i="6"/>
  <c r="L174" i="6"/>
  <c r="M174" i="6"/>
  <c r="J174" i="6"/>
  <c r="K154" i="6"/>
  <c r="L154" i="6"/>
  <c r="M154" i="6"/>
  <c r="J154" i="6"/>
  <c r="K143" i="6"/>
  <c r="L143" i="6"/>
  <c r="M143" i="6"/>
  <c r="J143" i="6"/>
  <c r="K65" i="6"/>
  <c r="L65" i="6"/>
  <c r="M65" i="6"/>
  <c r="K66" i="6"/>
  <c r="L66" i="6"/>
  <c r="M66" i="6"/>
  <c r="K67" i="6"/>
  <c r="L67" i="6"/>
  <c r="M67" i="6"/>
  <c r="K68" i="6"/>
  <c r="L68" i="6"/>
  <c r="M68" i="6"/>
  <c r="K69" i="6"/>
  <c r="L69" i="6"/>
  <c r="M69" i="6"/>
  <c r="K70" i="6"/>
  <c r="L70" i="6"/>
  <c r="M70" i="6"/>
  <c r="K71" i="6"/>
  <c r="L71" i="6"/>
  <c r="M71" i="6"/>
  <c r="K72" i="6"/>
  <c r="L72" i="6"/>
  <c r="M72" i="6"/>
  <c r="K73" i="6"/>
  <c r="L73" i="6"/>
  <c r="M73" i="6"/>
  <c r="J66" i="6"/>
  <c r="J67" i="6"/>
  <c r="J68" i="6"/>
  <c r="J69" i="6"/>
  <c r="J70" i="6"/>
  <c r="J71" i="6"/>
  <c r="J72" i="6"/>
  <c r="J73" i="6"/>
  <c r="K127" i="6"/>
  <c r="L127" i="6"/>
  <c r="M127" i="6"/>
  <c r="K128" i="6"/>
  <c r="L128" i="6"/>
  <c r="M128" i="6"/>
  <c r="K129" i="6"/>
  <c r="L129" i="6"/>
  <c r="M129" i="6"/>
  <c r="K130" i="6"/>
  <c r="L130" i="6"/>
  <c r="M130" i="6"/>
  <c r="K131" i="6"/>
  <c r="L131" i="6"/>
  <c r="M131" i="6"/>
  <c r="K132" i="6"/>
  <c r="L132" i="6"/>
  <c r="M132" i="6"/>
  <c r="K133" i="6"/>
  <c r="L133" i="6"/>
  <c r="M133" i="6"/>
  <c r="K134" i="6"/>
  <c r="L134" i="6"/>
  <c r="M134" i="6"/>
  <c r="K135" i="6"/>
  <c r="L135" i="6"/>
  <c r="M135" i="6"/>
  <c r="K136" i="6"/>
  <c r="L136" i="6"/>
  <c r="M136" i="6"/>
  <c r="K137" i="6"/>
  <c r="L137" i="6"/>
  <c r="M137" i="6"/>
  <c r="K138" i="6"/>
  <c r="L138" i="6"/>
  <c r="M138" i="6"/>
  <c r="J128" i="6"/>
  <c r="J129" i="6"/>
  <c r="J130" i="6"/>
  <c r="J131" i="6"/>
  <c r="J132" i="6"/>
  <c r="J133" i="6"/>
  <c r="J134" i="6"/>
  <c r="J135" i="6"/>
  <c r="J136" i="6"/>
  <c r="J137" i="6"/>
  <c r="J138" i="6"/>
  <c r="J127" i="6"/>
  <c r="J65" i="6"/>
  <c r="K203" i="6"/>
  <c r="L203" i="6"/>
  <c r="K204" i="6"/>
  <c r="L204" i="6"/>
  <c r="K206" i="6"/>
  <c r="L206" i="6"/>
  <c r="K207" i="6"/>
  <c r="L207" i="6"/>
  <c r="K209" i="6"/>
  <c r="L209" i="6"/>
  <c r="K210" i="6"/>
  <c r="L210" i="6"/>
  <c r="E118" i="6"/>
  <c r="E109" i="6"/>
  <c r="E65" i="6"/>
  <c r="E177" i="6"/>
  <c r="E145" i="6"/>
  <c r="E144" i="6"/>
  <c r="F192" i="6"/>
  <c r="F193" i="6"/>
  <c r="F194" i="6"/>
  <c r="F201" i="6" s="1"/>
  <c r="F195" i="6"/>
  <c r="F197" i="6" s="1"/>
  <c r="F196" i="6"/>
  <c r="F198" i="6"/>
  <c r="F200" i="6" s="1"/>
  <c r="F199" i="6"/>
  <c r="F204" i="6"/>
  <c r="F207" i="6" s="1"/>
  <c r="F210" i="6" s="1"/>
  <c r="F177" i="6"/>
  <c r="F174" i="6" s="1"/>
  <c r="F184" i="6"/>
  <c r="F144" i="6"/>
  <c r="F143" i="6" s="1"/>
  <c r="F145" i="6"/>
  <c r="F152" i="6"/>
  <c r="F169" i="6"/>
  <c r="F153" i="6" s="1"/>
  <c r="F79" i="6"/>
  <c r="F78" i="6" s="1"/>
  <c r="F81" i="6"/>
  <c r="F84" i="6"/>
  <c r="F85" i="6"/>
  <c r="F87" i="6"/>
  <c r="F86" i="6" s="1"/>
  <c r="F89" i="6"/>
  <c r="F93" i="6"/>
  <c r="F98" i="6"/>
  <c r="F102" i="6"/>
  <c r="F107" i="6"/>
  <c r="F109" i="6"/>
  <c r="F114" i="6"/>
  <c r="F113" i="6" s="1"/>
  <c r="F118" i="6"/>
  <c r="F122" i="6"/>
  <c r="F121" i="6" s="1"/>
  <c r="F128" i="6"/>
  <c r="F133" i="6" s="1"/>
  <c r="F137" i="6" s="1"/>
  <c r="F129" i="6"/>
  <c r="F132" i="6"/>
  <c r="F134" i="6"/>
  <c r="F136" i="6" s="1"/>
  <c r="F135" i="6"/>
  <c r="F3" i="6"/>
  <c r="F20" i="6"/>
  <c r="F11" i="6" s="1"/>
  <c r="F32" i="6"/>
  <c r="F39" i="6"/>
  <c r="F34" i="6" s="1"/>
  <c r="F40" i="6"/>
  <c r="F56" i="6"/>
  <c r="F59" i="6"/>
  <c r="F60" i="6"/>
  <c r="F65" i="6"/>
  <c r="F41" i="6" s="1"/>
  <c r="F69" i="6"/>
  <c r="F71" i="6"/>
  <c r="F72" i="6"/>
  <c r="D177" i="6"/>
  <c r="D174" i="6" s="1"/>
  <c r="D198" i="6" s="1"/>
  <c r="D184" i="6"/>
  <c r="D199" i="6" s="1"/>
  <c r="D152" i="6"/>
  <c r="D143" i="6" s="1"/>
  <c r="D195" i="6" s="1"/>
  <c r="D169" i="6"/>
  <c r="D153" i="6" s="1"/>
  <c r="D196" i="6" s="1"/>
  <c r="D79" i="6"/>
  <c r="D81" i="6"/>
  <c r="D84" i="6"/>
  <c r="D86" i="6"/>
  <c r="D89" i="6"/>
  <c r="D93" i="6"/>
  <c r="D98" i="6"/>
  <c r="D102" i="6"/>
  <c r="D107" i="6"/>
  <c r="D114" i="6"/>
  <c r="D113" i="6" s="1"/>
  <c r="D122" i="6"/>
  <c r="D121" i="6" s="1"/>
  <c r="D128" i="6"/>
  <c r="D129" i="6"/>
  <c r="D132" i="6"/>
  <c r="D135" i="6"/>
  <c r="D134" i="6" s="1"/>
  <c r="D136" i="6" s="1"/>
  <c r="D3" i="6"/>
  <c r="D20" i="6"/>
  <c r="D11" i="6" s="1"/>
  <c r="D32" i="6"/>
  <c r="D40" i="6"/>
  <c r="D34" i="6" s="1"/>
  <c r="D60" i="6"/>
  <c r="D41" i="6" s="1"/>
  <c r="D69" i="6"/>
  <c r="D72" i="6" s="1"/>
  <c r="D71" i="6"/>
  <c r="AE58" i="9"/>
  <c r="AE53" i="9"/>
  <c r="AE51" i="9"/>
  <c r="AE50" i="9" s="1"/>
  <c r="AE47" i="9"/>
  <c r="AE46" i="9"/>
  <c r="AE45" i="9"/>
  <c r="AE44" i="9"/>
  <c r="AE43" i="9"/>
  <c r="AE41" i="9"/>
  <c r="AE40" i="9"/>
  <c r="AE39" i="9"/>
  <c r="AE38" i="9"/>
  <c r="AE37" i="9"/>
  <c r="AI36" i="9"/>
  <c r="AI34" i="9"/>
  <c r="AI32" i="9"/>
  <c r="AI31" i="9"/>
  <c r="AI30" i="9"/>
  <c r="AI29" i="9"/>
  <c r="AI28" i="9"/>
  <c r="AE25" i="9"/>
  <c r="AE19" i="9"/>
  <c r="AI15" i="9"/>
  <c r="AI12" i="9"/>
  <c r="AI8" i="9"/>
  <c r="AI7" i="9" s="1"/>
  <c r="AE8" i="9"/>
  <c r="AE7" i="9" s="1"/>
  <c r="AA58" i="9"/>
  <c r="AA56" i="9"/>
  <c r="AA31" i="9"/>
  <c r="AA54" i="9"/>
  <c r="AA19" i="9"/>
  <c r="AA18" i="9" s="1"/>
  <c r="AA13" i="9"/>
  <c r="AA7" i="9"/>
  <c r="W40" i="9"/>
  <c r="W37" i="9"/>
  <c r="W26" i="9"/>
  <c r="W16" i="9"/>
  <c r="W13" i="9"/>
  <c r="T208" i="11" l="1"/>
  <c r="AA30" i="9"/>
  <c r="AA60" i="9" s="1"/>
  <c r="AA63" i="9" s="1"/>
  <c r="K212" i="11"/>
  <c r="S209" i="11"/>
  <c r="T209" i="11"/>
  <c r="E212" i="11"/>
  <c r="O212" i="11" s="1"/>
  <c r="E211" i="11"/>
  <c r="I212" i="11"/>
  <c r="S208" i="11"/>
  <c r="H211" i="11"/>
  <c r="R211" i="11" s="1"/>
  <c r="F209" i="11"/>
  <c r="P206" i="11"/>
  <c r="Q206" i="11"/>
  <c r="P208" i="11"/>
  <c r="D211" i="11"/>
  <c r="N211" i="11" s="1"/>
  <c r="H74" i="10"/>
  <c r="P67" i="10"/>
  <c r="Q128" i="10"/>
  <c r="I74" i="10"/>
  <c r="K67" i="10"/>
  <c r="Q67" i="10"/>
  <c r="I138" i="10"/>
  <c r="K138" i="10" s="1"/>
  <c r="H139" i="10"/>
  <c r="H194" i="10" s="1"/>
  <c r="H205" i="10" s="1"/>
  <c r="H208" i="10" s="1"/>
  <c r="H211" i="10" s="1"/>
  <c r="F137" i="10"/>
  <c r="D194" i="10"/>
  <c r="D205" i="10" s="1"/>
  <c r="J74" i="10"/>
  <c r="G137" i="10"/>
  <c r="J139" i="10"/>
  <c r="C74" i="10"/>
  <c r="C193" i="10" s="1"/>
  <c r="E138" i="10"/>
  <c r="L67" i="10"/>
  <c r="C137" i="10"/>
  <c r="L137" i="10" s="1"/>
  <c r="L135" i="10"/>
  <c r="E74" i="10"/>
  <c r="F193" i="10"/>
  <c r="F134" i="10"/>
  <c r="G197" i="10"/>
  <c r="C138" i="10"/>
  <c r="C139" i="10" s="1"/>
  <c r="L134" i="10"/>
  <c r="G74" i="10"/>
  <c r="D193" i="10"/>
  <c r="G198" i="10"/>
  <c r="G128" i="10"/>
  <c r="L128" i="10"/>
  <c r="D198" i="10"/>
  <c r="L138" i="10"/>
  <c r="AE30" i="9"/>
  <c r="AE33" i="9" s="1"/>
  <c r="AE59" i="9" s="1"/>
  <c r="F203" i="6"/>
  <c r="F127" i="6"/>
  <c r="F138" i="6" s="1"/>
  <c r="F66" i="6"/>
  <c r="F73" i="6" s="1"/>
  <c r="D200" i="6"/>
  <c r="D133" i="6"/>
  <c r="D78" i="6"/>
  <c r="D197" i="6"/>
  <c r="D66" i="6"/>
  <c r="D73" i="6" s="1"/>
  <c r="D192" i="6" s="1"/>
  <c r="D203" i="6" s="1"/>
  <c r="D137" i="6"/>
  <c r="D127" i="6"/>
  <c r="AI27" i="9"/>
  <c r="AI38" i="9" s="1"/>
  <c r="AI41" i="9" s="1"/>
  <c r="AI20" i="9"/>
  <c r="AI23" i="9" s="1"/>
  <c r="AA23" i="9"/>
  <c r="AA26" i="9" s="1"/>
  <c r="AE55" i="9"/>
  <c r="W19" i="9"/>
  <c r="W22" i="9" s="1"/>
  <c r="W42" i="9"/>
  <c r="W45" i="9" s="1"/>
  <c r="S9" i="3"/>
  <c r="U212" i="11" l="1"/>
  <c r="K213" i="11"/>
  <c r="S212" i="11"/>
  <c r="T212" i="11"/>
  <c r="O211" i="11"/>
  <c r="P211" i="11"/>
  <c r="P209" i="11"/>
  <c r="Q209" i="11"/>
  <c r="F212" i="11"/>
  <c r="S211" i="11"/>
  <c r="H193" i="10"/>
  <c r="H204" i="10" s="1"/>
  <c r="P74" i="10"/>
  <c r="I193" i="10"/>
  <c r="I204" i="10" s="1"/>
  <c r="K74" i="10"/>
  <c r="Q74" i="10"/>
  <c r="O128" i="10"/>
  <c r="P128" i="10"/>
  <c r="Q138" i="10"/>
  <c r="I139" i="10"/>
  <c r="K139" i="10" s="1"/>
  <c r="L74" i="10"/>
  <c r="C194" i="10"/>
  <c r="C205" i="10" s="1"/>
  <c r="L205" i="10" s="1"/>
  <c r="L139" i="10"/>
  <c r="J194" i="10"/>
  <c r="J205" i="10" s="1"/>
  <c r="F138" i="10"/>
  <c r="E139" i="10"/>
  <c r="D208" i="10"/>
  <c r="G138" i="10"/>
  <c r="D204" i="10"/>
  <c r="D195" i="10"/>
  <c r="D202" i="10" s="1"/>
  <c r="F204" i="10"/>
  <c r="C204" i="10"/>
  <c r="C195" i="10"/>
  <c r="C202" i="10" s="1"/>
  <c r="J193" i="10"/>
  <c r="G139" i="10"/>
  <c r="G193" i="10"/>
  <c r="E193" i="10"/>
  <c r="AA64" i="9"/>
  <c r="F206" i="6"/>
  <c r="F209" i="6"/>
  <c r="D138" i="6"/>
  <c r="D193" i="6" s="1"/>
  <c r="D204" i="6" s="1"/>
  <c r="D207" i="6"/>
  <c r="D194" i="6"/>
  <c r="D201" i="6" s="1"/>
  <c r="D206" i="6"/>
  <c r="D209" i="6" s="1"/>
  <c r="W46" i="9"/>
  <c r="AI42" i="9"/>
  <c r="H177" i="6"/>
  <c r="K10" i="6"/>
  <c r="L10" i="6"/>
  <c r="M10" i="6"/>
  <c r="P212" i="11" l="1"/>
  <c r="Q212" i="11"/>
  <c r="H195" i="10"/>
  <c r="H202" i="10" s="1"/>
  <c r="P204" i="10"/>
  <c r="H207" i="10"/>
  <c r="P207" i="10" s="1"/>
  <c r="Q204" i="10"/>
  <c r="I207" i="10"/>
  <c r="O139" i="10"/>
  <c r="P139" i="10"/>
  <c r="Q139" i="10"/>
  <c r="I194" i="10"/>
  <c r="E204" i="10"/>
  <c r="C207" i="10"/>
  <c r="C210" i="10" s="1"/>
  <c r="D211" i="10"/>
  <c r="F139" i="10"/>
  <c r="J208" i="10"/>
  <c r="J211" i="10" s="1"/>
  <c r="J204" i="10"/>
  <c r="J195" i="10"/>
  <c r="J202" i="10" s="1"/>
  <c r="E194" i="10"/>
  <c r="E205" i="10" s="1"/>
  <c r="G194" i="10"/>
  <c r="G205" i="10" s="1"/>
  <c r="P205" i="10" s="1"/>
  <c r="L204" i="10"/>
  <c r="D207" i="10"/>
  <c r="D210" i="10" s="1"/>
  <c r="G204" i="10"/>
  <c r="G195" i="10"/>
  <c r="G202" i="10" s="1"/>
  <c r="F207" i="10"/>
  <c r="F210" i="10" s="1"/>
  <c r="N204" i="10"/>
  <c r="C208" i="10"/>
  <c r="L208" i="10" s="1"/>
  <c r="D210" i="6"/>
  <c r="W38" i="3"/>
  <c r="H210" i="10" l="1"/>
  <c r="P210" i="10" s="1"/>
  <c r="Q207" i="10"/>
  <c r="I210" i="10"/>
  <c r="I205" i="10"/>
  <c r="I195" i="10"/>
  <c r="I202" i="10" s="1"/>
  <c r="L210" i="10"/>
  <c r="E195" i="10"/>
  <c r="E202" i="10" s="1"/>
  <c r="M205" i="10"/>
  <c r="E208" i="10"/>
  <c r="M208" i="10" s="1"/>
  <c r="C211" i="10"/>
  <c r="L211" i="10" s="1"/>
  <c r="O204" i="10"/>
  <c r="G207" i="10"/>
  <c r="O207" i="10" s="1"/>
  <c r="G208" i="10"/>
  <c r="P208" i="10" s="1"/>
  <c r="F194" i="10"/>
  <c r="L207" i="10"/>
  <c r="J207" i="10"/>
  <c r="J210" i="10" s="1"/>
  <c r="M204" i="10"/>
  <c r="E207" i="10"/>
  <c r="M207" i="10" s="1"/>
  <c r="C113" i="2"/>
  <c r="F113" i="2"/>
  <c r="D113" i="2"/>
  <c r="C104" i="2"/>
  <c r="F104" i="2"/>
  <c r="I104" i="2" s="1"/>
  <c r="H116" i="2"/>
  <c r="G116" i="2"/>
  <c r="F116" i="2"/>
  <c r="E116" i="2"/>
  <c r="D116" i="2"/>
  <c r="C116" i="2"/>
  <c r="I115" i="2"/>
  <c r="I116" i="2" s="1"/>
  <c r="H114" i="2"/>
  <c r="G114" i="2"/>
  <c r="E114" i="2"/>
  <c r="D114" i="2"/>
  <c r="I112" i="2"/>
  <c r="J112" i="2" s="1"/>
  <c r="M114" i="2"/>
  <c r="F111" i="2"/>
  <c r="I111" i="2" s="1"/>
  <c r="C111" i="2"/>
  <c r="I110" i="2"/>
  <c r="J110" i="2" s="1"/>
  <c r="F109" i="2"/>
  <c r="I109" i="2" s="1"/>
  <c r="J109" i="2" s="1"/>
  <c r="F108" i="2"/>
  <c r="I108" i="2" s="1"/>
  <c r="J108" i="2" s="1"/>
  <c r="I107" i="2"/>
  <c r="J107" i="2" s="1"/>
  <c r="I106" i="2"/>
  <c r="J106" i="2" s="1"/>
  <c r="I105" i="2"/>
  <c r="J105" i="2" s="1"/>
  <c r="F103" i="2"/>
  <c r="I103" i="2" s="1"/>
  <c r="C103" i="2"/>
  <c r="I102" i="2"/>
  <c r="J102" i="2" s="1"/>
  <c r="I101" i="2"/>
  <c r="J101" i="2" s="1"/>
  <c r="F100" i="2"/>
  <c r="C100" i="2"/>
  <c r="I99" i="2"/>
  <c r="J99" i="2" s="1"/>
  <c r="S40" i="3"/>
  <c r="S37" i="3"/>
  <c r="S25" i="3"/>
  <c r="S15" i="3"/>
  <c r="S12" i="3"/>
  <c r="S7" i="3"/>
  <c r="J116" i="2" l="1"/>
  <c r="J104" i="2"/>
  <c r="C114" i="2"/>
  <c r="C117" i="2" s="1"/>
  <c r="H117" i="2"/>
  <c r="F114" i="2"/>
  <c r="F117" i="2" s="1"/>
  <c r="F118" i="2" s="1"/>
  <c r="F120" i="2" s="1"/>
  <c r="D117" i="2"/>
  <c r="S18" i="3"/>
  <c r="S21" i="3" s="1"/>
  <c r="Q210" i="10"/>
  <c r="I208" i="10"/>
  <c r="Q208" i="10" s="1"/>
  <c r="Q205" i="10"/>
  <c r="G210" i="10"/>
  <c r="O210" i="10" s="1"/>
  <c r="F205" i="10"/>
  <c r="F195" i="10"/>
  <c r="F202" i="10" s="1"/>
  <c r="E210" i="10"/>
  <c r="E211" i="10"/>
  <c r="M211" i="10" s="1"/>
  <c r="N207" i="10"/>
  <c r="G211" i="10"/>
  <c r="P211" i="10" s="1"/>
  <c r="E117" i="2"/>
  <c r="J115" i="2"/>
  <c r="J103" i="2"/>
  <c r="J111" i="2"/>
  <c r="G117" i="2"/>
  <c r="I113" i="2"/>
  <c r="J113" i="2" s="1"/>
  <c r="I100" i="2"/>
  <c r="J100" i="2" s="1"/>
  <c r="E118" i="2"/>
  <c r="S42" i="3"/>
  <c r="S45" i="3" s="1"/>
  <c r="G65" i="6"/>
  <c r="G125" i="6"/>
  <c r="G122" i="6"/>
  <c r="G85" i="6"/>
  <c r="G169" i="6"/>
  <c r="G157" i="6"/>
  <c r="F144" i="2"/>
  <c r="C144" i="2"/>
  <c r="F134" i="2"/>
  <c r="I134" i="2" s="1"/>
  <c r="C134" i="2"/>
  <c r="H147" i="2"/>
  <c r="G147" i="2"/>
  <c r="F147" i="2"/>
  <c r="E147" i="2"/>
  <c r="D147" i="2"/>
  <c r="C147" i="2"/>
  <c r="I146" i="2"/>
  <c r="I147" i="2" s="1"/>
  <c r="H145" i="2"/>
  <c r="G145" i="2"/>
  <c r="E145" i="2"/>
  <c r="D144" i="2"/>
  <c r="I143" i="2"/>
  <c r="J143" i="2" s="1"/>
  <c r="F142" i="2"/>
  <c r="I142" i="2" s="1"/>
  <c r="C142" i="2"/>
  <c r="I141" i="2"/>
  <c r="J141" i="2" s="1"/>
  <c r="F140" i="2"/>
  <c r="I140" i="2" s="1"/>
  <c r="J140" i="2" s="1"/>
  <c r="F139" i="2"/>
  <c r="I139" i="2" s="1"/>
  <c r="J139" i="2" s="1"/>
  <c r="I138" i="2"/>
  <c r="J138" i="2" s="1"/>
  <c r="I137" i="2"/>
  <c r="J137" i="2" s="1"/>
  <c r="I136" i="2"/>
  <c r="J136" i="2" s="1"/>
  <c r="I135" i="2"/>
  <c r="J135" i="2" s="1"/>
  <c r="I133" i="2"/>
  <c r="J133" i="2" s="1"/>
  <c r="I132" i="2"/>
  <c r="J132" i="2" s="1"/>
  <c r="F131" i="2"/>
  <c r="C131" i="2"/>
  <c r="I130" i="2"/>
  <c r="J130" i="2" s="1"/>
  <c r="M145" i="2"/>
  <c r="S46" i="3" l="1"/>
  <c r="G148" i="2"/>
  <c r="H148" i="2"/>
  <c r="C145" i="2"/>
  <c r="C148" i="2" s="1"/>
  <c r="I144" i="2"/>
  <c r="J144" i="2" s="1"/>
  <c r="I211" i="10"/>
  <c r="Q211" i="10" s="1"/>
  <c r="M210" i="10"/>
  <c r="N210" i="10"/>
  <c r="N205" i="10"/>
  <c r="F208" i="10"/>
  <c r="O205" i="10"/>
  <c r="J134" i="2"/>
  <c r="E148" i="2"/>
  <c r="J146" i="2"/>
  <c r="I114" i="2"/>
  <c r="I117" i="2" s="1"/>
  <c r="J117" i="2" s="1"/>
  <c r="J142" i="2"/>
  <c r="F145" i="2"/>
  <c r="F148" i="2" s="1"/>
  <c r="F149" i="2" s="1"/>
  <c r="F151" i="2" s="1"/>
  <c r="D145" i="2"/>
  <c r="D148" i="2" s="1"/>
  <c r="J147" i="2"/>
  <c r="I131" i="2"/>
  <c r="J131" i="2" s="1"/>
  <c r="H209" i="2"/>
  <c r="G209" i="2"/>
  <c r="F209" i="2"/>
  <c r="E209" i="2"/>
  <c r="D209" i="2"/>
  <c r="C209" i="2"/>
  <c r="I208" i="2"/>
  <c r="I209" i="2" s="1"/>
  <c r="H207" i="2"/>
  <c r="G207" i="2"/>
  <c r="E207" i="2"/>
  <c r="F206" i="2"/>
  <c r="D206" i="2"/>
  <c r="I205" i="2"/>
  <c r="J205" i="2" s="1"/>
  <c r="F204" i="2"/>
  <c r="I204" i="2" s="1"/>
  <c r="C204" i="2"/>
  <c r="I203" i="2"/>
  <c r="J203" i="2" s="1"/>
  <c r="F202" i="2"/>
  <c r="I202" i="2" s="1"/>
  <c r="J202" i="2" s="1"/>
  <c r="F201" i="2"/>
  <c r="I200" i="2"/>
  <c r="J200" i="2" s="1"/>
  <c r="I199" i="2"/>
  <c r="J199" i="2" s="1"/>
  <c r="I198" i="2"/>
  <c r="J198" i="2" s="1"/>
  <c r="I197" i="2"/>
  <c r="J197" i="2" s="1"/>
  <c r="I196" i="2"/>
  <c r="J196" i="2" s="1"/>
  <c r="I195" i="2"/>
  <c r="J195" i="2" s="1"/>
  <c r="I194" i="2"/>
  <c r="J194" i="2" s="1"/>
  <c r="F193" i="2"/>
  <c r="I193" i="2" s="1"/>
  <c r="C193" i="2"/>
  <c r="I192" i="2"/>
  <c r="J192" i="2" s="1"/>
  <c r="E149" i="2" l="1"/>
  <c r="I206" i="2"/>
  <c r="J206" i="2" s="1"/>
  <c r="I145" i="2"/>
  <c r="I148" i="2" s="1"/>
  <c r="J148" i="2" s="1"/>
  <c r="N208" i="10"/>
  <c r="O208" i="10"/>
  <c r="F211" i="10"/>
  <c r="H210" i="2"/>
  <c r="J114" i="2"/>
  <c r="J193" i="2"/>
  <c r="C207" i="2"/>
  <c r="C210" i="2" s="1"/>
  <c r="F207" i="2"/>
  <c r="F210" i="2" s="1"/>
  <c r="F211" i="2" s="1"/>
  <c r="F213" i="2" s="1"/>
  <c r="J204" i="2"/>
  <c r="E210" i="2"/>
  <c r="J209" i="2"/>
  <c r="G210" i="2"/>
  <c r="I201" i="2"/>
  <c r="J201" i="2" s="1"/>
  <c r="D207" i="2"/>
  <c r="J208" i="2"/>
  <c r="J145" i="2" l="1"/>
  <c r="N211" i="10"/>
  <c r="O211" i="10"/>
  <c r="D210" i="2"/>
  <c r="E211" i="2"/>
  <c r="I207" i="2"/>
  <c r="I210" i="2" l="1"/>
  <c r="J210" i="2" s="1"/>
  <c r="J207" i="2"/>
  <c r="W29" i="3" l="1"/>
  <c r="W39" i="3"/>
  <c r="W41" i="3"/>
  <c r="C44" i="7" l="1"/>
  <c r="C41" i="7"/>
  <c r="C25" i="7"/>
  <c r="C46" i="7" s="1"/>
  <c r="C49" i="7" s="1"/>
  <c r="C15" i="7"/>
  <c r="C12" i="7"/>
  <c r="C7" i="7"/>
  <c r="H135" i="6"/>
  <c r="C18" i="7" l="1"/>
  <c r="C21" i="7" s="1"/>
  <c r="C50" i="7" s="1"/>
  <c r="H11" i="4"/>
  <c r="G144" i="6" l="1"/>
  <c r="G145" i="6"/>
  <c r="G109" i="6" l="1"/>
  <c r="G106" i="6"/>
  <c r="G101" i="6"/>
  <c r="G99" i="6"/>
  <c r="G50" i="6"/>
  <c r="G42" i="6"/>
  <c r="G152" i="6" l="1"/>
  <c r="E39" i="6"/>
  <c r="E40" i="6"/>
  <c r="H34" i="6"/>
  <c r="E114" i="6" l="1"/>
  <c r="G87" i="6"/>
  <c r="E87" i="6"/>
  <c r="E85" i="6"/>
  <c r="E56" i="6"/>
  <c r="E59" i="6"/>
  <c r="G3" i="6"/>
  <c r="W35" i="3"/>
  <c r="E174" i="6" l="1"/>
  <c r="E198" i="6" s="1"/>
  <c r="E184" i="6"/>
  <c r="E199" i="6" s="1"/>
  <c r="E152" i="6"/>
  <c r="E143" i="6" s="1"/>
  <c r="E195" i="6" s="1"/>
  <c r="E169" i="6"/>
  <c r="E153" i="6" s="1"/>
  <c r="E196" i="6" s="1"/>
  <c r="E79" i="6"/>
  <c r="E81" i="6"/>
  <c r="E84" i="6"/>
  <c r="E86" i="6"/>
  <c r="E89" i="6"/>
  <c r="E93" i="6"/>
  <c r="E98" i="6"/>
  <c r="E102" i="6"/>
  <c r="E107" i="6"/>
  <c r="E113" i="6"/>
  <c r="E122" i="6"/>
  <c r="E121" i="6" s="1"/>
  <c r="E128" i="6"/>
  <c r="E129" i="6"/>
  <c r="E132" i="6"/>
  <c r="E134" i="6"/>
  <c r="E136" i="6" s="1"/>
  <c r="E135" i="6"/>
  <c r="E3" i="6"/>
  <c r="E20" i="6"/>
  <c r="E11" i="6" s="1"/>
  <c r="E32" i="6"/>
  <c r="E34" i="6"/>
  <c r="E60" i="6"/>
  <c r="E41" i="6" s="1"/>
  <c r="E69" i="6"/>
  <c r="E71" i="6"/>
  <c r="E78" i="6" l="1"/>
  <c r="E127" i="6" s="1"/>
  <c r="E200" i="6"/>
  <c r="E72" i="6"/>
  <c r="E133" i="6"/>
  <c r="E137" i="6"/>
  <c r="E197" i="6"/>
  <c r="E66" i="6"/>
  <c r="W12" i="3"/>
  <c r="F164" i="2"/>
  <c r="D164" i="2"/>
  <c r="C164" i="2"/>
  <c r="I144" i="6"/>
  <c r="I145" i="6"/>
  <c r="I146" i="6"/>
  <c r="I148" i="6"/>
  <c r="I149" i="6"/>
  <c r="I150" i="6"/>
  <c r="I151" i="6"/>
  <c r="I154" i="6"/>
  <c r="I155" i="6"/>
  <c r="I156" i="6"/>
  <c r="I158" i="6"/>
  <c r="I159" i="6"/>
  <c r="I161" i="6"/>
  <c r="I163" i="6"/>
  <c r="I164" i="6"/>
  <c r="I168" i="6"/>
  <c r="I175" i="6"/>
  <c r="I178" i="6"/>
  <c r="I179" i="6"/>
  <c r="I181" i="6"/>
  <c r="I182" i="6"/>
  <c r="I185" i="6"/>
  <c r="I186" i="6"/>
  <c r="I187" i="6"/>
  <c r="I4" i="6"/>
  <c r="I5" i="6"/>
  <c r="I6" i="6"/>
  <c r="I7" i="6"/>
  <c r="I8" i="6"/>
  <c r="I9" i="6"/>
  <c r="I10" i="6"/>
  <c r="I12" i="6"/>
  <c r="I13" i="6"/>
  <c r="I14" i="6"/>
  <c r="I17" i="6"/>
  <c r="I19" i="6"/>
  <c r="I21" i="6"/>
  <c r="I22" i="6"/>
  <c r="I23" i="6"/>
  <c r="I24" i="6"/>
  <c r="I25" i="6"/>
  <c r="I26" i="6"/>
  <c r="I27" i="6"/>
  <c r="I28" i="6"/>
  <c r="I29" i="6"/>
  <c r="I30" i="6"/>
  <c r="I31" i="6"/>
  <c r="I33" i="6"/>
  <c r="I36" i="6"/>
  <c r="I37" i="6"/>
  <c r="I38" i="6"/>
  <c r="I40" i="6"/>
  <c r="I44" i="6"/>
  <c r="I45" i="6"/>
  <c r="I46" i="6"/>
  <c r="I47" i="6"/>
  <c r="I48" i="6"/>
  <c r="I49" i="6"/>
  <c r="I51" i="6"/>
  <c r="I52" i="6"/>
  <c r="I53" i="6"/>
  <c r="I54" i="6"/>
  <c r="I55" i="6"/>
  <c r="I57" i="6"/>
  <c r="I58" i="6"/>
  <c r="I61" i="6"/>
  <c r="I62" i="6"/>
  <c r="I63" i="6"/>
  <c r="I67" i="6"/>
  <c r="I68" i="6"/>
  <c r="I70" i="6"/>
  <c r="I80" i="6"/>
  <c r="I82" i="6"/>
  <c r="I83" i="6"/>
  <c r="I88" i="6"/>
  <c r="I90" i="6"/>
  <c r="I91" i="6"/>
  <c r="I92" i="6"/>
  <c r="I94" i="6"/>
  <c r="I96" i="6"/>
  <c r="I97" i="6"/>
  <c r="I103" i="6"/>
  <c r="I104" i="6"/>
  <c r="I105" i="6"/>
  <c r="I106" i="6"/>
  <c r="I110" i="6"/>
  <c r="I112" i="6"/>
  <c r="I115" i="6"/>
  <c r="I116" i="6"/>
  <c r="I117" i="6"/>
  <c r="I119" i="6"/>
  <c r="I120" i="6"/>
  <c r="I123" i="6"/>
  <c r="I124" i="6"/>
  <c r="I125" i="6"/>
  <c r="I126" i="6"/>
  <c r="I131" i="6"/>
  <c r="E179" i="2"/>
  <c r="I165" i="6"/>
  <c r="C173" i="2"/>
  <c r="E173" i="2"/>
  <c r="L31" i="6"/>
  <c r="L16" i="6"/>
  <c r="E138" i="6" l="1"/>
  <c r="E73" i="6"/>
  <c r="G114" i="6"/>
  <c r="I114" i="6" s="1"/>
  <c r="G59" i="6"/>
  <c r="I59" i="6" s="1"/>
  <c r="E193" i="6" l="1"/>
  <c r="E204" i="6" s="1"/>
  <c r="E192" i="6"/>
  <c r="I169" i="6"/>
  <c r="I180" i="6"/>
  <c r="I166" i="6"/>
  <c r="C174" i="2"/>
  <c r="F174" i="2"/>
  <c r="F177" i="2"/>
  <c r="C177" i="2"/>
  <c r="I152" i="6"/>
  <c r="I168" i="2"/>
  <c r="J168" i="2" s="1"/>
  <c r="E207" i="6" l="1"/>
  <c r="E203" i="6"/>
  <c r="E194" i="6"/>
  <c r="E201" i="6" s="1"/>
  <c r="J146" i="6"/>
  <c r="K146" i="6" s="1"/>
  <c r="E210" i="6" l="1"/>
  <c r="E206" i="6"/>
  <c r="I122" i="6"/>
  <c r="G111" i="6"/>
  <c r="I111" i="6" s="1"/>
  <c r="I109" i="6"/>
  <c r="G108" i="6"/>
  <c r="I108" i="6" s="1"/>
  <c r="I101" i="6"/>
  <c r="G100" i="6"/>
  <c r="I100" i="6" s="1"/>
  <c r="I99" i="6"/>
  <c r="G95" i="6"/>
  <c r="I95" i="6" s="1"/>
  <c r="I87" i="6"/>
  <c r="J152" i="6"/>
  <c r="E209" i="6" l="1"/>
  <c r="K16" i="6"/>
  <c r="I15" i="6"/>
  <c r="D177" i="2"/>
  <c r="F173" i="2" l="1"/>
  <c r="W37" i="3" l="1"/>
  <c r="W25" i="3" s="1"/>
  <c r="G56" i="6" l="1"/>
  <c r="I56" i="6" s="1"/>
  <c r="I157" i="6" l="1"/>
  <c r="F165" i="2"/>
  <c r="C165" i="2"/>
  <c r="G39" i="6" l="1"/>
  <c r="G177" i="6"/>
  <c r="G118" i="6"/>
  <c r="I118" i="6" s="1"/>
  <c r="I85" i="6"/>
  <c r="H41" i="6"/>
  <c r="G32" i="6"/>
  <c r="H32" i="6"/>
  <c r="H11" i="6"/>
  <c r="H3" i="6"/>
  <c r="G184" i="6"/>
  <c r="G153" i="6"/>
  <c r="G196" i="6" s="1"/>
  <c r="G143" i="6"/>
  <c r="G195" i="6" s="1"/>
  <c r="G84" i="6"/>
  <c r="G79" i="6"/>
  <c r="I79" i="6" s="1"/>
  <c r="G81" i="6"/>
  <c r="I81" i="6" s="1"/>
  <c r="G86" i="6"/>
  <c r="G89" i="6"/>
  <c r="G93" i="6"/>
  <c r="G98" i="6"/>
  <c r="G102" i="6"/>
  <c r="G107" i="6"/>
  <c r="G121" i="6"/>
  <c r="G129" i="6"/>
  <c r="G132" i="6"/>
  <c r="G135" i="6"/>
  <c r="J16" i="6"/>
  <c r="J10" i="6"/>
  <c r="G20" i="6"/>
  <c r="G60" i="6"/>
  <c r="I60" i="6" s="1"/>
  <c r="G69" i="6"/>
  <c r="G71" i="6"/>
  <c r="W15" i="3"/>
  <c r="H184" i="6"/>
  <c r="C184" i="6"/>
  <c r="C199" i="6" s="1"/>
  <c r="C177" i="6"/>
  <c r="H174" i="6"/>
  <c r="C169" i="6"/>
  <c r="C153" i="6" s="1"/>
  <c r="C196" i="6" s="1"/>
  <c r="H153" i="6"/>
  <c r="C152" i="6"/>
  <c r="C143" i="6" s="1"/>
  <c r="H143" i="6"/>
  <c r="H136" i="6"/>
  <c r="C135" i="6"/>
  <c r="C134" i="6" s="1"/>
  <c r="C136" i="6" s="1"/>
  <c r="H132" i="6"/>
  <c r="C132" i="6"/>
  <c r="H129" i="6"/>
  <c r="C129" i="6"/>
  <c r="H128" i="6"/>
  <c r="C128" i="6"/>
  <c r="C122" i="6"/>
  <c r="C121" i="6" s="1"/>
  <c r="H121" i="6"/>
  <c r="C114" i="6"/>
  <c r="C113" i="6" s="1"/>
  <c r="H113" i="6"/>
  <c r="H107" i="6"/>
  <c r="C107" i="6"/>
  <c r="H102" i="6"/>
  <c r="C102" i="6"/>
  <c r="H98" i="6"/>
  <c r="C98" i="6"/>
  <c r="H93" i="6"/>
  <c r="I93" i="6" s="1"/>
  <c r="C93" i="6"/>
  <c r="H89" i="6"/>
  <c r="C89" i="6"/>
  <c r="H86" i="6"/>
  <c r="C86" i="6"/>
  <c r="H84" i="6"/>
  <c r="C84" i="6"/>
  <c r="C81" i="6"/>
  <c r="C79" i="6"/>
  <c r="H78" i="6"/>
  <c r="H71" i="6"/>
  <c r="C71" i="6"/>
  <c r="H69" i="6"/>
  <c r="C69" i="6"/>
  <c r="C60" i="6"/>
  <c r="C41" i="6" s="1"/>
  <c r="C40" i="6"/>
  <c r="C34" i="6" s="1"/>
  <c r="C32" i="6"/>
  <c r="C20" i="6"/>
  <c r="C11" i="6" s="1"/>
  <c r="C3" i="6"/>
  <c r="W45" i="3"/>
  <c r="W7" i="3"/>
  <c r="J179" i="6" l="1"/>
  <c r="J177" i="6"/>
  <c r="I39" i="6"/>
  <c r="G34" i="6"/>
  <c r="I34" i="6" s="1"/>
  <c r="I121" i="6"/>
  <c r="I107" i="6"/>
  <c r="I89" i="6"/>
  <c r="I84" i="6"/>
  <c r="C195" i="6"/>
  <c r="C197" i="6" s="1"/>
  <c r="H195" i="6"/>
  <c r="I143" i="6"/>
  <c r="G174" i="6"/>
  <c r="I177" i="6"/>
  <c r="H199" i="6"/>
  <c r="I184" i="6"/>
  <c r="H196" i="6"/>
  <c r="I153" i="6"/>
  <c r="H198" i="6"/>
  <c r="H200" i="6" s="1"/>
  <c r="I69" i="6"/>
  <c r="I3" i="6"/>
  <c r="G11" i="6"/>
  <c r="I11" i="6" s="1"/>
  <c r="I20" i="6"/>
  <c r="K31" i="6"/>
  <c r="I86" i="6"/>
  <c r="I102" i="6"/>
  <c r="I132" i="6"/>
  <c r="I71" i="6"/>
  <c r="I98" i="6"/>
  <c r="I129" i="6"/>
  <c r="G134" i="6"/>
  <c r="I134" i="6" s="1"/>
  <c r="I135" i="6"/>
  <c r="G128" i="6"/>
  <c r="I65" i="6"/>
  <c r="I32" i="6"/>
  <c r="G113" i="6"/>
  <c r="I113" i="6" s="1"/>
  <c r="G41" i="6"/>
  <c r="I41" i="6" s="1"/>
  <c r="G199" i="6"/>
  <c r="G78" i="6"/>
  <c r="I78" i="6" s="1"/>
  <c r="G72" i="6"/>
  <c r="J31" i="6"/>
  <c r="C72" i="6"/>
  <c r="G197" i="6"/>
  <c r="H66" i="6"/>
  <c r="H127" i="6"/>
  <c r="H133" i="6"/>
  <c r="C174" i="6"/>
  <c r="C198" i="6" s="1"/>
  <c r="C200" i="6" s="1"/>
  <c r="H72" i="6"/>
  <c r="I72" i="6" s="1"/>
  <c r="C133" i="6"/>
  <c r="C66" i="6"/>
  <c r="J153" i="6"/>
  <c r="W47" i="3"/>
  <c r="W50" i="3" s="1"/>
  <c r="W18" i="3"/>
  <c r="W21" i="3" s="1"/>
  <c r="C78" i="6"/>
  <c r="C127" i="6" s="1"/>
  <c r="E256" i="1"/>
  <c r="F256" i="1"/>
  <c r="G256" i="1"/>
  <c r="H256" i="1"/>
  <c r="I256" i="1"/>
  <c r="J256" i="1"/>
  <c r="K256" i="1"/>
  <c r="E257" i="1"/>
  <c r="F257" i="1"/>
  <c r="G257" i="1"/>
  <c r="H257" i="1"/>
  <c r="I257" i="1"/>
  <c r="J257" i="1"/>
  <c r="K257" i="1"/>
  <c r="D257" i="1"/>
  <c r="D256" i="1"/>
  <c r="C137" i="6" l="1"/>
  <c r="H197" i="6"/>
  <c r="G198" i="6"/>
  <c r="G200" i="6" s="1"/>
  <c r="G133" i="6"/>
  <c r="I174" i="6"/>
  <c r="G136" i="6"/>
  <c r="H137" i="6"/>
  <c r="I133" i="6"/>
  <c r="I128" i="6"/>
  <c r="G127" i="6"/>
  <c r="G66" i="6"/>
  <c r="C138" i="6"/>
  <c r="C73" i="6"/>
  <c r="H73" i="6"/>
  <c r="H138" i="6"/>
  <c r="W51" i="3"/>
  <c r="I75" i="1"/>
  <c r="C192" i="6" l="1"/>
  <c r="C203" i="6" s="1"/>
  <c r="C206" i="6" s="1"/>
  <c r="J206" i="6" s="1"/>
  <c r="C193" i="6"/>
  <c r="C204" i="6" s="1"/>
  <c r="J204" i="6" s="1"/>
  <c r="I127" i="6"/>
  <c r="I66" i="6"/>
  <c r="G73" i="6"/>
  <c r="G137" i="6"/>
  <c r="I136" i="6"/>
  <c r="H193" i="6"/>
  <c r="H204" i="6" s="1"/>
  <c r="H207" i="6" s="1"/>
  <c r="H210" i="6" s="1"/>
  <c r="H192" i="6"/>
  <c r="H203" i="6" s="1"/>
  <c r="H206" i="6" s="1"/>
  <c r="H209" i="6" s="1"/>
  <c r="S84" i="1"/>
  <c r="N84" i="1"/>
  <c r="O84" i="1"/>
  <c r="P84" i="1"/>
  <c r="Q84" i="1"/>
  <c r="R84" i="1"/>
  <c r="M84" i="1"/>
  <c r="J203" i="6" l="1"/>
  <c r="C207" i="6"/>
  <c r="J207" i="6" s="1"/>
  <c r="C209" i="6"/>
  <c r="C194" i="6"/>
  <c r="C201" i="6" s="1"/>
  <c r="G138" i="6"/>
  <c r="G192" i="6"/>
  <c r="G203" i="6" s="1"/>
  <c r="I137" i="6"/>
  <c r="I73" i="6"/>
  <c r="H194" i="6"/>
  <c r="H201" i="6" s="1"/>
  <c r="I132" i="1"/>
  <c r="I97" i="1"/>
  <c r="G193" i="6" l="1"/>
  <c r="G204" i="6" s="1"/>
  <c r="I138" i="6"/>
  <c r="J209" i="6"/>
  <c r="C210" i="6"/>
  <c r="G206" i="6"/>
  <c r="O142" i="1"/>
  <c r="I142" i="1"/>
  <c r="I99" i="1"/>
  <c r="G207" i="6" l="1"/>
  <c r="G194" i="6"/>
  <c r="G201" i="6" s="1"/>
  <c r="J210" i="6"/>
  <c r="G210" i="6"/>
  <c r="G209" i="6"/>
  <c r="J4" i="1"/>
  <c r="K4" i="1"/>
  <c r="M228" i="1"/>
  <c r="N228" i="1"/>
  <c r="L167" i="1"/>
  <c r="E178" i="2" l="1"/>
  <c r="G178" i="2"/>
  <c r="H178" i="2"/>
  <c r="M224" i="1"/>
  <c r="N224" i="1"/>
  <c r="D178" i="2"/>
  <c r="I173" i="1"/>
  <c r="L177" i="1" s="1"/>
  <c r="I177" i="2" l="1"/>
  <c r="I175" i="2"/>
  <c r="J175" i="2" s="1"/>
  <c r="I174" i="2"/>
  <c r="I173" i="2"/>
  <c r="F172" i="2"/>
  <c r="I172" i="2" s="1"/>
  <c r="J172" i="2" s="1"/>
  <c r="F171" i="2"/>
  <c r="I171" i="2" s="1"/>
  <c r="J171" i="2" s="1"/>
  <c r="I170" i="2"/>
  <c r="I167" i="2"/>
  <c r="I169" i="2"/>
  <c r="I166" i="2"/>
  <c r="I164" i="2"/>
  <c r="M176" i="2"/>
  <c r="I163" i="2"/>
  <c r="F162" i="2"/>
  <c r="C162" i="2"/>
  <c r="I161" i="2"/>
  <c r="J161" i="2" s="1"/>
  <c r="K171" i="2" l="1"/>
  <c r="K173" i="2"/>
  <c r="J167" i="2"/>
  <c r="K168" i="2"/>
  <c r="K163" i="2"/>
  <c r="K174" i="2"/>
  <c r="I162" i="2"/>
  <c r="K161" i="2" s="1"/>
  <c r="F178" i="2"/>
  <c r="F179" i="2" s="1"/>
  <c r="J169" i="2"/>
  <c r="J173" i="2"/>
  <c r="J164" i="2"/>
  <c r="J174" i="2"/>
  <c r="I176" i="2"/>
  <c r="J177" i="2"/>
  <c r="C178" i="2"/>
  <c r="I165" i="2"/>
  <c r="K166" i="2" s="1"/>
  <c r="J163" i="2"/>
  <c r="J170" i="2"/>
  <c r="J166" i="2"/>
  <c r="J162" i="2" l="1"/>
  <c r="J165" i="2"/>
  <c r="J176" i="2"/>
  <c r="F181" i="2"/>
  <c r="I178" i="2"/>
  <c r="J178" i="2" l="1"/>
  <c r="I215" i="1" l="1"/>
  <c r="M155" i="1" l="1"/>
  <c r="N155" i="1"/>
  <c r="K43" i="1" l="1"/>
  <c r="J43" i="1"/>
  <c r="I43" i="1"/>
  <c r="M16" i="1"/>
  <c r="N16" i="1"/>
  <c r="L16" i="1"/>
  <c r="N227" i="1"/>
  <c r="O227" i="1"/>
  <c r="L214" i="1"/>
  <c r="L207" i="1"/>
  <c r="L199" i="1"/>
  <c r="L185" i="1"/>
  <c r="L228" i="1"/>
  <c r="L227" i="1" l="1"/>
  <c r="I222" i="1"/>
  <c r="L224" i="1" s="1"/>
  <c r="F220" i="1"/>
  <c r="G220" i="1"/>
  <c r="H220" i="1"/>
  <c r="I220" i="1"/>
  <c r="J220" i="1"/>
  <c r="K220" i="1"/>
  <c r="E220" i="1"/>
  <c r="D220" i="1"/>
  <c r="F231" i="1"/>
  <c r="G231" i="1"/>
  <c r="H231" i="1"/>
  <c r="I231" i="1"/>
  <c r="J231" i="1"/>
  <c r="K231" i="1"/>
  <c r="F178" i="1"/>
  <c r="G178" i="1"/>
  <c r="H178" i="1"/>
  <c r="I178" i="1"/>
  <c r="J178" i="1"/>
  <c r="K178" i="1"/>
  <c r="H124" i="1"/>
  <c r="H120" i="1" s="1"/>
  <c r="H119" i="1"/>
  <c r="H117" i="1"/>
  <c r="H116" i="1" s="1"/>
  <c r="H113" i="1"/>
  <c r="H112" i="1"/>
  <c r="H109" i="1"/>
  <c r="H107" i="1" s="1"/>
  <c r="H106" i="1"/>
  <c r="H105" i="1"/>
  <c r="H102" i="1"/>
  <c r="H101" i="1"/>
  <c r="H100" i="1"/>
  <c r="F45" i="1"/>
  <c r="G45" i="1"/>
  <c r="H45" i="1"/>
  <c r="I45" i="1"/>
  <c r="J45" i="1"/>
  <c r="K45" i="1"/>
  <c r="E45" i="1"/>
  <c r="E89" i="1"/>
  <c r="F89" i="1"/>
  <c r="G89" i="1"/>
  <c r="H89" i="1"/>
  <c r="I89" i="1"/>
  <c r="J89" i="1"/>
  <c r="K89" i="1"/>
  <c r="D89" i="1"/>
  <c r="H42" i="1"/>
  <c r="H41" i="1"/>
  <c r="H40" i="1"/>
  <c r="H15" i="1"/>
  <c r="H10" i="1"/>
  <c r="H5" i="1"/>
  <c r="G150" i="1"/>
  <c r="G142" i="1"/>
  <c r="G141" i="1" s="1"/>
  <c r="E131" i="1"/>
  <c r="F131" i="1"/>
  <c r="G131" i="1"/>
  <c r="H131" i="1"/>
  <c r="G130" i="1"/>
  <c r="G129" i="1"/>
  <c r="G128" i="1"/>
  <c r="G127" i="1"/>
  <c r="G126" i="1"/>
  <c r="G148" i="1"/>
  <c r="G149" i="1"/>
  <c r="G123" i="1"/>
  <c r="G120" i="1"/>
  <c r="G118" i="1"/>
  <c r="G117" i="1"/>
  <c r="G116" i="1" s="1"/>
  <c r="G111" i="1"/>
  <c r="G110" i="1"/>
  <c r="G109" i="1"/>
  <c r="G108" i="1"/>
  <c r="G104" i="1"/>
  <c r="G103" i="1"/>
  <c r="G102" i="1" s="1"/>
  <c r="G101" i="1"/>
  <c r="G100" i="1"/>
  <c r="G99" i="1"/>
  <c r="G98" i="1"/>
  <c r="G10" i="1"/>
  <c r="G6" i="1"/>
  <c r="G5" i="1"/>
  <c r="H96" i="1" l="1"/>
  <c r="M227" i="1"/>
  <c r="G107" i="1"/>
  <c r="H104" i="1"/>
  <c r="H111" i="1"/>
  <c r="H3" i="1"/>
  <c r="G96" i="1"/>
  <c r="G125" i="1"/>
  <c r="F246" i="1"/>
  <c r="F245" i="1"/>
  <c r="F243" i="1"/>
  <c r="F165" i="1"/>
  <c r="F242" i="1" s="1"/>
  <c r="F158" i="1"/>
  <c r="F148" i="1"/>
  <c r="F149" i="1"/>
  <c r="F153" i="1"/>
  <c r="F141" i="1"/>
  <c r="F125" i="1"/>
  <c r="F120" i="1"/>
  <c r="F116" i="1"/>
  <c r="F111" i="1"/>
  <c r="F107" i="1"/>
  <c r="F104" i="1"/>
  <c r="F102" i="1"/>
  <c r="F96" i="1"/>
  <c r="F86" i="1"/>
  <c r="F90" i="1" s="1"/>
  <c r="F35" i="1"/>
  <c r="F37" i="1"/>
  <c r="F11" i="1"/>
  <c r="F3" i="1"/>
  <c r="G147" i="1" l="1"/>
  <c r="F244" i="1"/>
  <c r="F247" i="1"/>
  <c r="F154" i="1"/>
  <c r="F159" i="1" s="1"/>
  <c r="F147" i="1"/>
  <c r="F82" i="1"/>
  <c r="F91" i="1" s="1"/>
  <c r="F239" i="1" s="1"/>
  <c r="F250" i="1" s="1"/>
  <c r="F253" i="1" s="1"/>
  <c r="F160" i="1" l="1"/>
  <c r="F240" i="1" s="1"/>
  <c r="F241" i="1" s="1"/>
  <c r="F248" i="1" s="1"/>
  <c r="F251" i="1"/>
  <c r="F254" i="1" s="1"/>
  <c r="Q142" i="1" l="1"/>
  <c r="K131" i="1"/>
  <c r="J131" i="1"/>
  <c r="I131" i="1" l="1"/>
  <c r="J20" i="1" l="1"/>
  <c r="M34" i="1" s="1"/>
  <c r="K20" i="1"/>
  <c r="N34" i="1" s="1"/>
  <c r="I20" i="1" l="1"/>
  <c r="L34" i="1" s="1"/>
  <c r="L10" i="1" l="1"/>
  <c r="L138" i="1" l="1"/>
  <c r="L81" i="1"/>
  <c r="C220" i="1" l="1"/>
  <c r="E178" i="1"/>
  <c r="D165" i="1"/>
  <c r="E165" i="1"/>
  <c r="H165" i="1"/>
  <c r="I165" i="1"/>
  <c r="J165" i="1"/>
  <c r="M178" i="1" s="1"/>
  <c r="K165" i="1"/>
  <c r="N178" i="1" s="1"/>
  <c r="D45" i="1"/>
  <c r="E37" i="1"/>
  <c r="G37" i="1"/>
  <c r="H37" i="1"/>
  <c r="I37" i="1"/>
  <c r="J37" i="1"/>
  <c r="K37" i="1"/>
  <c r="D11" i="1"/>
  <c r="E11" i="1"/>
  <c r="G11" i="1"/>
  <c r="D3" i="1"/>
  <c r="E3" i="1"/>
  <c r="G3" i="1"/>
  <c r="I3" i="1"/>
  <c r="J3" i="1"/>
  <c r="K3" i="1"/>
  <c r="E148" i="1"/>
  <c r="L178" i="1" l="1"/>
  <c r="J245" i="1"/>
  <c r="J246" i="1"/>
  <c r="J242" i="1"/>
  <c r="J243" i="1"/>
  <c r="J96" i="1"/>
  <c r="J102" i="1"/>
  <c r="J104" i="1"/>
  <c r="J107" i="1"/>
  <c r="J111" i="1"/>
  <c r="J116" i="1"/>
  <c r="J120" i="1"/>
  <c r="J125" i="1"/>
  <c r="J141" i="1"/>
  <c r="J148" i="1"/>
  <c r="J149" i="1"/>
  <c r="J150" i="1"/>
  <c r="J153" i="1"/>
  <c r="M153" i="1" s="1"/>
  <c r="J157" i="1"/>
  <c r="J158" i="1" s="1"/>
  <c r="J11" i="1"/>
  <c r="J35" i="1"/>
  <c r="J86" i="1"/>
  <c r="J90" i="1" s="1"/>
  <c r="K246" i="1"/>
  <c r="I246" i="1"/>
  <c r="H246" i="1"/>
  <c r="G246" i="1"/>
  <c r="E231" i="1"/>
  <c r="E246" i="1" s="1"/>
  <c r="D231" i="1"/>
  <c r="D246" i="1" s="1"/>
  <c r="C231" i="1"/>
  <c r="C246" i="1" s="1"/>
  <c r="G245" i="1"/>
  <c r="K245" i="1"/>
  <c r="I245" i="1"/>
  <c r="H245" i="1"/>
  <c r="E245" i="1"/>
  <c r="C245" i="1"/>
  <c r="C201" i="1"/>
  <c r="D184" i="1"/>
  <c r="K243" i="1"/>
  <c r="I243" i="1"/>
  <c r="E243" i="1"/>
  <c r="G166" i="1"/>
  <c r="G165" i="1" s="1"/>
  <c r="K242" i="1"/>
  <c r="I242" i="1"/>
  <c r="H242" i="1"/>
  <c r="E242" i="1"/>
  <c r="D242" i="1"/>
  <c r="C165" i="1"/>
  <c r="C242" i="1" s="1"/>
  <c r="K157" i="1"/>
  <c r="K158" i="1" s="1"/>
  <c r="I157" i="1"/>
  <c r="H157" i="1"/>
  <c r="H158" i="1" s="1"/>
  <c r="E157" i="1"/>
  <c r="D157" i="1"/>
  <c r="C157" i="1"/>
  <c r="E155" i="1"/>
  <c r="D155" i="1"/>
  <c r="C155" i="1"/>
  <c r="K153" i="1"/>
  <c r="N153" i="1" s="1"/>
  <c r="I153" i="1"/>
  <c r="L153" i="1" s="1"/>
  <c r="H153" i="1"/>
  <c r="G153" i="1"/>
  <c r="E153" i="1"/>
  <c r="D153" i="1"/>
  <c r="C153" i="1"/>
  <c r="D152" i="1"/>
  <c r="K150" i="1"/>
  <c r="I150" i="1"/>
  <c r="K149" i="1"/>
  <c r="I149" i="1"/>
  <c r="H149" i="1"/>
  <c r="E149" i="1"/>
  <c r="D149" i="1"/>
  <c r="C149" i="1"/>
  <c r="K148" i="1"/>
  <c r="I148" i="1"/>
  <c r="D148" i="1"/>
  <c r="C148" i="1"/>
  <c r="K141" i="1"/>
  <c r="I141" i="1"/>
  <c r="H141" i="1"/>
  <c r="E141" i="1"/>
  <c r="D141" i="1"/>
  <c r="C141" i="1"/>
  <c r="D131" i="1"/>
  <c r="C131" i="1"/>
  <c r="K125" i="1"/>
  <c r="I125" i="1"/>
  <c r="E125" i="1"/>
  <c r="D125" i="1"/>
  <c r="C125" i="1"/>
  <c r="K120" i="1"/>
  <c r="I120" i="1"/>
  <c r="E120" i="1"/>
  <c r="D120" i="1"/>
  <c r="C120" i="1"/>
  <c r="K116" i="1"/>
  <c r="I116" i="1"/>
  <c r="E116" i="1"/>
  <c r="D116" i="1"/>
  <c r="C116" i="1"/>
  <c r="K111" i="1"/>
  <c r="I111" i="1"/>
  <c r="E111" i="1"/>
  <c r="D111" i="1"/>
  <c r="C111" i="1"/>
  <c r="K107" i="1"/>
  <c r="I107" i="1"/>
  <c r="E107" i="1"/>
  <c r="D107" i="1"/>
  <c r="C107" i="1"/>
  <c r="K104" i="1"/>
  <c r="I104" i="1"/>
  <c r="E104" i="1"/>
  <c r="D104" i="1"/>
  <c r="C104" i="1"/>
  <c r="K102" i="1"/>
  <c r="I102" i="1"/>
  <c r="E102" i="1"/>
  <c r="D102" i="1"/>
  <c r="C102" i="1"/>
  <c r="K96" i="1"/>
  <c r="I96" i="1"/>
  <c r="E96" i="1"/>
  <c r="D96" i="1"/>
  <c r="C96" i="1"/>
  <c r="G157" i="1"/>
  <c r="K86" i="1"/>
  <c r="K90" i="1" s="1"/>
  <c r="I86" i="1"/>
  <c r="I90" i="1" s="1"/>
  <c r="H86" i="1"/>
  <c r="H90" i="1" s="1"/>
  <c r="E86" i="1"/>
  <c r="E90" i="1" s="1"/>
  <c r="D86" i="1"/>
  <c r="D90" i="1" s="1"/>
  <c r="C86" i="1"/>
  <c r="C90" i="1" s="1"/>
  <c r="H148" i="1"/>
  <c r="C45" i="1"/>
  <c r="D43" i="1"/>
  <c r="D37" i="1" s="1"/>
  <c r="C43" i="1"/>
  <c r="C37" i="1" s="1"/>
  <c r="K35" i="1"/>
  <c r="I35" i="1"/>
  <c r="H35" i="1"/>
  <c r="G35" i="1"/>
  <c r="E35" i="1"/>
  <c r="D35" i="1"/>
  <c r="C35" i="1"/>
  <c r="C28" i="1"/>
  <c r="C11" i="1" s="1"/>
  <c r="K11" i="1"/>
  <c r="C3" i="1"/>
  <c r="I155" i="1" l="1"/>
  <c r="L155" i="1" s="1"/>
  <c r="M151" i="1"/>
  <c r="N151" i="1"/>
  <c r="L151" i="1"/>
  <c r="D154" i="1"/>
  <c r="C158" i="1"/>
  <c r="I11" i="1"/>
  <c r="I82" i="1" s="1"/>
  <c r="D178" i="1"/>
  <c r="D243" i="1" s="1"/>
  <c r="D244" i="1" s="1"/>
  <c r="I247" i="1"/>
  <c r="C178" i="1"/>
  <c r="C243" i="1" s="1"/>
  <c r="C244" i="1" s="1"/>
  <c r="C154" i="1"/>
  <c r="E154" i="1"/>
  <c r="K247" i="1"/>
  <c r="I147" i="1"/>
  <c r="G243" i="1"/>
  <c r="D147" i="1"/>
  <c r="K154" i="1"/>
  <c r="K159" i="1" s="1"/>
  <c r="D158" i="1"/>
  <c r="H11" i="1"/>
  <c r="H82" i="1" s="1"/>
  <c r="J82" i="1"/>
  <c r="K82" i="1"/>
  <c r="E247" i="1"/>
  <c r="J244" i="1"/>
  <c r="J147" i="1"/>
  <c r="J247" i="1"/>
  <c r="C82" i="1"/>
  <c r="C91" i="1" s="1"/>
  <c r="C239" i="1" s="1"/>
  <c r="G82" i="1"/>
  <c r="E147" i="1"/>
  <c r="K147" i="1"/>
  <c r="H125" i="1"/>
  <c r="K244" i="1"/>
  <c r="E158" i="1"/>
  <c r="E244" i="1"/>
  <c r="J154" i="1"/>
  <c r="J159" i="1" s="1"/>
  <c r="D82" i="1"/>
  <c r="C147" i="1"/>
  <c r="I154" i="1"/>
  <c r="G158" i="1"/>
  <c r="G242" i="1"/>
  <c r="C247" i="1"/>
  <c r="H247" i="1"/>
  <c r="I244" i="1"/>
  <c r="G154" i="1"/>
  <c r="G247" i="1"/>
  <c r="H154" i="1"/>
  <c r="H159" i="1" s="1"/>
  <c r="E82" i="1"/>
  <c r="G86" i="1"/>
  <c r="G90" i="1" s="1"/>
  <c r="I158" i="1" l="1"/>
  <c r="I159" i="1" s="1"/>
  <c r="I160" i="1" s="1"/>
  <c r="I240" i="1" s="1"/>
  <c r="I251" i="1" s="1"/>
  <c r="I254" i="1" s="1"/>
  <c r="E159" i="1"/>
  <c r="E160" i="1" s="1"/>
  <c r="E240" i="1" s="1"/>
  <c r="E251" i="1" s="1"/>
  <c r="E254" i="1" s="1"/>
  <c r="C159" i="1"/>
  <c r="D159" i="1"/>
  <c r="D160" i="1" s="1"/>
  <c r="D240" i="1" s="1"/>
  <c r="D251" i="1" s="1"/>
  <c r="D254" i="1" s="1"/>
  <c r="H243" i="1"/>
  <c r="H244" i="1" s="1"/>
  <c r="C160" i="1"/>
  <c r="C240" i="1" s="1"/>
  <c r="C251" i="1" s="1"/>
  <c r="C254" i="1" s="1"/>
  <c r="G244" i="1"/>
  <c r="K160" i="1"/>
  <c r="K240" i="1" s="1"/>
  <c r="K251" i="1" s="1"/>
  <c r="K254" i="1" s="1"/>
  <c r="H147" i="1"/>
  <c r="H160" i="1" s="1"/>
  <c r="H240" i="1" s="1"/>
  <c r="J160" i="1"/>
  <c r="J240" i="1" s="1"/>
  <c r="J251" i="1" s="1"/>
  <c r="J254" i="1" s="1"/>
  <c r="H91" i="1"/>
  <c r="H239" i="1" s="1"/>
  <c r="H250" i="1" s="1"/>
  <c r="H253" i="1" s="1"/>
  <c r="J91" i="1"/>
  <c r="J239" i="1" s="1"/>
  <c r="E91" i="1"/>
  <c r="E239" i="1" s="1"/>
  <c r="E250" i="1" s="1"/>
  <c r="E253" i="1" s="1"/>
  <c r="D91" i="1"/>
  <c r="D239" i="1" s="1"/>
  <c r="I91" i="1"/>
  <c r="I239" i="1" s="1"/>
  <c r="G91" i="1"/>
  <c r="G239" i="1" s="1"/>
  <c r="G250" i="1" s="1"/>
  <c r="G253" i="1" s="1"/>
  <c r="K91" i="1"/>
  <c r="K239" i="1" s="1"/>
  <c r="K250" i="1" s="1"/>
  <c r="K253" i="1" s="1"/>
  <c r="G159" i="1"/>
  <c r="C250" i="1"/>
  <c r="C253" i="1" s="1"/>
  <c r="H251" i="1" l="1"/>
  <c r="H254" i="1" s="1"/>
  <c r="C241" i="1"/>
  <c r="C248" i="1" s="1"/>
  <c r="I241" i="1"/>
  <c r="I248" i="1" s="1"/>
  <c r="I250" i="1"/>
  <c r="I253" i="1" s="1"/>
  <c r="G160" i="1"/>
  <c r="G240" i="1" s="1"/>
  <c r="G251" i="1" s="1"/>
  <c r="G254" i="1" s="1"/>
  <c r="D241" i="1"/>
  <c r="J250" i="1"/>
  <c r="J253" i="1" s="1"/>
  <c r="J241" i="1"/>
  <c r="J248" i="1" s="1"/>
  <c r="E241" i="1"/>
  <c r="E248" i="1" s="1"/>
  <c r="K241" i="1"/>
  <c r="K248" i="1" s="1"/>
  <c r="H241" i="1"/>
  <c r="H248" i="1" s="1"/>
  <c r="G241" i="1"/>
  <c r="G248" i="1" s="1"/>
  <c r="D245" i="1" l="1"/>
  <c r="D250" i="1" s="1"/>
  <c r="D253" i="1" s="1"/>
  <c r="D247" i="1" l="1"/>
  <c r="D248" i="1" s="1"/>
</calcChain>
</file>

<file path=xl/sharedStrings.xml><?xml version="1.0" encoding="utf-8"?>
<sst xmlns="http://schemas.openxmlformats.org/spreadsheetml/2006/main" count="3778" uniqueCount="748">
  <si>
    <t>Bežný rozpočet - príjmy</t>
  </si>
  <si>
    <t>Názov položky</t>
  </si>
  <si>
    <t>skutočnosť 2017</t>
  </si>
  <si>
    <t>skutočnosť 2018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</si>
  <si>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</si>
  <si>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</si>
  <si>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</si>
  <si>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</si>
  <si>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</si>
  <si>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</si>
  <si>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</si>
  <si>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</si>
  <si>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</si>
  <si>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</si>
  <si>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</si>
  <si>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</si>
  <si>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</si>
  <si>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</si>
  <si>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</si>
  <si>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</si>
  <si>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</si>
  <si>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</si>
  <si>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za služby denného stacionára</t>
  </si>
  <si>
    <t>príjem zo vstupného, kult.činnosti, HDST, reklamné služby</t>
  </si>
  <si>
    <t>príjem za separovaný zber</t>
  </si>
  <si>
    <t>príjem za reklamné služby</t>
  </si>
  <si>
    <t>poplatok za služby v Dome smútku</t>
  </si>
  <si>
    <t>poplatok za stočné</t>
  </si>
  <si>
    <t>poplatky za služby pri užívaní obec.nebyt.priestorov</t>
  </si>
  <si>
    <t>príjem za réžiu v ŠKJ</t>
  </si>
  <si>
    <t>príjem za asistovanú službu Integrovaného obslužného miesta</t>
  </si>
  <si>
    <t>príspevok rodičov na náklady zariadenia ZUŠ</t>
  </si>
  <si>
    <t>príspevok rodičov na náklady zariadenia MŠ</t>
  </si>
  <si>
    <t>príjem zo stravného v ŠKJ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</si>
  <si>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</si>
  <si>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</si>
  <si>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</si>
  <si>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</si>
  <si>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</si>
  <si>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</si>
  <si>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 xml:space="preserve">príjem z dobropisov </t>
  </si>
  <si>
    <t>príjem z vratiek</t>
  </si>
  <si>
    <t>príjem z refundácie za skladníka CO z MV SR</t>
  </si>
  <si>
    <t>príjmy z refundácie - iné náhrady</t>
  </si>
  <si>
    <t>granty, dotácie, transfery</t>
  </si>
  <si>
    <t>Granty na kultúrne podujatia</t>
  </si>
  <si>
    <t>Grant Nadácia pre deti Slovenska</t>
  </si>
  <si>
    <t>Dotácia MŠVVŠ SR - projekt Komunita III. na mládežnícke aktivity</t>
  </si>
  <si>
    <t>Dotácia MPSVR na asistenta učiteľa MŠ</t>
  </si>
  <si>
    <t>Dotácia ÚV SR na športovú výbavu</t>
  </si>
  <si>
    <t>Dotácia MPSVR na humanitárnu pomoc pri požiari</t>
  </si>
  <si>
    <t>Dotácia UPSVR na aktivačnú činnosť</t>
  </si>
  <si>
    <t xml:space="preserve">Dotácia MŽP - zníženie energetickej náročnosti budovy OÚ </t>
  </si>
  <si>
    <t>Dotácia MPRV - rekonštrukcia denného stacionára</t>
  </si>
  <si>
    <t>Dotácia MVSR na údržbu vojnových hrobov</t>
  </si>
  <si>
    <t>Transfer od obcí na SpU opatr.služby</t>
  </si>
  <si>
    <t>Transfer od ZŠ na SpU školstva</t>
  </si>
  <si>
    <t>Transfer od obcí na SpU stavebný</t>
  </si>
  <si>
    <t>Dotácia Lesy na opravu mosta a miestnej komunikácie</t>
  </si>
  <si>
    <t>Dotácia DPO SR na Dobr.hasič.zbor obce</t>
  </si>
  <si>
    <t>Dotácia z Fondu na podporu umenia - kultúrne projekty</t>
  </si>
  <si>
    <t>Dotácia MV SR na matričnú čin., register obyv., adries</t>
  </si>
  <si>
    <t>Dotácia MDVRR,MŽP na stavebný úrad</t>
  </si>
  <si>
    <t>Dotácia IA MPSVR SR na opatrovateľskú službu</t>
  </si>
  <si>
    <t>Dotácia MPSVR na denný stacionár</t>
  </si>
  <si>
    <t>Transfer OkU pre ZŠ - právny subjekt</t>
  </si>
  <si>
    <t>BEŽNÉ PRÍJMY obce:</t>
  </si>
  <si>
    <t>RO</t>
  </si>
  <si>
    <t>Vlastný príjem ZŠ, preplatky</t>
  </si>
  <si>
    <t>Vlastný príjem ŠKD</t>
  </si>
  <si>
    <t>Projekt MŠVVŠ SR - Zvýšenie kvality vzdelávania na ZŠ</t>
  </si>
  <si>
    <t>Bežný príjem RO - Základnej školy Heľpa spolu:</t>
  </si>
  <si>
    <t>Vlastný príjem ZUŠ Heľpa</t>
  </si>
  <si>
    <t>Bežný príjem rozpočtových organizácií spolu: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</si>
  <si>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</si>
  <si>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</si>
  <si>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</si>
  <si>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</si>
  <si>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</si>
  <si>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</si>
  <si>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Fin.a rozpoč.záležitosti (HKON,audit,popl,fin.správa, poistné)</t>
  </si>
  <si>
    <t>0131</t>
  </si>
  <si>
    <t>Propagácia, reklama, inzercia (propagač. Predmety, bankovka)</t>
  </si>
  <si>
    <t>0133</t>
  </si>
  <si>
    <t>Všeobec.služby (Matrika,REGOB,evidencie,služby, správa)</t>
  </si>
  <si>
    <t>0160</t>
  </si>
  <si>
    <t>02 Obrana</t>
  </si>
  <si>
    <t>0220</t>
  </si>
  <si>
    <t>03 Verejný poriadok a bezpečnosť</t>
  </si>
  <si>
    <t>0320</t>
  </si>
  <si>
    <t>Ochrana pred požiarmi (Prevádzka dobr.hasič.zboru)</t>
  </si>
  <si>
    <t>0360</t>
  </si>
  <si>
    <t>Bezpečnosť (Kamer.systém, bezpeč.projekt, GDPR)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</si>
  <si>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</si>
  <si>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</si>
  <si>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</si>
  <si>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</si>
  <si>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</si>
  <si>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</si>
  <si>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</si>
  <si>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05 Ochrana životného prostredia</t>
  </si>
  <si>
    <t>0510</t>
  </si>
  <si>
    <t>Naklad.s odpadmi (zber,uloženie KO, prevádzka zber.dvora)</t>
  </si>
  <si>
    <t>0520</t>
  </si>
  <si>
    <t>Naklad.s odp.vodami (Prevádzka kanalizácie a ČOV)</t>
  </si>
  <si>
    <t>0540</t>
  </si>
  <si>
    <t>Ochrana prírody a krajiny a výrub drevín</t>
  </si>
  <si>
    <t>0560</t>
  </si>
  <si>
    <t>Ochrana živ.prostr. (Starostlivosť o ŽP, ver.zeleň, potoky, protipovodň.opatrenia,veterinárne služ.)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</si>
  <si>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</si>
  <si>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</si>
  <si>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</si>
  <si>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</si>
  <si>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</si>
  <si>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</si>
  <si>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</si>
  <si>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</si>
  <si>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</si>
  <si>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</si>
  <si>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</si>
  <si>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</si>
  <si>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</si>
  <si>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 (prevent.prehliadky, lek.posúdenie)</t>
  </si>
  <si>
    <t>0740</t>
  </si>
  <si>
    <t>08 Rekreácia, kultúra a náboženstvo</t>
  </si>
  <si>
    <t>0810</t>
  </si>
  <si>
    <t>Rekreač.,šport.služby (prevádzka šport.areálu, ŠK, NDS projekt)</t>
  </si>
  <si>
    <t>0820</t>
  </si>
  <si>
    <t>Správa kult.služieb a zariad. (KUL,MĽK,AMF,podujatia,projekty FPU, múzeum)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</si>
  <si>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</si>
  <si>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</si>
  <si>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</si>
  <si>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</si>
  <si>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</si>
  <si>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Spoločenské, kultúrne, športové aktivity obce, projekty mládeže</t>
  </si>
  <si>
    <t>09 Vzdelávanie</t>
  </si>
  <si>
    <t>09111</t>
  </si>
  <si>
    <t>Predprimárne vzdelávanie (Prevádzka MŠ)</t>
  </si>
  <si>
    <t>09121</t>
  </si>
  <si>
    <t>Primárne vzdelávanie (údržba objektov ZŠ)</t>
  </si>
  <si>
    <t>09211</t>
  </si>
  <si>
    <t>Nižšie sekundárne vzdelávanie (údržba objektov ZŠ)</t>
  </si>
  <si>
    <t>0950</t>
  </si>
  <si>
    <t>Záujmové vzdelávanie (semináre,kurzy,školenia)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</si>
  <si>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</si>
  <si>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</si>
  <si>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</si>
  <si>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</si>
  <si>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</si>
  <si>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09608</t>
  </si>
  <si>
    <t>0980</t>
  </si>
  <si>
    <t>10 Sociálne zabezpečenie</t>
  </si>
  <si>
    <t>1020</t>
  </si>
  <si>
    <t>1040</t>
  </si>
  <si>
    <t>Rodina a deti (Príspevky na deti v HN, osob.príjemca PND)</t>
  </si>
  <si>
    <t>1050</t>
  </si>
  <si>
    <t>Nezamestnanosť (Aktivačná činnosť a programy pre uchádz.o zamestnanie)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</si>
  <si>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</si>
  <si>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</si>
  <si>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</si>
  <si>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</si>
  <si>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</si>
  <si>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09</t>
  </si>
  <si>
    <t>Transfer z OkU pre Základnú školu</t>
  </si>
  <si>
    <t>Transfer vlastného príjmu Základnej školy</t>
  </si>
  <si>
    <t>Transfer z projektu MŠVVŠ SR</t>
  </si>
  <si>
    <t>Transfer na rozvojový projekt ZŠ  - spolufinancovanie obce</t>
  </si>
  <si>
    <t>Transfer z rozpočtu obce pre Školský klub detí</t>
  </si>
  <si>
    <t>Transfer vlastného príjmu Školského klubu detí</t>
  </si>
  <si>
    <t>Bežné výdavky Základnej školy spolu:</t>
  </si>
  <si>
    <t>Transfer obce pre Základnú umeleckú školu</t>
  </si>
  <si>
    <t>Transfer vlastného príjmu ZUŠ</t>
  </si>
  <si>
    <t>Bežné výdavky Základnej umeleckej školy:</t>
  </si>
  <si>
    <t>Bežné výdavky rozpočtových organizácií spolu:</t>
  </si>
  <si>
    <t>BEŽNÉ VÝDAVKY SPOLU:</t>
  </si>
  <si>
    <t>Kapitálový rozpočet</t>
  </si>
  <si>
    <t>Kapitálové príjmy</t>
  </si>
  <si>
    <t>predaj pozemkov</t>
  </si>
  <si>
    <t>KT MV SR Rekonštrukcia hasičskej zbrojnice</t>
  </si>
  <si>
    <t>KT M SR Náučný chodník</t>
  </si>
  <si>
    <t>KT MZP Zníž.energ.náročnosti budovy OcÚ</t>
  </si>
  <si>
    <t xml:space="preserve">KT EF Dobudovanie kanalizácie </t>
  </si>
  <si>
    <t>Kapitálové výdavky</t>
  </si>
  <si>
    <t>Zníž.energet.náročnosti OcÚ</t>
  </si>
  <si>
    <t>Stavebné úpravy OÚ (kabeláž, interiérové úpravy)</t>
  </si>
  <si>
    <t>Rekonštrukcia hasičskej zbrojnice + strechy</t>
  </si>
  <si>
    <t>Zmena územno-plánovacej dokumentácie</t>
  </si>
  <si>
    <t>Oporný múr ul.Farská, pluh na zimnú údržbu, chodník ul. Hlavná</t>
  </si>
  <si>
    <t>Maringotka na zberný dvor</t>
  </si>
  <si>
    <t>Sadové úpravy ver.priestranstiev</t>
  </si>
  <si>
    <t>0610</t>
  </si>
  <si>
    <t>Nákup pozemkov,budov, objektov na ver. účely</t>
  </si>
  <si>
    <t>Náučný chodník chotárom obce</t>
  </si>
  <si>
    <t>Betón.plocha klziska, det.ihrisko, strecha štadióna</t>
  </si>
  <si>
    <t>KT pre ŠK Heľpa - rekonštrukcia ihriska</t>
  </si>
  <si>
    <t>Horehronskomuránska cyklotrasa</t>
  </si>
  <si>
    <t>Zvýšenie energ.efektív.budovy MŠ</t>
  </si>
  <si>
    <t>Finančné operácie</t>
  </si>
  <si>
    <t>príjmové</t>
  </si>
  <si>
    <t>prevody zost. fondu prev.údržby,opráv bytov</t>
  </si>
  <si>
    <t>prevod z fondu na rozvoj obce - investičné akcie</t>
  </si>
  <si>
    <t>príjem správnych poplatkov ŠR za IOM</t>
  </si>
  <si>
    <t>návratné zdroje financovania</t>
  </si>
  <si>
    <t>výdavkové</t>
  </si>
  <si>
    <t>odvod správnych poplatkov za IOM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</si>
  <si>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</si>
  <si>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</si>
  <si>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</si>
  <si>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</si>
  <si>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</si>
  <si>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</si>
  <si>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</si>
  <si>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</si>
  <si>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</si>
  <si>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</si>
  <si>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</si>
  <si>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</si>
  <si>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Vypracovala: Mgr. A. Tkáčiková</t>
  </si>
  <si>
    <t>Predkladá: Peter Hyriak - starosta obce</t>
  </si>
  <si>
    <t>skutočnosť 2019</t>
  </si>
  <si>
    <t>Rekonštrukcia budovy pošty, hasič.zbrojnice/strecha</t>
  </si>
  <si>
    <t>príjmy z refundácií, vyúčtovanie služieb prenajímaných objektov</t>
  </si>
  <si>
    <t>Dotácia EF SR na kompostovisko</t>
  </si>
  <si>
    <t>Dotácia ŠÚ SR na sčítanie obyvateľov, domov, bytov</t>
  </si>
  <si>
    <t>Dotácia UPSVR na Podporu zamestnanosti MŠ</t>
  </si>
  <si>
    <t>Rekonštrukcia strechy OÚ / zachytávače snehu</t>
  </si>
  <si>
    <t>Rekonštrukcia Domu smútku -schodisko / strecha</t>
  </si>
  <si>
    <t>ZŠ-knižnica,čitáreň / Vým.plyn.kotla v tel. / elektroinštalácia, bleskozvod</t>
  </si>
  <si>
    <t>prevod z rezervného fondu na údržbu objektov</t>
  </si>
  <si>
    <t>návratná finančná výpomoc MFSR</t>
  </si>
  <si>
    <t>Verejne prístupná elektrická nabíjacia stanica pre elektromobily</t>
  </si>
  <si>
    <t>Dotácia UPSVR na deti v hm.núdzi (strava,šk.potreby)</t>
  </si>
  <si>
    <t>Dotácia UPSVR na osobitného príjemcu a rod.prídavkov</t>
  </si>
  <si>
    <t>Vedľ.služby v rámci niž.sekund. vzdel. (ŠKJ pre 2.st.ZŠ,dospelí)</t>
  </si>
  <si>
    <t>Vedľ.služby nedefinované (SpÚ školstva + Polomka)</t>
  </si>
  <si>
    <t>nevyčerpané z min.rokov</t>
  </si>
  <si>
    <t>Všeob.verejné služby (Voľby, sčítanie obyvateľov,domov,bytov)</t>
  </si>
  <si>
    <t>Dotácia BBSK na DFF HDST, Kolovrátok</t>
  </si>
  <si>
    <t>Rekonštrukcia strechy amfiteáter</t>
  </si>
  <si>
    <t>Rekonštrukcia elektroinštalácie obecných objektov</t>
  </si>
  <si>
    <t>Stavebné úpravy športovej budovy</t>
  </si>
  <si>
    <t>Dobudovanie kanalizačnej siete</t>
  </si>
  <si>
    <t>KT Rozšírenie kapacity MŠ</t>
  </si>
  <si>
    <t>KT MIRRI Rekonštrukcia denného stacionára</t>
  </si>
  <si>
    <t>KT MŽP Zvýšenie energ.efektívnosti budovy MŠ</t>
  </si>
  <si>
    <t>Dobudovanie chodníka na ul.Hlavná + st.dozor</t>
  </si>
  <si>
    <t xml:space="preserve">Predchádzanie vzniku odpadu kompostovaním </t>
  </si>
  <si>
    <t>Projektová dokumentácia pripavovaných inv.akcií</t>
  </si>
  <si>
    <t>KT Horehronsko muránska cyklotrasa</t>
  </si>
  <si>
    <t>skutočnosť 2020</t>
  </si>
  <si>
    <t>schválený 2021</t>
  </si>
  <si>
    <t>upravený 2021</t>
  </si>
  <si>
    <t>Dotácia MVSR na opatrenia Covid19</t>
  </si>
  <si>
    <t>Dotácia MPSVR na soc.služby mim.odmeny</t>
  </si>
  <si>
    <t>Transfer OkU pre ZUŠ - právny subjekt</t>
  </si>
  <si>
    <t xml:space="preserve">KT MŽP Predchádzanie vzniku odpadu kompostovaním </t>
  </si>
  <si>
    <t>Nákup motorových vozidiel, komunál.techniky, príves.vozík</t>
  </si>
  <si>
    <t>Bleskozvod s uzemnením v telocvični ZŠ</t>
  </si>
  <si>
    <t>Stavebné úpravy telocvične - elektroinštalácia</t>
  </si>
  <si>
    <t>ŠKJ - vzduchotechnika, šporák, umývačka / el.panvica, var.kotol</t>
  </si>
  <si>
    <t>Ochrana, podpora a rozvoj zdravia (prísp. SČK, MOM, celoplošné testovanie)</t>
  </si>
  <si>
    <t>Správa a riadenie vzdelávania, Virtuálna univerzita</t>
  </si>
  <si>
    <t>grant - dobrovoľná zbierka obce na rek.strechy amfiteátra</t>
  </si>
  <si>
    <t>KT MH SR verej.prístup.elektr.nabíjacia stanica pre elektromobily</t>
  </si>
  <si>
    <t>ČOV kompenzátor, čerpadlá, frekvenčný menič</t>
  </si>
  <si>
    <t>Dobud.kanal.I.etapa L09, ČS3 -Prečerpávacia stanica, NN na ul. Furmanská</t>
  </si>
  <si>
    <t>Stav.úpravy prístrešku studničky na ul. Tichá</t>
  </si>
  <si>
    <t>Rekonštrukcia objektu-spoločenská miestnosť</t>
  </si>
  <si>
    <t>Vybudovanie det.ihriska</t>
  </si>
  <si>
    <t>Rozšírenie kapacity MŠ</t>
  </si>
  <si>
    <t>Denný stacionár - rekonštrukcia</t>
  </si>
  <si>
    <t>príjem za školné Virtuálna univerzita tretieho veku</t>
  </si>
  <si>
    <t>Dotácia MVSR na terénneho asistenta Covid</t>
  </si>
  <si>
    <t>Dotácia MVSR na MOM celoplošné testovanie</t>
  </si>
  <si>
    <t>Projekt UPSVR podpora zamestnanosti ZUŠ za min.r.</t>
  </si>
  <si>
    <t>Bežný príjem RO - Základnej umeleckej školy Heľpa spolu:</t>
  </si>
  <si>
    <t>Transfer na projekt Podpora zamestnanosti ZUŠ</t>
  </si>
  <si>
    <t>Doplnenie napojenia predizolovaného potrubia v kotolni st.škola</t>
  </si>
  <si>
    <t>prevody zostatkov prostriedkov ZŠ nezúčt.projektu ZKV</t>
  </si>
  <si>
    <t>Dotácia MV SR - voľby (VUC, KOM, NRSR, prezident,EP)</t>
  </si>
  <si>
    <t>splácanie istiny bankového úveru, NFV</t>
  </si>
  <si>
    <t>Civilná ochrana (Skladník CO, evidencie, TAC)</t>
  </si>
  <si>
    <t>Staroba (Opatrovateľská služba, SpÚ OSL, projekt,denný stacionár,DC)</t>
  </si>
  <si>
    <t>Návrh viacročného rozpočtu obce Heľpa na roky 2022-2024 bol vyvesený na úradnej tabuli na pripomienkovanie dňa 15.11.2021</t>
  </si>
  <si>
    <t>FNK</t>
  </si>
  <si>
    <t>Názov investície</t>
  </si>
  <si>
    <t>Suma v rozpočte</t>
  </si>
  <si>
    <t>Peň.fond 46</t>
  </si>
  <si>
    <t>Úver 52</t>
  </si>
  <si>
    <t>kontrola</t>
  </si>
  <si>
    <t>Rozpis rozpočtovej položky KR 0610 - projektová dokumentácia</t>
  </si>
  <si>
    <t>Názov PD</t>
  </si>
  <si>
    <t>Suma v EUR</t>
  </si>
  <si>
    <t>Poznámka</t>
  </si>
  <si>
    <t>Dobudovanie kanalizácie II.etapa</t>
  </si>
  <si>
    <t>PD rozšírenie ČOV - zmena technológie (vpust)</t>
  </si>
  <si>
    <t>PD športový areál</t>
  </si>
  <si>
    <t>Projektová dokumentácia pre pripravované inv.akcie</t>
  </si>
  <si>
    <t>k tomu TAB</t>
  </si>
  <si>
    <t xml:space="preserve">PD Burkovaná, Hlavná </t>
  </si>
  <si>
    <t>PD rekonštr.elektroinštalácie v ZUŠ</t>
  </si>
  <si>
    <t>Horehronsko-muránska cyklotrasa</t>
  </si>
  <si>
    <t>PD rekonštrukcia strechy na amfiteátri</t>
  </si>
  <si>
    <t xml:space="preserve">Stavebné úpravy športového areálu </t>
  </si>
  <si>
    <t>Rezerva na prípadnú dokumentáciu</t>
  </si>
  <si>
    <t>PPD z peňažného fondu:</t>
  </si>
  <si>
    <t xml:space="preserve">Rekonštrukcia objektu č.589 (spoločenská miestnosť) </t>
  </si>
  <si>
    <t>Rekonštrukcia objektu na cintoríne (po požiari)</t>
  </si>
  <si>
    <t>Spolu kapitálové výdavky:</t>
  </si>
  <si>
    <t>naplánované</t>
  </si>
  <si>
    <t>PD rekonštrukcia elektroinštalácie amfiteáter, Ramex</t>
  </si>
  <si>
    <t>PD admin .budova</t>
  </si>
  <si>
    <t>PD rekonštr.el.zariadení pre revízie</t>
  </si>
  <si>
    <t>Vytýčenie stavieb</t>
  </si>
  <si>
    <t>Rezer. fond 46</t>
  </si>
  <si>
    <t>zostatok</t>
  </si>
  <si>
    <t>Maj. zdroje obce 43/72</t>
  </si>
  <si>
    <t>prevod nevyčerp.prostr.mr. FPU projekt</t>
  </si>
  <si>
    <t>prevod nevyčerp.prostr.mr. ŠKJ stravné + dotácia</t>
  </si>
  <si>
    <t xml:space="preserve">Dotácia SFZ projekt MŠ </t>
  </si>
  <si>
    <t>Dotácia OkU na výchovu,vzdelávanie v MŠ, rozvoj.projekt</t>
  </si>
  <si>
    <t>EÚ a ŠR, EF</t>
  </si>
  <si>
    <t>PD chodník cez Krivuľu ul. Hlavná autobus.zastávka</t>
  </si>
  <si>
    <t>upravený 2021-11</t>
  </si>
  <si>
    <t>prevod nevyčerp.prostr.mr. OSL projekt</t>
  </si>
  <si>
    <t>Pripomienky OZ k návrhu predloženého viacročného rozpočtu na roky 2022-2024 boli zapracované dňa 9.12.2021</t>
  </si>
  <si>
    <t>Pripomienky finančnej komisie k návrhu predloženého viacročného rozpočtu na roky 2022-2024 boli zapracované dňa 2.12.2021 a 9.12.2021.</t>
  </si>
  <si>
    <t>Rozpočet obce Heľpa na rok 2022 bol schválený OZ uz.č. 863/2021 dňa 10.12.2021.</t>
  </si>
  <si>
    <t>Rozpočet obce Heľpa na roky 2023-2024 OZ  vzalo na vedomie uz.č. 864/2021  dňa 10.12.2021</t>
  </si>
  <si>
    <t>Viacročný rozpočet obce Heľpa na roky 2022 - 2024 bol vyvesený na úradnej tabuli obce dňa 13.12.2021.</t>
  </si>
  <si>
    <t>rozdiel školy príjmy</t>
  </si>
  <si>
    <t>rozdiel školy výdavky</t>
  </si>
  <si>
    <t>Príjmy obec celkom:</t>
  </si>
  <si>
    <t>Výdavky obec celkom:</t>
  </si>
  <si>
    <t>plnenie OU rozpočtu</t>
  </si>
  <si>
    <t>čerpanie OU rozpočtu</t>
  </si>
  <si>
    <t>uskutočnené úpravy v rozpočtových položkách:</t>
  </si>
  <si>
    <t>(zvýšenie/zníženie predchádzajúcej výšky rozpočtu  o uvedenú sumu)</t>
  </si>
  <si>
    <t>PRÍJMY</t>
  </si>
  <si>
    <t xml:space="preserve">Položka </t>
  </si>
  <si>
    <t>Názov</t>
  </si>
  <si>
    <t>Suma v Eur</t>
  </si>
  <si>
    <t>Bežný rozpočet</t>
  </si>
  <si>
    <t>Prevod z peňažného fondu</t>
  </si>
  <si>
    <t>Obec bez rozp.organizácie:</t>
  </si>
  <si>
    <t xml:space="preserve">Vlastný príjem ZUŠ </t>
  </si>
  <si>
    <t xml:space="preserve">Vlastný príjem ZŠ </t>
  </si>
  <si>
    <t>Obec spolu:</t>
  </si>
  <si>
    <t>VÝDAVKY</t>
  </si>
  <si>
    <t>Názov prvku/projektu</t>
  </si>
  <si>
    <t>Suma</t>
  </si>
  <si>
    <t xml:space="preserve">presun BT pre ZUŠ </t>
  </si>
  <si>
    <t>+ chýba, - minúť</t>
  </si>
  <si>
    <t>Vypracovala: Mgr. A.Tkáčiková</t>
  </si>
  <si>
    <t>Obec Heľpa, Farská 588/2, 976 68 Heľpa</t>
  </si>
  <si>
    <t>Operatívna evidencia</t>
  </si>
  <si>
    <t>Por.č.</t>
  </si>
  <si>
    <t>Uz.č.</t>
  </si>
  <si>
    <t>zo dňa</t>
  </si>
  <si>
    <t>Rozpočtové opatrenie</t>
  </si>
  <si>
    <t>Zmena v príjmoch      v Eur</t>
  </si>
  <si>
    <t>Zmena vo výdavkoch v Eur</t>
  </si>
  <si>
    <t>1.</t>
  </si>
  <si>
    <t xml:space="preserve">Poznámka: </t>
  </si>
  <si>
    <t>§ 14 ods. 2  písm.:</t>
  </si>
  <si>
    <t>a) presun rozpočtovaných prostriedkov v rámci schváleného rozpočtu, pričom sa nemenia celkové príjmy a celkové výdavky,</t>
  </si>
  <si>
    <t>b) povolené prekročenie a viazanie príjmov,</t>
  </si>
  <si>
    <t>c) povolené prekročenie a viazanie výdavkov,</t>
  </si>
  <si>
    <t>d) povolené prekročenie a viazanie finančných operácií.</t>
  </si>
  <si>
    <t>Schválil: Peter Hyriak - starosta obce</t>
  </si>
  <si>
    <t>Zdroje financovania investičných akcií obce v roku 2022</t>
  </si>
  <si>
    <t xml:space="preserve">Dot. MV SR CO skladník odmena </t>
  </si>
  <si>
    <t>Iné príjm.operácie-kurz.rozdiely VU3V</t>
  </si>
  <si>
    <t>819</t>
  </si>
  <si>
    <t>Iné výd.fin.operácie-kurz.rozdiely VU3V</t>
  </si>
  <si>
    <t>máme na účte PF</t>
  </si>
  <si>
    <t>schválený rozpočet 2022</t>
  </si>
  <si>
    <t>zmena 1</t>
  </si>
  <si>
    <t>skutočnosť</t>
  </si>
  <si>
    <t>iné fin.operácie-kurzové rozdiely VU3V</t>
  </si>
  <si>
    <t>iné príjm.operácie -kurzové rozdiely VU3V</t>
  </si>
  <si>
    <t>Príjem z predaja kap.aktív - snehový pluh</t>
  </si>
  <si>
    <t>predaj kapitálových aktív - sneh.pluh</t>
  </si>
  <si>
    <t>Dot. FPU - DFF Kolovrátok</t>
  </si>
  <si>
    <t>DFF Kolovrátok</t>
  </si>
  <si>
    <t>Denný stacionár - rekonštrukcia + vybavenie + zásnežky</t>
  </si>
  <si>
    <t>Denný stacionár - rekonštrukcia, zásnežky</t>
  </si>
  <si>
    <t>ČOV - el.energia</t>
  </si>
  <si>
    <t>VEO -el.energia</t>
  </si>
  <si>
    <t>štadión byt - el.energia</t>
  </si>
  <si>
    <t>ŠK - el.energia</t>
  </si>
  <si>
    <t>AMF -el.energia</t>
  </si>
  <si>
    <t>DS -el.energia,plyn</t>
  </si>
  <si>
    <t>ZS - el.energia</t>
  </si>
  <si>
    <t>Rekontrukcia objektu v cintoríne</t>
  </si>
  <si>
    <t>Nákup komunálnej techniky (vysokozdvižná plošina)</t>
  </si>
  <si>
    <t>BT RUŠS - ZŠ nenorm. rozvoj.projekt "Spolu múdrejší3"</t>
  </si>
  <si>
    <t>BT RUŠS - MŠ nenorm. na výchovu a vzdelávanie</t>
  </si>
  <si>
    <t>ostatné príjmy /relácie,kopírovanie, ostatné.../</t>
  </si>
  <si>
    <t>Dotácia EF SR na environ.opatrenia</t>
  </si>
  <si>
    <t>Dotácia MPSVR SR na opatrovateľskú službu</t>
  </si>
  <si>
    <t>zapojenie zost. fondu prev.údržby,opráv bytov</t>
  </si>
  <si>
    <t>zapojenie zost. Dobrovoľ,zbierky na rekonštrukciu amfiteátra</t>
  </si>
  <si>
    <t>OU plnenie rozpočtu</t>
  </si>
  <si>
    <t>OU čerpanie rozpočtu</t>
  </si>
  <si>
    <t>Zapojenie fin.prostr.min.r.ŠKJ - stravné,dot.</t>
  </si>
  <si>
    <t>Zapojenie fin.prostr.min.r. Dobrovoľ.zbierka</t>
  </si>
  <si>
    <t>% plnenia</t>
  </si>
  <si>
    <t>% čerpania</t>
  </si>
  <si>
    <t>ŠKJ -  vratka nevyčerp.dotácie</t>
  </si>
  <si>
    <t>BT RUŠS - ZŠ normatív - výchova a vzdel.</t>
  </si>
  <si>
    <t>BT RUŠS - ZŠ nenorm. vzdel.poukazy</t>
  </si>
  <si>
    <t>BT RUŠS - ZŠ nenorm. asistentov učiteľa</t>
  </si>
  <si>
    <t>BT RUŠS - ZŠ nenorm. na vzdel.žiakov zo soc.znevýh.prostr.</t>
  </si>
  <si>
    <t>Triedený zber KO - technika</t>
  </si>
  <si>
    <t>KT MŽP výzva Triedený zber KO - technika</t>
  </si>
  <si>
    <t>§14 ods.2 písm. a)</t>
  </si>
  <si>
    <t>2.</t>
  </si>
  <si>
    <t>§14 ods.2 písm. b), c)</t>
  </si>
  <si>
    <t>Dot matrika, regob</t>
  </si>
  <si>
    <t>HKON - zdr.poistenie</t>
  </si>
  <si>
    <t>Regob - plat, register adries -plat, matrika - materiál, údržba softvéru</t>
  </si>
  <si>
    <t>TAC - materiál, resoirátory, OOPP</t>
  </si>
  <si>
    <t>Byty štadión - energie, vodné</t>
  </si>
  <si>
    <t>Den.stacionár - energie, štiepka</t>
  </si>
  <si>
    <t xml:space="preserve">presun BT na Základnú školu </t>
  </si>
  <si>
    <t>V Heľpe 31.1.2022</t>
  </si>
  <si>
    <t>Rozpočtové opatrenie starostu obce č. 2/2022</t>
  </si>
  <si>
    <t>Rozpočtové opatrenie starostu obce č. 1/2022</t>
  </si>
  <si>
    <t>RO ST č.1</t>
  </si>
  <si>
    <t>RO ST č.2</t>
  </si>
  <si>
    <t xml:space="preserve">Grant </t>
  </si>
  <si>
    <t>RO ST č.3</t>
  </si>
  <si>
    <t>§14 ods.2 písm. b), c), d)</t>
  </si>
  <si>
    <t>Prenájom pozemkov, bytov</t>
  </si>
  <si>
    <t>Odmena CO skladník, TAC plat</t>
  </si>
  <si>
    <t>PERS plat - nem.dávky</t>
  </si>
  <si>
    <t>RO - el.energia ver.WC, nám.</t>
  </si>
  <si>
    <t>Byt štadión - energia, voda</t>
  </si>
  <si>
    <t>MŠ BT - plat,technika,materiál, prepravné učeb.pomôcky z dot.</t>
  </si>
  <si>
    <t>VU3V - materiál, služby, poplatky, dane</t>
  </si>
  <si>
    <t>OSL - plat, poistné- rozdelenie zdrojov EU AE</t>
  </si>
  <si>
    <t>DST - energie, materiál</t>
  </si>
  <si>
    <t>Školské potreby pre deti v HN vratka</t>
  </si>
  <si>
    <t>Denný stacionár - NFP vybavenie, prístroje</t>
  </si>
  <si>
    <t>V Heľpe 28.2.2022</t>
  </si>
  <si>
    <t>Rozpočtové opatrenie starostu obce č. 3/2022</t>
  </si>
  <si>
    <t xml:space="preserve">HDST účelový dar </t>
  </si>
  <si>
    <t>V Heľpe 25.3.2022</t>
  </si>
  <si>
    <t>Rozpočtové opatrenie OZ č.1/2022</t>
  </si>
  <si>
    <t xml:space="preserve">DFF Kolovrátok presun na spolufinancovanie FPU </t>
  </si>
  <si>
    <t>presun BT na Základnú školu</t>
  </si>
  <si>
    <t>Testovanie</t>
  </si>
  <si>
    <t>zmena 1 OZ</t>
  </si>
  <si>
    <t>PO - energia</t>
  </si>
  <si>
    <t>Príjem z predaja strojov</t>
  </si>
  <si>
    <t>Príjem z predaja pozemkov</t>
  </si>
  <si>
    <t>3.</t>
  </si>
  <si>
    <t>4.</t>
  </si>
  <si>
    <t>Heľpa 28.2.2022</t>
  </si>
  <si>
    <t>DST - komunikačná infraštruktúra  - internet</t>
  </si>
  <si>
    <t>BT RUŠS - ZŠ nenorm. Špecifiká šk.potreby deti Ukrajina</t>
  </si>
  <si>
    <t>Poistenie - budovy stacionára</t>
  </si>
  <si>
    <t>Prenájom plošiny na opravu rozhlasu</t>
  </si>
  <si>
    <t>Výnos dane územnej samospráve</t>
  </si>
  <si>
    <t>Poistenie vozidiel z PHM</t>
  </si>
  <si>
    <t>BT  humanitárna pomoc Ukrajina</t>
  </si>
  <si>
    <t>humanitárna pomoc Ukrajina - materiál, služby</t>
  </si>
  <si>
    <t>CO - dezinf.prostr</t>
  </si>
  <si>
    <t>RO - el.energia, plyn</t>
  </si>
  <si>
    <t>Denný stacionár - rekonštrukcia + vybavenie</t>
  </si>
  <si>
    <t>Spolu bežné výdavky:</t>
  </si>
  <si>
    <t>Spolu použitie fondov:</t>
  </si>
  <si>
    <t>máme na účte</t>
  </si>
  <si>
    <t>Nákup budov (dočasný presun do NFP)</t>
  </si>
  <si>
    <t>Den.stacionár - vybavenie (dočasný presun  do NFP)</t>
  </si>
  <si>
    <t>Heľpa 31.3.2022</t>
  </si>
  <si>
    <t>RO OZ č.1</t>
  </si>
  <si>
    <t>V Heľpe 31.3.2022</t>
  </si>
  <si>
    <t>Heľpa 10.12.2021</t>
  </si>
  <si>
    <t>Dotácia MVSR na humanitárna pomoc Ukrajina</t>
  </si>
  <si>
    <t>Sociálna pomoc občanom v soc. a hm. Núdzi, huma.pomoc Ukrajina</t>
  </si>
  <si>
    <t>Návrh zmeny rozpočtu obce Heľpa na rok 2022 bol vyvesený na úradnej tabuli na pripomienkovanie dňa 28.2.2022 a 18.3.2022</t>
  </si>
  <si>
    <t>Pripomienky OZ k návrhu zmeny rozpočtu na rok 2022 boli zapracované dňa 18.3.2022 a 24.3.2022.</t>
  </si>
  <si>
    <t>Pripomienky finančnej komisie k návrhu zmeny rozpočtu na rok 2022 boli zapracované dňa 24.3.2022</t>
  </si>
  <si>
    <t>Zmena Rozpočtu obce Heľpa na rok 2022 rozpočtovým opatrením 1/2022 bola schválená OZ uz.č. 962/2022 dňa 31.3.2022</t>
  </si>
  <si>
    <t>Rozpočet obce Heľpa na roky 2022 bol vyvesený na úradnej tabuli obce dňa 8.4.2022</t>
  </si>
  <si>
    <t>KT MIRRI - NFP Den. Stacionár</t>
  </si>
  <si>
    <t>Služby podpory APV korwin</t>
  </si>
  <si>
    <t>Školenia zamestnancov</t>
  </si>
  <si>
    <t>Kultúrne vystúpenia folk.súborov</t>
  </si>
  <si>
    <t>Refundácia kult.vystúpení folk.súborov</t>
  </si>
  <si>
    <t>OSL - fin.príspevok do zar.soc.služieb na našich opatrovaných</t>
  </si>
  <si>
    <t xml:space="preserve">PD vodovod a kanalizácia Teplica II. </t>
  </si>
  <si>
    <t>dopl.obj.2020</t>
  </si>
  <si>
    <t>5.</t>
  </si>
  <si>
    <t>RO OZ č.2</t>
  </si>
  <si>
    <t>zmena 2</t>
  </si>
  <si>
    <t>Denný stacionár - rekonštrukcia + dozor+vybavenie</t>
  </si>
  <si>
    <t>Vlastný príjem ZŠ - projekt</t>
  </si>
  <si>
    <t>skutočnosť 3</t>
  </si>
  <si>
    <t>Zdr.str. - energie (uhlie)</t>
  </si>
  <si>
    <t>Den.stacionár - snežníky, vchodová strieška</t>
  </si>
  <si>
    <t>V Heľpe 28.4.2022</t>
  </si>
  <si>
    <t>BT RUŠS - ZŠ nenorm.škol.potreby pre deti Ukrajiny</t>
  </si>
  <si>
    <t>upraviť výdavky</t>
  </si>
  <si>
    <t>rozpočtových opatrení za rok 2022</t>
  </si>
  <si>
    <t>RO č.</t>
  </si>
  <si>
    <t>RO ST1</t>
  </si>
  <si>
    <t>RO ST 1</t>
  </si>
  <si>
    <t>RO ST2</t>
  </si>
  <si>
    <t>RO ST 2</t>
  </si>
  <si>
    <t>RO ST 3</t>
  </si>
  <si>
    <t>RO ST3</t>
  </si>
  <si>
    <t>DzN - byty, stavby</t>
  </si>
  <si>
    <t>Zapojenie fin.prostr.min.r.ŠKJ - stravné,dot.min.r.</t>
  </si>
  <si>
    <t>OU, OZ - poist.odvody na fin.podpory z FZ</t>
  </si>
  <si>
    <t>HKON, FIN  - poist.odvody na fin.podpory z FZ</t>
  </si>
  <si>
    <t>VS, MATR,REGOB, - poist.odvody na fin.podpory z FZ, príplatky</t>
  </si>
  <si>
    <t>CO - poist.odvody na fin.podpory z FZ</t>
  </si>
  <si>
    <t>PO - poist.odvody na fin.podpory z FZ</t>
  </si>
  <si>
    <t>PERS - poist.odvody na fin.podpory z FZ</t>
  </si>
  <si>
    <t>STA - poist.odvody na fin.podpory z FZ</t>
  </si>
  <si>
    <t>CD - poist.odvody na fin.podpory z FZ</t>
  </si>
  <si>
    <t>KO,ZD - poist.odvody na fin.podpory z FZ</t>
  </si>
  <si>
    <t>ĆOV - poist.odvody na fin.podpory z FZ</t>
  </si>
  <si>
    <t>OPK - poist.odvody na fin.podpory z FZ</t>
  </si>
  <si>
    <t>ŹP - poist.odvody na fin.podpory z FZ</t>
  </si>
  <si>
    <t>RO - poist.odvody na fin.podpory, PHM,servis, poistenie, popl.</t>
  </si>
  <si>
    <t>KUL, KNI, MR - poist.odvody na fin.podpory z FZ</t>
  </si>
  <si>
    <t>MŠ - poist.odvody na fin.podpory z FZ</t>
  </si>
  <si>
    <t>09601-3</t>
  </si>
  <si>
    <t>ŠKJ - poist.odvody na fin.podpory z FZ</t>
  </si>
  <si>
    <t>ŠKOL - poist.odvody na fin.podpory z FZ</t>
  </si>
  <si>
    <t>VZD - poist.odvody na fin.podpory z FZ</t>
  </si>
  <si>
    <t>OSL, DST, DC - poist.odvody na fin.podpory z FZ, príplatky</t>
  </si>
  <si>
    <t>AČ - poist.odvody na fin.podpory z FZ</t>
  </si>
  <si>
    <t>PERS - telekom.technika, kanc. materiál</t>
  </si>
  <si>
    <t>CD - stroje, materiál, značky, údržba</t>
  </si>
  <si>
    <t>AMF - služby, DVP</t>
  </si>
  <si>
    <t>Dotácia BBSK - DFF Kolovrátok</t>
  </si>
  <si>
    <t>RO ST 4</t>
  </si>
  <si>
    <t>Návrh zmeny rozpočtu obce Heľpa na rok 2022 bol vyvesený na úradnej tabuli na pripomienkovanie dňa 13.4.2022</t>
  </si>
  <si>
    <t>Pripomienky finančnej komisie k návrhu zmeny rozpočtu na rok 2022 boli zapracované dňa 28.4.2022</t>
  </si>
  <si>
    <t>RO ST č.4</t>
  </si>
  <si>
    <t>6.</t>
  </si>
  <si>
    <t>BT RUŠS - ZŠ norm.jaz.kurz pre deti Ukrajiny</t>
  </si>
  <si>
    <t>V Heľpe 11.5.2022</t>
  </si>
  <si>
    <t>V Heľpe 29.4.2022</t>
  </si>
  <si>
    <t>Rozpočtové opatrenie OZ č.2/2022</t>
  </si>
  <si>
    <t>Zmena Rozpočtu obce Heľpa na rok 2022 rozpočtovým opatrením 2/2022 bola schválená OZ uz.č. 985/2022 dňa 29.4.2022</t>
  </si>
  <si>
    <t>Schválený rozpočet obce Heľpa na roky 2022 bol vyvesený na úradnej tabuli obce dňa 2.5.2022</t>
  </si>
  <si>
    <t>Rozpočtové opatrenie OZ č.3/2022</t>
  </si>
  <si>
    <t>RUŠS - nenorm prostr.na učebnice (edukač.publikácie)</t>
  </si>
  <si>
    <t>RUŠS - nenorm pr.na edukač.publikácie 1PO</t>
  </si>
  <si>
    <t>Rozpočtové opatrenie starostu obce č. 5/2022</t>
  </si>
  <si>
    <t>RO ST 5</t>
  </si>
  <si>
    <t>7.</t>
  </si>
  <si>
    <t>RO ST č.5</t>
  </si>
  <si>
    <t>8.</t>
  </si>
  <si>
    <t>RO OZ č.3</t>
  </si>
  <si>
    <t>zmena 3</t>
  </si>
  <si>
    <t>Návrh zmeny rozpočtu obce Heľpa na rok 2022 bol vyvesený na úradnej tabuli na pripomienkovanie dňa 11.5.2022</t>
  </si>
  <si>
    <t xml:space="preserve">Rozpočtové opatrenie OZ - príprava ROS </t>
  </si>
  <si>
    <t>Objekt réžie v hľadisku amfiteátra</t>
  </si>
  <si>
    <t>Grant na HDST</t>
  </si>
  <si>
    <t>Amfiteáter - materiál na opravu</t>
  </si>
  <si>
    <t>RO - údržba objektov</t>
  </si>
  <si>
    <t>PD admin.budova (prípojky)</t>
  </si>
  <si>
    <t>PD réžia na amfiteátri</t>
  </si>
  <si>
    <t>DST, DC - el.energia, vybavenie</t>
  </si>
  <si>
    <t xml:space="preserve">Dotácia pre SZPB - oslavy SNP </t>
  </si>
  <si>
    <t>BT MV SR hum.pomoc, testovanie - zdroje</t>
  </si>
  <si>
    <t>BBSK dotácia na DFF Kolovrátok</t>
  </si>
  <si>
    <t>TAC - tel.služby, materiál</t>
  </si>
  <si>
    <t>MŠ - dot. Technika,prepravné, súťaže</t>
  </si>
  <si>
    <t>DFF Kolovrátok z dot. BBSK, spolufin, Fašiangy</t>
  </si>
  <si>
    <t>Hum.pomoc Ukrajina - príspevky zdroje</t>
  </si>
  <si>
    <t>Deň matiek - podujatie služby</t>
  </si>
  <si>
    <t>Den.stacionár/centrum - plat, os.príplatky, poistné, internet, strava, SF</t>
  </si>
  <si>
    <t>CD - údržby,stroje,materiál, značky, palivá</t>
  </si>
  <si>
    <t>PD rekonštr. elektroinštalácie amfiteáter, Ramex</t>
  </si>
  <si>
    <t>PD rekonštr. el.zariadení pre revízie, bankomat</t>
  </si>
  <si>
    <t>PD rekonštr. elektroinštalácie v ZUŠ</t>
  </si>
  <si>
    <t>Heľpa 29.4.2022</t>
  </si>
  <si>
    <t>Pripomienky finančnej komisie k návrhu zmeny rozpočtu na rok 2022 boli zapracované dňa 19.5.2022</t>
  </si>
  <si>
    <t>Pripomienky OZ k návrhu zmeny rozpočtu na rok 2022 boli zapracované dňa 19.5.2022</t>
  </si>
  <si>
    <t>Heľpa 26.5.2022</t>
  </si>
  <si>
    <t>skutočnosť 4</t>
  </si>
  <si>
    <t>V Heľpe 27.5.2022</t>
  </si>
  <si>
    <t>Rozpočtové opatrenie starostu obce č.4/2022</t>
  </si>
  <si>
    <t>Príspevok pre DPO SR</t>
  </si>
  <si>
    <t>Prac.oblasť (Správa prac.záležitostí, BOZP, spolupr.VS, členské)</t>
  </si>
  <si>
    <t>Projekt.dokumentácia - réžia</t>
  </si>
  <si>
    <t>Rozpočtové opatrenie starostu obce č. 6/2022</t>
  </si>
  <si>
    <t>Zapoj.Dobr.zbierky</t>
  </si>
  <si>
    <t>AČ - valorizácia plat, poistné</t>
  </si>
  <si>
    <t xml:space="preserve">DST - valorizácia plat, poistné </t>
  </si>
  <si>
    <t>PERS - valorizácia plat, poistné</t>
  </si>
  <si>
    <t>FIN - valorizácia plat, poistné</t>
  </si>
  <si>
    <t xml:space="preserve">KUL - valorizácia plat, poistné </t>
  </si>
  <si>
    <t xml:space="preserve">OSL, Spu - valorizácia plat, poistné </t>
  </si>
  <si>
    <t>ZD - valorizácia plat, poistné</t>
  </si>
  <si>
    <t>PPD - kotolňa ZŠ Heľpa - havarijný stav</t>
  </si>
  <si>
    <t>Návrh zmeny rozpočtu obce Heľpa na rok 2022 bol vyvesený na úradnej tabuli na pripomienkovanie dňa 3.6.2022</t>
  </si>
  <si>
    <t>RO ST 6</t>
  </si>
  <si>
    <t>zmena 4</t>
  </si>
  <si>
    <t>Správa kult.služieb a zariad. (KUL,OK,AMF,podujatia,projekty FPU)</t>
  </si>
  <si>
    <t>Propagácia, reklama, inzercia (propagač. predmety)</t>
  </si>
  <si>
    <t>VS, MATR - valorizácia plat, poistné</t>
  </si>
  <si>
    <t>Poistenie majetku - zodpovednosť za škodu</t>
  </si>
  <si>
    <t>Den.stac. Projekt- party stan, záhradný nábytok, materiál</t>
  </si>
  <si>
    <t>Projekt.dokumentácia havarijný stav plyn.kotolne ZŠ</t>
  </si>
  <si>
    <t>Amfiteáter rekonštrukcia zbierka</t>
  </si>
  <si>
    <t>9.</t>
  </si>
  <si>
    <t>10.</t>
  </si>
  <si>
    <t>RO ST č.6</t>
  </si>
  <si>
    <t>RO OZ č.4</t>
  </si>
  <si>
    <t>SpU školstva Polomka - príspevok</t>
  </si>
  <si>
    <t>RO - valorizácia plat, poistné, služby</t>
  </si>
  <si>
    <t>OU - valorizácia plat, poistné, odmeny</t>
  </si>
  <si>
    <t>V Heľpe 17.6.2022</t>
  </si>
  <si>
    <t>BT RUŠS - ZŠ nenorm. Škola v prírode</t>
  </si>
  <si>
    <t>Daň z nehn.</t>
  </si>
  <si>
    <t>TAC, plat,poistné,materiál - zdroje</t>
  </si>
  <si>
    <t>DPO - vybavenie, prístroje, materiál, OOPP, servis -zdroje</t>
  </si>
  <si>
    <t>ŠKJ - plat,poistné</t>
  </si>
  <si>
    <t>HDST grant - ZoU škola tanca</t>
  </si>
  <si>
    <t>Projekty z rozpočtu obce- ativity rozpis</t>
  </si>
  <si>
    <t>DST - príplatky, jubileá</t>
  </si>
  <si>
    <t>Zmena Rozpočtu obce Heľpa na rok 2022 rozpočtovým opatrením 3/2022 bola schválená OZ uz.č. 1016/2022 dňa 27.5.2022</t>
  </si>
  <si>
    <t>Schválený rozpočet obce Heľpa na roky 2022 bol vyvesený na úradnej tabuli obce dňa 31.5.2022</t>
  </si>
  <si>
    <t>Rozpočtové opatrenie OZ č.4 /2022</t>
  </si>
  <si>
    <t>Daňz nehnuteľností, miestne dane</t>
  </si>
  <si>
    <t>Heľpa 17.6.2022</t>
  </si>
  <si>
    <t>FIN-spr.popl, cent.vyrovnania</t>
  </si>
  <si>
    <t>SpU OSL - cestovné, materiál</t>
  </si>
  <si>
    <t>FPU - dot. Dopln. Knižnič.fondu knižnice</t>
  </si>
  <si>
    <t>Pripomienky finančnej komisie k návrhu zmeny rozpočtu na rok 2022 boli zapracované dňa 9.6.2022</t>
  </si>
  <si>
    <t>Pripomienky OZ k návrhu zmeny rozpočtu na rok 2022 boli zapracované dňa 9.6.2022</t>
  </si>
  <si>
    <t>Zmena Rozpočtu obce Heľpa na rok 2022 rozpočtovým opatrením 4/2022 bola schválená OZ uz.č. 1041/2022 dňa 17.6.2022</t>
  </si>
  <si>
    <t>Schválený rozpočet obce Heľpa na roky 2022 bol vyvesený na úradnej tabuli obce dňa 24.6.2022</t>
  </si>
  <si>
    <t>SpU STA -služby, exter.manaž.služby</t>
  </si>
  <si>
    <t>ŠKJ - plat, poistné</t>
  </si>
  <si>
    <t>Knižnica - knihy FPU, plat,poistné</t>
  </si>
  <si>
    <t>OSL projekt - poistné</t>
  </si>
  <si>
    <t>skutočnosť 6</t>
  </si>
  <si>
    <t>Zvýšenie kapacity MŠ, interiérové vybavenie</t>
  </si>
  <si>
    <t>príjmy z refundácií, vyúčtovanie služieb prenajím.objektov, cent.vyrovnanie</t>
  </si>
  <si>
    <t>Dotácia MVSR testovanie firiem</t>
  </si>
  <si>
    <t>Refundácie služieb, cent.vyrovnania</t>
  </si>
  <si>
    <t>Rozpočtové opatrenie starostu obce č. 7/2022</t>
  </si>
  <si>
    <t>MD - užívanie ver. priestranstva</t>
  </si>
  <si>
    <t>Predaj propag.materiálu</t>
  </si>
  <si>
    <t>MD - za ubytovanie</t>
  </si>
  <si>
    <t>MP za KO</t>
  </si>
  <si>
    <t>BT RUŠS - ZŠ normatív</t>
  </si>
  <si>
    <t>BT RUŠS - MŠ nenorm.výchova a vzdelanie</t>
  </si>
  <si>
    <t>BT RUŠS - ZŠ nenorm.- asistent učiteľa</t>
  </si>
  <si>
    <t>MŠ - plat dot.</t>
  </si>
  <si>
    <t xml:space="preserve">Predaj propagač.materiálu, vstupné </t>
  </si>
  <si>
    <t>OU - údžba softvéru z techniky, príplatky</t>
  </si>
  <si>
    <t>VS - poistné, príplatky</t>
  </si>
  <si>
    <t>MR - prenájom plošiny, materiál</t>
  </si>
  <si>
    <t>PO - ochr.prac.prostr., inter.vybavenie</t>
  </si>
  <si>
    <t>DST - plat,nemoc.dávky</t>
  </si>
  <si>
    <t>ŽP - príplatky, plat</t>
  </si>
  <si>
    <t>Vyúčt.služieb z prenájmu</t>
  </si>
  <si>
    <t>Dot. Podpora OSL</t>
  </si>
  <si>
    <t>OSL - zdr.poistné, plat dot.</t>
  </si>
  <si>
    <t>HDST</t>
  </si>
  <si>
    <t>presun BT na Základnú školu -ŠKD</t>
  </si>
  <si>
    <t>0960</t>
  </si>
  <si>
    <t>Fašiangy</t>
  </si>
  <si>
    <t>ZS - palivo, materiál</t>
  </si>
  <si>
    <t>TAC - plat, poistné</t>
  </si>
  <si>
    <t>Objekt réžie v hľadisku amfiteátra, strešná konštrukcia</t>
  </si>
  <si>
    <t>Rozpočtové opatrenie OZ č.5/2022</t>
  </si>
  <si>
    <t>RO ST 7</t>
  </si>
  <si>
    <t>zmena 5</t>
  </si>
  <si>
    <t>Dotácia MPSVR SR Podpora na opatrovateľskú službu</t>
  </si>
  <si>
    <t>MD za užívanie ver. priestranstva</t>
  </si>
  <si>
    <t>MD za ubytovanie</t>
  </si>
  <si>
    <t>11</t>
  </si>
  <si>
    <t>12</t>
  </si>
  <si>
    <t>RO ST č.7</t>
  </si>
  <si>
    <t>RO OZ č.5</t>
  </si>
  <si>
    <t>Nevyčerpaná dot. Podpora OSL II.</t>
  </si>
  <si>
    <t>OSL- odmena KZ, poistné</t>
  </si>
  <si>
    <t>PD rozšírenie ČOV - zmena technológie (vpust)/kanalizácia</t>
  </si>
  <si>
    <t>Pripomienky finančnej komisie k návrhu zmeny rozpočtu na rok 2022 boli zapracované dňa 17.8.2022</t>
  </si>
  <si>
    <t>Pripomienky OZ k návrhu zmeny rozpočtu na rok 2022 boli zapracované dňa 17.8.2022</t>
  </si>
  <si>
    <t>Návrh zmeny rozpočtu obce Heľpa na rok 2022 bol vyvesený na úradnej tabuli na pripomienkovanie dňa 4.8.2022, 18.8.2022</t>
  </si>
  <si>
    <t>V Heľpe 18.8.2022</t>
  </si>
  <si>
    <t>Voľby do orgánov samosprávy - poistné, odmeny, tovary a služby</t>
  </si>
  <si>
    <t>Knižnica - energie, technka, knihy</t>
  </si>
  <si>
    <t>Byt štadión - energie, materiál</t>
  </si>
  <si>
    <t>V Heľpe 29.7.2022</t>
  </si>
  <si>
    <t>Zmena Rozpočtu obce Heľpa na rok 2022 rozpočtovým opatrením 5/2022 bola schválená OZ uz.č. 1065/2022 dňa 18.8.2022</t>
  </si>
  <si>
    <t>Uhlie pre zdr.stredisko</t>
  </si>
  <si>
    <t>Rozpočtové opatrenie starostu obce č. 9/2022</t>
  </si>
  <si>
    <t>Rozpočtové opatrenie starostu obce č. 8/2022</t>
  </si>
  <si>
    <t>V Heľpe 31.8.2022</t>
  </si>
  <si>
    <t>KAN - Príspevok na opravu kanalizácie</t>
  </si>
  <si>
    <t>RO ST 8</t>
  </si>
  <si>
    <t>RO ST č.8</t>
  </si>
  <si>
    <t>VZD - plat,poist</t>
  </si>
  <si>
    <t>DS - vodné, údržba</t>
  </si>
  <si>
    <t>RO - energia, vodné</t>
  </si>
  <si>
    <t>STA - poistné</t>
  </si>
  <si>
    <t>SpU ŠKOL - poistné</t>
  </si>
  <si>
    <t>SpuU SOC - cestovné, DVP</t>
  </si>
  <si>
    <t>MŠ - materiál, údržba</t>
  </si>
  <si>
    <t>ŠKJ - cestovné, služby</t>
  </si>
  <si>
    <t>ŠA - vodné, materiál</t>
  </si>
  <si>
    <t>KUL - stroje,materiál,služby</t>
  </si>
  <si>
    <t>DST - materiál, prac.odevy</t>
  </si>
  <si>
    <t>skutočnosť 8</t>
  </si>
  <si>
    <t>BT RUŠS - ZŠ nenorm. Integrácia žiakov z UA</t>
  </si>
  <si>
    <t>RO - odmena KZ, poistné údržba</t>
  </si>
  <si>
    <t>MŠ - odmena KZ, poistné</t>
  </si>
  <si>
    <t>ŠKJ - odmena KZ, poistné</t>
  </si>
  <si>
    <t>Spu OSL -odmena KZ, poistné</t>
  </si>
  <si>
    <t>DST - odmena KZ, poistné</t>
  </si>
  <si>
    <t>Exter.projekt.manažment</t>
  </si>
  <si>
    <t>Predaj pozemkov</t>
  </si>
  <si>
    <t>Zapojenie peň.fondu do rozpočtu na inv. akcie</t>
  </si>
  <si>
    <t>RO ST 9</t>
  </si>
  <si>
    <t>zmena 6</t>
  </si>
  <si>
    <t>Návrh zmeny rozpočtu obce Heľpa na rok 2022 bol vyvesený na úradnej tabuli na pripomienkovanie dňa 14.9.2022, 22.9.2022</t>
  </si>
  <si>
    <t>Pripomienky finančnej komisie k návrhu zmeny rozpočtu na rok 2022 boli zapracované dňa 22.9.2022</t>
  </si>
  <si>
    <t>Pripomienky OZ k návrhu zmeny rozpočtu na rok 2022 boli zapracované dňa 23.9.2022</t>
  </si>
  <si>
    <t>CD - dopr.značenie, prenájom strojov, DVP</t>
  </si>
  <si>
    <t>Energie, materiál byt Jagerčíková</t>
  </si>
  <si>
    <t>§14 ods.2 písm. c)</t>
  </si>
  <si>
    <t>RO OZ č.6</t>
  </si>
  <si>
    <t>RO ST č.9</t>
  </si>
  <si>
    <t>Zmena Rozpočtu obce Heľpa na rok 2022 rozpočtovým opatrením 6/2022 bola schválená OZ uz.č. 1095/2022 dňa 23.9.2022</t>
  </si>
  <si>
    <t>Kultúrne podujatia, Zlatá svadba, HDST</t>
  </si>
  <si>
    <t>Rozpočtové opatrenie OZ č.6/2022</t>
  </si>
  <si>
    <t>RO - údržba budov, materiál</t>
  </si>
  <si>
    <t>BT RUŠS - ZŠ normatív odmeny KZ</t>
  </si>
  <si>
    <t>V Heľpe 30.9.2022</t>
  </si>
  <si>
    <t>Predaj nehnuteľnosti</t>
  </si>
  <si>
    <t>396+96+13,9</t>
  </si>
  <si>
    <t>dopl.obj.z 2020=2255</t>
  </si>
  <si>
    <t>Heľpa 23.9.2022</t>
  </si>
  <si>
    <t>V Heľpe 23.9.2022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</si>
</sst>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52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sz val="1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4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i/>
      <sz val="11"/>
      <color theme="3" tint="0.59999389629810485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8" tint="0.79998168889431442"/>
      <name val="Arial"/>
      <family val="2"/>
      <charset val="238"/>
    </font>
    <font>
      <i/>
      <sz val="10"/>
      <name val="Arial"/>
      <family val="2"/>
      <charset val="238"/>
    </font>
    <font>
      <sz val="10"/>
      <color theme="8" tint="0.59999389629810485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4"/>
      <name val="Arial CE"/>
    </font>
    <font>
      <b/>
      <sz val="10"/>
      <name val="Arial CE"/>
    </font>
    <font>
      <b/>
      <sz val="9"/>
      <name val="Arial CE"/>
    </font>
    <font>
      <b/>
      <sz val="12"/>
      <name val="Arial CE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856">
    <xf numFmtId="0" fontId="0" fillId="0" borderId="0" xfId="0"/>
    <xf numFmtId="0" fontId="2" fillId="0" borderId="0" xfId="0" applyFont="1"/>
    <xf numFmtId="3" fontId="3" fillId="2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3" fontId="5" fillId="0" borderId="12" xfId="0" applyNumberFormat="1" applyFont="1" applyFill="1" applyBorder="1"/>
    <xf numFmtId="3" fontId="6" fillId="0" borderId="13" xfId="0" applyNumberFormat="1" applyFont="1" applyFill="1" applyBorder="1"/>
    <xf numFmtId="3" fontId="4" fillId="0" borderId="13" xfId="0" applyNumberFormat="1" applyFont="1" applyFill="1" applyBorder="1"/>
    <xf numFmtId="0" fontId="2" fillId="0" borderId="14" xfId="0" applyFont="1" applyFill="1" applyBorder="1"/>
    <xf numFmtId="0" fontId="2" fillId="0" borderId="15" xfId="0" applyFont="1" applyBorder="1"/>
    <xf numFmtId="3" fontId="5" fillId="0" borderId="16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Fill="1" applyBorder="1"/>
    <xf numFmtId="0" fontId="2" fillId="0" borderId="17" xfId="0" applyFont="1" applyFill="1" applyBorder="1"/>
    <xf numFmtId="0" fontId="2" fillId="0" borderId="18" xfId="0" applyFont="1" applyBorder="1"/>
    <xf numFmtId="3" fontId="5" fillId="0" borderId="19" xfId="0" applyNumberFormat="1" applyFont="1" applyBorder="1"/>
    <xf numFmtId="3" fontId="2" fillId="0" borderId="20" xfId="0" applyNumberFormat="1" applyFont="1" applyBorder="1"/>
    <xf numFmtId="3" fontId="2" fillId="0" borderId="20" xfId="0" applyNumberFormat="1" applyFont="1" applyFill="1" applyBorder="1"/>
    <xf numFmtId="0" fontId="2" fillId="0" borderId="21" xfId="0" applyFont="1" applyFill="1" applyBorder="1"/>
    <xf numFmtId="0" fontId="2" fillId="0" borderId="22" xfId="0" applyFont="1" applyBorder="1"/>
    <xf numFmtId="3" fontId="5" fillId="0" borderId="23" xfId="0" applyNumberFormat="1" applyFont="1" applyBorder="1"/>
    <xf numFmtId="3" fontId="2" fillId="0" borderId="24" xfId="0" applyNumberFormat="1" applyFont="1" applyBorder="1"/>
    <xf numFmtId="3" fontId="2" fillId="0" borderId="24" xfId="0" applyNumberFormat="1" applyFont="1" applyFill="1" applyBorder="1"/>
    <xf numFmtId="0" fontId="2" fillId="0" borderId="25" xfId="0" applyFont="1" applyFill="1" applyBorder="1"/>
    <xf numFmtId="0" fontId="2" fillId="0" borderId="26" xfId="0" applyFont="1" applyBorder="1"/>
    <xf numFmtId="3" fontId="5" fillId="0" borderId="27" xfId="0" applyNumberFormat="1" applyFont="1" applyBorder="1"/>
    <xf numFmtId="3" fontId="6" fillId="0" borderId="6" xfId="0" applyNumberFormat="1" applyFont="1" applyBorder="1"/>
    <xf numFmtId="3" fontId="6" fillId="0" borderId="6" xfId="0" applyNumberFormat="1" applyFont="1" applyFill="1" applyBorder="1"/>
    <xf numFmtId="3" fontId="2" fillId="0" borderId="0" xfId="0" applyNumberFormat="1" applyFont="1"/>
    <xf numFmtId="0" fontId="2" fillId="0" borderId="28" xfId="0" applyFont="1" applyFill="1" applyBorder="1"/>
    <xf numFmtId="0" fontId="2" fillId="0" borderId="29" xfId="0" applyFont="1" applyBorder="1"/>
    <xf numFmtId="3" fontId="5" fillId="0" borderId="3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7" fillId="0" borderId="24" xfId="0" applyNumberFormat="1" applyFont="1" applyFill="1" applyBorder="1"/>
    <xf numFmtId="3" fontId="5" fillId="0" borderId="23" xfId="0" applyNumberFormat="1" applyFont="1" applyFill="1" applyBorder="1"/>
    <xf numFmtId="0" fontId="2" fillId="0" borderId="10" xfId="0" applyFont="1" applyFill="1" applyBorder="1"/>
    <xf numFmtId="0" fontId="2" fillId="0" borderId="11" xfId="0" applyFont="1" applyBorder="1"/>
    <xf numFmtId="3" fontId="5" fillId="0" borderId="12" xfId="0" applyNumberFormat="1" applyFont="1" applyBorder="1"/>
    <xf numFmtId="3" fontId="2" fillId="0" borderId="13" xfId="0" applyNumberFormat="1" applyFont="1" applyBorder="1"/>
    <xf numFmtId="3" fontId="2" fillId="0" borderId="13" xfId="0" applyNumberFormat="1" applyFont="1" applyFill="1" applyBorder="1"/>
    <xf numFmtId="3" fontId="6" fillId="0" borderId="9" xfId="0" applyNumberFormat="1" applyFont="1" applyBorder="1"/>
    <xf numFmtId="3" fontId="6" fillId="0" borderId="9" xfId="0" applyNumberFormat="1" applyFont="1" applyFill="1" applyBorder="1"/>
    <xf numFmtId="3" fontId="2" fillId="0" borderId="31" xfId="0" applyNumberFormat="1" applyFont="1" applyBorder="1"/>
    <xf numFmtId="0" fontId="2" fillId="0" borderId="32" xfId="0" applyFont="1" applyFill="1" applyBorder="1"/>
    <xf numFmtId="0" fontId="2" fillId="0" borderId="33" xfId="0" applyFont="1" applyBorder="1"/>
    <xf numFmtId="3" fontId="2" fillId="0" borderId="23" xfId="0" applyNumberFormat="1" applyFont="1" applyBorder="1"/>
    <xf numFmtId="3" fontId="2" fillId="0" borderId="31" xfId="0" applyNumberFormat="1" applyFont="1" applyFill="1" applyBorder="1"/>
    <xf numFmtId="0" fontId="2" fillId="0" borderId="34" xfId="0" applyFont="1" applyBorder="1"/>
    <xf numFmtId="3" fontId="2" fillId="0" borderId="6" xfId="0" applyNumberFormat="1" applyFont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10" xfId="0" applyFont="1" applyBorder="1"/>
    <xf numFmtId="0" fontId="4" fillId="0" borderId="35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4" fillId="2" borderId="15" xfId="0" applyFont="1" applyFill="1" applyBorder="1"/>
    <xf numFmtId="0" fontId="8" fillId="0" borderId="21" xfId="0" applyFont="1" applyFill="1" applyBorder="1"/>
    <xf numFmtId="3" fontId="8" fillId="0" borderId="24" xfId="0" applyNumberFormat="1" applyFont="1" applyFill="1" applyBorder="1"/>
    <xf numFmtId="0" fontId="8" fillId="0" borderId="17" xfId="0" applyFont="1" applyFill="1" applyBorder="1"/>
    <xf numFmtId="3" fontId="8" fillId="0" borderId="20" xfId="0" applyNumberFormat="1" applyFont="1" applyFill="1" applyBorder="1"/>
    <xf numFmtId="0" fontId="4" fillId="0" borderId="17" xfId="0" applyFont="1" applyFill="1" applyBorder="1"/>
    <xf numFmtId="0" fontId="4" fillId="0" borderId="22" xfId="0" applyFont="1" applyBorder="1"/>
    <xf numFmtId="3" fontId="5" fillId="0" borderId="20" xfId="0" applyNumberFormat="1" applyFont="1" applyFill="1" applyBorder="1"/>
    <xf numFmtId="0" fontId="8" fillId="0" borderId="25" xfId="0" applyFont="1" applyFill="1" applyBorder="1"/>
    <xf numFmtId="3" fontId="8" fillId="0" borderId="6" xfId="0" applyNumberFormat="1" applyFont="1" applyFill="1" applyBorder="1"/>
    <xf numFmtId="0" fontId="4" fillId="0" borderId="18" xfId="0" applyFont="1" applyBorder="1"/>
    <xf numFmtId="0" fontId="4" fillId="0" borderId="25" xfId="0" applyFont="1" applyFill="1" applyBorder="1"/>
    <xf numFmtId="0" fontId="4" fillId="0" borderId="26" xfId="0" applyFont="1" applyBorder="1"/>
    <xf numFmtId="3" fontId="2" fillId="0" borderId="6" xfId="0" applyNumberFormat="1" applyFont="1" applyFill="1" applyBorder="1"/>
    <xf numFmtId="0" fontId="4" fillId="0" borderId="33" xfId="0" applyFont="1" applyBorder="1"/>
    <xf numFmtId="3" fontId="2" fillId="0" borderId="42" xfId="0" applyNumberFormat="1" applyFont="1" applyFill="1" applyBorder="1"/>
    <xf numFmtId="0" fontId="8" fillId="0" borderId="39" xfId="0" applyFont="1" applyFill="1" applyBorder="1"/>
    <xf numFmtId="3" fontId="7" fillId="0" borderId="20" xfId="0" applyNumberFormat="1" applyFont="1" applyFill="1" applyBorder="1"/>
    <xf numFmtId="0" fontId="4" fillId="0" borderId="21" xfId="0" applyFont="1" applyFill="1" applyBorder="1"/>
    <xf numFmtId="0" fontId="4" fillId="0" borderId="38" xfId="0" applyFont="1" applyBorder="1"/>
    <xf numFmtId="0" fontId="9" fillId="4" borderId="21" xfId="0" applyFont="1" applyFill="1" applyBorder="1"/>
    <xf numFmtId="0" fontId="9" fillId="4" borderId="37" xfId="0" applyFont="1" applyFill="1" applyBorder="1"/>
    <xf numFmtId="3" fontId="9" fillId="4" borderId="24" xfId="0" applyNumberFormat="1" applyFont="1" applyFill="1" applyBorder="1"/>
    <xf numFmtId="0" fontId="10" fillId="2" borderId="14" xfId="0" applyFont="1" applyFill="1" applyBorder="1"/>
    <xf numFmtId="3" fontId="10" fillId="2" borderId="9" xfId="0" applyNumberFormat="1" applyFont="1" applyFill="1" applyBorder="1" applyAlignment="1">
      <alignment horizontal="right"/>
    </xf>
    <xf numFmtId="0" fontId="6" fillId="4" borderId="17" xfId="0" applyFont="1" applyFill="1" applyBorder="1"/>
    <xf numFmtId="0" fontId="6" fillId="4" borderId="18" xfId="0" applyFont="1" applyFill="1" applyBorder="1"/>
    <xf numFmtId="3" fontId="6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3" fontId="6" fillId="4" borderId="24" xfId="0" applyNumberFormat="1" applyFont="1" applyFill="1" applyBorder="1" applyAlignment="1">
      <alignment horizontal="right"/>
    </xf>
    <xf numFmtId="0" fontId="6" fillId="4" borderId="32" xfId="0" applyFont="1" applyFill="1" applyBorder="1"/>
    <xf numFmtId="0" fontId="6" fillId="4" borderId="33" xfId="0" applyFont="1" applyFill="1" applyBorder="1"/>
    <xf numFmtId="3" fontId="6" fillId="4" borderId="31" xfId="0" applyNumberFormat="1" applyFont="1" applyFill="1" applyBorder="1" applyAlignment="1">
      <alignment horizontal="right"/>
    </xf>
    <xf numFmtId="3" fontId="11" fillId="4" borderId="9" xfId="0" applyNumberFormat="1" applyFont="1" applyFill="1" applyBorder="1" applyAlignment="1">
      <alignment horizontal="right"/>
    </xf>
    <xf numFmtId="0" fontId="6" fillId="4" borderId="40" xfId="0" applyFont="1" applyFill="1" applyBorder="1"/>
    <xf numFmtId="0" fontId="6" fillId="4" borderId="44" xfId="0" applyFont="1" applyFill="1" applyBorder="1"/>
    <xf numFmtId="3" fontId="6" fillId="4" borderId="42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0" fontId="3" fillId="5" borderId="14" xfId="0" applyFont="1" applyFill="1" applyBorder="1"/>
    <xf numFmtId="0" fontId="3" fillId="5" borderId="47" xfId="0" applyFont="1" applyFill="1" applyBorder="1"/>
    <xf numFmtId="3" fontId="3" fillId="5" borderId="16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4" fillId="0" borderId="37" xfId="0" applyFont="1" applyBorder="1"/>
    <xf numFmtId="3" fontId="6" fillId="0" borderId="49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4" fillId="0" borderId="34" xfId="0" applyFont="1" applyFill="1" applyBorder="1"/>
    <xf numFmtId="3" fontId="5" fillId="0" borderId="1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2" fillId="5" borderId="47" xfId="0" applyFont="1" applyFill="1" applyBorder="1"/>
    <xf numFmtId="49" fontId="4" fillId="0" borderId="1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3" fontId="4" fillId="0" borderId="4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right"/>
    </xf>
    <xf numFmtId="0" fontId="4" fillId="0" borderId="52" xfId="0" applyFont="1" applyBorder="1"/>
    <xf numFmtId="3" fontId="12" fillId="0" borderId="30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4" fillId="0" borderId="41" xfId="0" applyFont="1" applyBorder="1"/>
    <xf numFmtId="3" fontId="12" fillId="0" borderId="5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right"/>
    </xf>
    <xf numFmtId="0" fontId="4" fillId="0" borderId="39" xfId="0" applyFont="1" applyBorder="1"/>
    <xf numFmtId="3" fontId="12" fillId="0" borderId="27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3" fillId="5" borderId="54" xfId="0" applyFont="1" applyFill="1" applyBorder="1"/>
    <xf numFmtId="0" fontId="2" fillId="5" borderId="55" xfId="0" applyFont="1" applyFill="1" applyBorder="1"/>
    <xf numFmtId="3" fontId="3" fillId="5" borderId="50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0" fontId="4" fillId="0" borderId="45" xfId="0" applyFont="1" applyBorder="1"/>
    <xf numFmtId="3" fontId="4" fillId="0" borderId="5" xfId="0" applyNumberFormat="1" applyFont="1" applyBorder="1" applyAlignment="1">
      <alignment horizontal="right"/>
    </xf>
    <xf numFmtId="0" fontId="4" fillId="0" borderId="49" xfId="0" applyFont="1" applyBorder="1"/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34" xfId="0" applyFont="1" applyBorder="1"/>
    <xf numFmtId="0" fontId="4" fillId="0" borderId="12" xfId="0" applyFont="1" applyBorder="1"/>
    <xf numFmtId="0" fontId="4" fillId="0" borderId="2" xfId="0" applyFont="1" applyBorder="1"/>
    <xf numFmtId="3" fontId="4" fillId="0" borderId="13" xfId="0" applyNumberFormat="1" applyFont="1" applyBorder="1" applyAlignment="1">
      <alignment horizontal="right"/>
    </xf>
    <xf numFmtId="49" fontId="3" fillId="5" borderId="10" xfId="0" applyNumberFormat="1" applyFont="1" applyFill="1" applyBorder="1" applyAlignment="1">
      <alignment horizontal="left"/>
    </xf>
    <xf numFmtId="0" fontId="3" fillId="5" borderId="34" xfId="0" applyFont="1" applyFill="1" applyBorder="1"/>
    <xf numFmtId="3" fontId="3" fillId="5" borderId="1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0" fontId="4" fillId="0" borderId="38" xfId="0" applyFont="1" applyFill="1" applyBorder="1"/>
    <xf numFmtId="3" fontId="6" fillId="0" borderId="48" xfId="0" applyNumberFormat="1" applyFont="1" applyFill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49" fontId="4" fillId="0" borderId="3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49" fontId="4" fillId="0" borderId="57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10" fillId="5" borderId="54" xfId="0" applyFont="1" applyFill="1" applyBorder="1"/>
    <xf numFmtId="3" fontId="10" fillId="5" borderId="50" xfId="0" applyNumberFormat="1" applyFont="1" applyFill="1" applyBorder="1" applyAlignment="1">
      <alignment horizontal="right"/>
    </xf>
    <xf numFmtId="3" fontId="10" fillId="5" borderId="4" xfId="0" applyNumberFormat="1" applyFont="1" applyFill="1" applyBorder="1" applyAlignment="1">
      <alignment horizontal="right"/>
    </xf>
    <xf numFmtId="3" fontId="10" fillId="5" borderId="51" xfId="0" applyNumberFormat="1" applyFont="1" applyFill="1" applyBorder="1" applyAlignment="1">
      <alignment horizontal="right"/>
    </xf>
    <xf numFmtId="49" fontId="6" fillId="6" borderId="56" xfId="0" applyNumberFormat="1" applyFont="1" applyFill="1" applyBorder="1" applyAlignment="1">
      <alignment horizontal="right"/>
    </xf>
    <xf numFmtId="0" fontId="6" fillId="6" borderId="52" xfId="0" applyFont="1" applyFill="1" applyBorder="1"/>
    <xf numFmtId="3" fontId="6" fillId="6" borderId="30" xfId="0" applyNumberFormat="1" applyFont="1" applyFill="1" applyBorder="1" applyAlignment="1">
      <alignment horizontal="right"/>
    </xf>
    <xf numFmtId="3" fontId="6" fillId="6" borderId="45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  <xf numFmtId="49" fontId="6" fillId="6" borderId="36" xfId="0" applyNumberFormat="1" applyFont="1" applyFill="1" applyBorder="1" applyAlignment="1">
      <alignment horizontal="right"/>
    </xf>
    <xf numFmtId="0" fontId="6" fillId="6" borderId="37" xfId="0" applyFont="1" applyFill="1" applyBorder="1"/>
    <xf numFmtId="3" fontId="6" fillId="6" borderId="23" xfId="0" applyNumberFormat="1" applyFont="1" applyFill="1" applyBorder="1" applyAlignment="1">
      <alignment horizontal="right"/>
    </xf>
    <xf numFmtId="3" fontId="6" fillId="6" borderId="49" xfId="0" applyNumberFormat="1" applyFont="1" applyFill="1" applyBorder="1" applyAlignment="1">
      <alignment horizontal="right"/>
    </xf>
    <xf numFmtId="3" fontId="6" fillId="6" borderId="24" xfId="0" applyNumberFormat="1" applyFont="1" applyFill="1" applyBorder="1" applyAlignment="1">
      <alignment horizontal="right"/>
    </xf>
    <xf numFmtId="49" fontId="6" fillId="6" borderId="60" xfId="0" applyNumberFormat="1" applyFont="1" applyFill="1" applyBorder="1" applyAlignment="1">
      <alignment horizontal="right"/>
    </xf>
    <xf numFmtId="0" fontId="6" fillId="6" borderId="39" xfId="0" applyFont="1" applyFill="1" applyBorder="1"/>
    <xf numFmtId="3" fontId="6" fillId="6" borderId="27" xfId="0" applyNumberFormat="1" applyFont="1" applyFill="1" applyBorder="1" applyAlignment="1">
      <alignment horizontal="right"/>
    </xf>
    <xf numFmtId="3" fontId="6" fillId="6" borderId="46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49" fontId="6" fillId="6" borderId="35" xfId="0" applyNumberFormat="1" applyFont="1" applyFill="1" applyBorder="1" applyAlignment="1">
      <alignment horizontal="right"/>
    </xf>
    <xf numFmtId="0" fontId="6" fillId="6" borderId="38" xfId="0" applyFont="1" applyFill="1" applyBorder="1"/>
    <xf numFmtId="3" fontId="6" fillId="6" borderId="19" xfId="0" applyNumberFormat="1" applyFont="1" applyFill="1" applyBorder="1" applyAlignment="1">
      <alignment horizontal="right"/>
    </xf>
    <xf numFmtId="3" fontId="6" fillId="6" borderId="48" xfId="0" applyNumberFormat="1" applyFont="1" applyFill="1" applyBorder="1" applyAlignment="1">
      <alignment horizontal="right"/>
    </xf>
    <xf numFmtId="3" fontId="6" fillId="6" borderId="20" xfId="0" applyNumberFormat="1" applyFont="1" applyFill="1" applyBorder="1" applyAlignment="1">
      <alignment horizontal="right"/>
    </xf>
    <xf numFmtId="3" fontId="3" fillId="7" borderId="16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49" fontId="4" fillId="4" borderId="56" xfId="0" applyNumberFormat="1" applyFont="1" applyFill="1" applyBorder="1" applyAlignment="1">
      <alignment horizontal="right"/>
    </xf>
    <xf numFmtId="0" fontId="6" fillId="4" borderId="52" xfId="0" applyFont="1" applyFill="1" applyBorder="1"/>
    <xf numFmtId="3" fontId="6" fillId="4" borderId="30" xfId="0" applyNumberFormat="1" applyFont="1" applyFill="1" applyBorder="1" applyAlignment="1">
      <alignment horizontal="right"/>
    </xf>
    <xf numFmtId="3" fontId="6" fillId="4" borderId="45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49" fontId="4" fillId="4" borderId="35" xfId="0" applyNumberFormat="1" applyFont="1" applyFill="1" applyBorder="1" applyAlignment="1">
      <alignment horizontal="right"/>
    </xf>
    <xf numFmtId="0" fontId="6" fillId="4" borderId="38" xfId="0" applyFont="1" applyFill="1" applyBorder="1"/>
    <xf numFmtId="3" fontId="6" fillId="4" borderId="19" xfId="0" applyNumberFormat="1" applyFont="1" applyFill="1" applyBorder="1" applyAlignment="1">
      <alignment horizontal="right"/>
    </xf>
    <xf numFmtId="3" fontId="6" fillId="4" borderId="48" xfId="0" applyNumberFormat="1" applyFont="1" applyFill="1" applyBorder="1" applyAlignment="1">
      <alignment horizontal="right"/>
    </xf>
    <xf numFmtId="3" fontId="11" fillId="4" borderId="50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 horizontal="right"/>
    </xf>
    <xf numFmtId="3" fontId="11" fillId="4" borderId="51" xfId="0" applyNumberFormat="1" applyFont="1" applyFill="1" applyBorder="1" applyAlignment="1">
      <alignment horizontal="right"/>
    </xf>
    <xf numFmtId="3" fontId="3" fillId="8" borderId="16" xfId="0" applyNumberFormat="1" applyFont="1" applyFill="1" applyBorder="1" applyAlignment="1">
      <alignment horizontal="right"/>
    </xf>
    <xf numFmtId="3" fontId="3" fillId="8" borderId="8" xfId="0" applyNumberFormat="1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0" fontId="10" fillId="5" borderId="14" xfId="0" applyFont="1" applyFill="1" applyBorder="1"/>
    <xf numFmtId="3" fontId="10" fillId="5" borderId="16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9" borderId="16" xfId="0" applyNumberFormat="1" applyFont="1" applyFill="1" applyBorder="1" applyAlignment="1"/>
    <xf numFmtId="3" fontId="4" fillId="0" borderId="27" xfId="0" applyNumberFormat="1" applyFont="1" applyBorder="1" applyAlignment="1"/>
    <xf numFmtId="3" fontId="4" fillId="0" borderId="27" xfId="0" applyNumberFormat="1" applyFont="1" applyFill="1" applyBorder="1" applyAlignment="1"/>
    <xf numFmtId="0" fontId="4" fillId="0" borderId="57" xfId="0" applyFont="1" applyFill="1" applyBorder="1"/>
    <xf numFmtId="3" fontId="4" fillId="0" borderId="58" xfId="0" applyNumberFormat="1" applyFont="1" applyBorder="1" applyAlignment="1"/>
    <xf numFmtId="3" fontId="4" fillId="0" borderId="58" xfId="0" applyNumberFormat="1" applyFont="1" applyFill="1" applyBorder="1" applyAlignment="1"/>
    <xf numFmtId="0" fontId="4" fillId="0" borderId="36" xfId="0" applyFont="1" applyFill="1" applyBorder="1"/>
    <xf numFmtId="3" fontId="4" fillId="0" borderId="23" xfId="0" applyNumberFormat="1" applyFont="1" applyBorder="1" applyAlignment="1"/>
    <xf numFmtId="3" fontId="4" fillId="0" borderId="23" xfId="0" applyNumberFormat="1" applyFont="1" applyFill="1" applyBorder="1" applyAlignment="1"/>
    <xf numFmtId="0" fontId="4" fillId="0" borderId="35" xfId="0" applyFont="1" applyFill="1" applyBorder="1"/>
    <xf numFmtId="3" fontId="4" fillId="0" borderId="19" xfId="0" applyNumberFormat="1" applyFont="1" applyBorder="1" applyAlignment="1"/>
    <xf numFmtId="3" fontId="4" fillId="0" borderId="19" xfId="0" applyNumberFormat="1" applyFont="1" applyFill="1" applyBorder="1" applyAlignment="1"/>
    <xf numFmtId="0" fontId="4" fillId="0" borderId="24" xfId="0" applyFont="1" applyBorder="1"/>
    <xf numFmtId="0" fontId="5" fillId="0" borderId="18" xfId="0" applyFont="1" applyBorder="1"/>
    <xf numFmtId="49" fontId="5" fillId="0" borderId="56" xfId="0" applyNumberFormat="1" applyFont="1" applyFill="1" applyBorder="1" applyAlignment="1">
      <alignment horizontal="right"/>
    </xf>
    <xf numFmtId="0" fontId="5" fillId="0" borderId="29" xfId="0" applyFont="1" applyBorder="1"/>
    <xf numFmtId="3" fontId="5" fillId="0" borderId="30" xfId="0" applyNumberFormat="1" applyFont="1" applyFill="1" applyBorder="1" applyAlignment="1"/>
    <xf numFmtId="49" fontId="5" fillId="0" borderId="21" xfId="0" applyNumberFormat="1" applyFont="1" applyFill="1" applyBorder="1" applyAlignment="1">
      <alignment horizontal="right"/>
    </xf>
    <xf numFmtId="0" fontId="5" fillId="0" borderId="22" xfId="0" applyFont="1" applyBorder="1"/>
    <xf numFmtId="3" fontId="5" fillId="0" borderId="23" xfId="0" applyNumberFormat="1" applyFont="1" applyFill="1" applyBorder="1" applyAlignment="1"/>
    <xf numFmtId="49" fontId="5" fillId="0" borderId="25" xfId="0" applyNumberFormat="1" applyFont="1" applyFill="1" applyBorder="1" applyAlignment="1">
      <alignment horizontal="right"/>
    </xf>
    <xf numFmtId="0" fontId="5" fillId="0" borderId="26" xfId="0" applyFont="1" applyBorder="1"/>
    <xf numFmtId="3" fontId="5" fillId="0" borderId="27" xfId="0" applyNumberFormat="1" applyFont="1" applyFill="1" applyBorder="1" applyAlignment="1"/>
    <xf numFmtId="3" fontId="5" fillId="0" borderId="12" xfId="0" applyNumberFormat="1" applyFont="1" applyFill="1" applyBorder="1" applyAlignment="1"/>
    <xf numFmtId="49" fontId="5" fillId="0" borderId="35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/>
    <xf numFmtId="49" fontId="5" fillId="0" borderId="61" xfId="0" applyNumberFormat="1" applyFont="1" applyFill="1" applyBorder="1" applyAlignment="1">
      <alignment horizontal="right"/>
    </xf>
    <xf numFmtId="0" fontId="5" fillId="0" borderId="44" xfId="0" applyFont="1" applyBorder="1"/>
    <xf numFmtId="3" fontId="5" fillId="0" borderId="53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right"/>
    </xf>
    <xf numFmtId="0" fontId="5" fillId="0" borderId="33" xfId="0" applyFont="1" applyBorder="1"/>
    <xf numFmtId="3" fontId="5" fillId="0" borderId="58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36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49" fontId="5" fillId="0" borderId="60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49" fontId="5" fillId="0" borderId="44" xfId="0" applyNumberFormat="1" applyFont="1" applyFill="1" applyBorder="1" applyAlignment="1">
      <alignment horizontal="left"/>
    </xf>
    <xf numFmtId="49" fontId="5" fillId="0" borderId="57" xfId="0" applyNumberFormat="1" applyFont="1" applyBorder="1" applyAlignment="1">
      <alignment horizontal="right"/>
    </xf>
    <xf numFmtId="49" fontId="5" fillId="0" borderId="33" xfId="0" applyNumberFormat="1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14" fillId="0" borderId="11" xfId="0" applyFont="1" applyBorder="1"/>
    <xf numFmtId="49" fontId="5" fillId="0" borderId="2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57" xfId="0" applyFont="1" applyBorder="1"/>
    <xf numFmtId="0" fontId="2" fillId="0" borderId="33" xfId="0" applyFont="1" applyFill="1" applyBorder="1"/>
    <xf numFmtId="3" fontId="7" fillId="0" borderId="31" xfId="0" applyNumberFormat="1" applyFont="1" applyFill="1" applyBorder="1" applyAlignment="1">
      <alignment horizontal="right"/>
    </xf>
    <xf numFmtId="0" fontId="2" fillId="0" borderId="60" xfId="0" applyFont="1" applyBorder="1"/>
    <xf numFmtId="0" fontId="2" fillId="0" borderId="26" xfId="0" applyFont="1" applyFill="1" applyBorder="1"/>
    <xf numFmtId="3" fontId="7" fillId="0" borderId="6" xfId="0" applyNumberFormat="1" applyFont="1" applyFill="1" applyBorder="1" applyAlignment="1">
      <alignment horizontal="right"/>
    </xf>
    <xf numFmtId="0" fontId="15" fillId="0" borderId="56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6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18" fillId="0" borderId="28" xfId="0" applyFont="1" applyBorder="1"/>
    <xf numFmtId="3" fontId="4" fillId="0" borderId="5" xfId="0" applyNumberFormat="1" applyFont="1" applyBorder="1"/>
    <xf numFmtId="0" fontId="18" fillId="0" borderId="21" xfId="0" applyFont="1" applyBorder="1"/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/>
    <xf numFmtId="3" fontId="10" fillId="10" borderId="24" xfId="0" applyNumberFormat="1" applyFont="1" applyFill="1" applyBorder="1"/>
    <xf numFmtId="0" fontId="18" fillId="0" borderId="36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3" fontId="4" fillId="0" borderId="24" xfId="0" applyNumberFormat="1" applyFont="1" applyFill="1" applyBorder="1"/>
    <xf numFmtId="3" fontId="10" fillId="10" borderId="31" xfId="0" applyNumberFormat="1" applyFont="1" applyFill="1" applyBorder="1"/>
    <xf numFmtId="0" fontId="20" fillId="2" borderId="7" xfId="0" applyFont="1" applyFill="1" applyBorder="1" applyAlignment="1"/>
    <xf numFmtId="0" fontId="21" fillId="2" borderId="8" xfId="0" applyFont="1" applyFill="1" applyBorder="1" applyAlignment="1"/>
    <xf numFmtId="3" fontId="10" fillId="2" borderId="9" xfId="0" applyNumberFormat="1" applyFont="1" applyFill="1" applyBorder="1"/>
    <xf numFmtId="0" fontId="2" fillId="0" borderId="0" xfId="0" applyFont="1" applyAlignment="1">
      <alignment horizontal="right"/>
    </xf>
    <xf numFmtId="0" fontId="22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Fill="1" applyBorder="1"/>
    <xf numFmtId="3" fontId="8" fillId="0" borderId="13" xfId="0" applyNumberFormat="1" applyFont="1" applyFill="1" applyBorder="1"/>
    <xf numFmtId="0" fontId="2" fillId="0" borderId="47" xfId="0" applyFont="1" applyBorder="1"/>
    <xf numFmtId="0" fontId="2" fillId="0" borderId="38" xfId="0" applyFont="1" applyBorder="1"/>
    <xf numFmtId="0" fontId="2" fillId="0" borderId="37" xfId="0" applyFont="1" applyBorder="1"/>
    <xf numFmtId="0" fontId="2" fillId="0" borderId="39" xfId="0" applyFont="1" applyBorder="1"/>
    <xf numFmtId="3" fontId="3" fillId="2" borderId="16" xfId="0" applyNumberFormat="1" applyFont="1" applyFill="1" applyBorder="1" applyAlignment="1">
      <alignment horizontal="right"/>
    </xf>
    <xf numFmtId="3" fontId="3" fillId="2" borderId="64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12" xfId="0" applyFont="1" applyBorder="1"/>
    <xf numFmtId="0" fontId="4" fillId="2" borderId="47" xfId="0" applyFont="1" applyFill="1" applyBorder="1"/>
    <xf numFmtId="0" fontId="8" fillId="0" borderId="37" xfId="0" applyFont="1" applyFill="1" applyBorder="1"/>
    <xf numFmtId="0" fontId="8" fillId="0" borderId="34" xfId="0" applyFont="1" applyFill="1" applyBorder="1"/>
    <xf numFmtId="0" fontId="2" fillId="0" borderId="37" xfId="0" applyFont="1" applyFill="1" applyBorder="1"/>
    <xf numFmtId="0" fontId="6" fillId="0" borderId="37" xfId="0" applyFont="1" applyFill="1" applyBorder="1"/>
    <xf numFmtId="0" fontId="2" fillId="2" borderId="47" xfId="0" applyFont="1" applyFill="1" applyBorder="1"/>
    <xf numFmtId="0" fontId="8" fillId="0" borderId="46" xfId="0" applyFont="1" applyFill="1" applyBorder="1"/>
    <xf numFmtId="3" fontId="2" fillId="0" borderId="48" xfId="0" applyNumberFormat="1" applyFont="1" applyBorder="1"/>
    <xf numFmtId="0" fontId="4" fillId="0" borderId="48" xfId="0" applyFont="1" applyBorder="1"/>
    <xf numFmtId="0" fontId="9" fillId="4" borderId="49" xfId="0" applyFont="1" applyFill="1" applyBorder="1"/>
    <xf numFmtId="3" fontId="8" fillId="0" borderId="23" xfId="0" applyNumberFormat="1" applyFont="1" applyFill="1" applyBorder="1"/>
    <xf numFmtId="3" fontId="8" fillId="0" borderId="19" xfId="0" applyNumberFormat="1" applyFont="1" applyFill="1" applyBorder="1"/>
    <xf numFmtId="3" fontId="2" fillId="0" borderId="19" xfId="0" applyNumberFormat="1" applyFont="1" applyBorder="1"/>
    <xf numFmtId="3" fontId="4" fillId="0" borderId="19" xfId="0" applyNumberFormat="1" applyFont="1" applyBorder="1"/>
    <xf numFmtId="3" fontId="8" fillId="0" borderId="12" xfId="0" applyNumberFormat="1" applyFont="1" applyFill="1" applyBorder="1"/>
    <xf numFmtId="3" fontId="4" fillId="0" borderId="27" xfId="0" applyNumberFormat="1" applyFont="1" applyBorder="1"/>
    <xf numFmtId="3" fontId="8" fillId="0" borderId="27" xfId="0" applyNumberFormat="1" applyFont="1" applyFill="1" applyBorder="1"/>
    <xf numFmtId="3" fontId="2" fillId="0" borderId="23" xfId="0" applyNumberFormat="1" applyFont="1" applyFill="1" applyBorder="1"/>
    <xf numFmtId="3" fontId="6" fillId="0" borderId="23" xfId="0" applyNumberFormat="1" applyFont="1" applyFill="1" applyBorder="1"/>
    <xf numFmtId="3" fontId="9" fillId="4" borderId="23" xfId="0" applyNumberFormat="1" applyFont="1" applyFill="1" applyBorder="1"/>
    <xf numFmtId="3" fontId="10" fillId="2" borderId="16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6" fillId="0" borderId="49" xfId="0" applyNumberFormat="1" applyFont="1" applyFill="1" applyBorder="1"/>
    <xf numFmtId="3" fontId="8" fillId="0" borderId="49" xfId="0" applyNumberFormat="1" applyFont="1" applyFill="1" applyBorder="1"/>
    <xf numFmtId="3" fontId="8" fillId="0" borderId="48" xfId="0" applyNumberFormat="1" applyFont="1" applyFill="1" applyBorder="1"/>
    <xf numFmtId="3" fontId="5" fillId="0" borderId="48" xfId="0" applyNumberFormat="1" applyFont="1" applyBorder="1"/>
    <xf numFmtId="3" fontId="7" fillId="0" borderId="49" xfId="0" applyNumberFormat="1" applyFont="1" applyBorder="1"/>
    <xf numFmtId="3" fontId="7" fillId="0" borderId="2" xfId="0" applyNumberFormat="1" applyFont="1" applyBorder="1"/>
    <xf numFmtId="3" fontId="2" fillId="0" borderId="46" xfId="0" applyNumberFormat="1" applyFont="1" applyBorder="1"/>
    <xf numFmtId="3" fontId="7" fillId="0" borderId="48" xfId="0" applyNumberFormat="1" applyFont="1" applyBorder="1"/>
    <xf numFmtId="3" fontId="2" fillId="0" borderId="49" xfId="0" applyNumberFormat="1" applyFont="1" applyFill="1" applyBorder="1"/>
    <xf numFmtId="3" fontId="7" fillId="0" borderId="49" xfId="0" applyNumberFormat="1" applyFont="1" applyFill="1" applyBorder="1"/>
    <xf numFmtId="3" fontId="10" fillId="2" borderId="8" xfId="0" applyNumberFormat="1" applyFont="1" applyFill="1" applyBorder="1" applyAlignment="1">
      <alignment horizontal="right"/>
    </xf>
    <xf numFmtId="3" fontId="2" fillId="0" borderId="27" xfId="0" applyNumberFormat="1" applyFont="1" applyBorder="1"/>
    <xf numFmtId="3" fontId="7" fillId="0" borderId="19" xfId="0" applyNumberFormat="1" applyFont="1" applyFill="1" applyBorder="1"/>
    <xf numFmtId="3" fontId="7" fillId="0" borderId="23" xfId="0" applyNumberFormat="1" applyFont="1" applyFill="1" applyBorder="1"/>
    <xf numFmtId="3" fontId="2" fillId="0" borderId="19" xfId="0" applyNumberFormat="1" applyFont="1" applyFill="1" applyBorder="1"/>
    <xf numFmtId="3" fontId="6" fillId="6" borderId="52" xfId="0" applyNumberFormat="1" applyFont="1" applyFill="1" applyBorder="1" applyAlignment="1">
      <alignment horizontal="right"/>
    </xf>
    <xf numFmtId="3" fontId="6" fillId="6" borderId="36" xfId="0" applyNumberFormat="1" applyFont="1" applyFill="1" applyBorder="1" applyAlignment="1">
      <alignment horizontal="right"/>
    </xf>
    <xf numFmtId="3" fontId="6" fillId="6" borderId="60" xfId="0" applyNumberFormat="1" applyFont="1" applyFill="1" applyBorder="1" applyAlignment="1">
      <alignment horizontal="right"/>
    </xf>
    <xf numFmtId="3" fontId="6" fillId="6" borderId="35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0" fontId="2" fillId="0" borderId="18" xfId="0" applyFont="1" applyFill="1" applyBorder="1"/>
    <xf numFmtId="0" fontId="2" fillId="0" borderId="35" xfId="0" applyFont="1" applyBorder="1"/>
    <xf numFmtId="3" fontId="7" fillId="0" borderId="20" xfId="0" applyNumberFormat="1" applyFont="1" applyFill="1" applyBorder="1" applyAlignment="1">
      <alignment horizontal="right"/>
    </xf>
    <xf numFmtId="0" fontId="2" fillId="0" borderId="56" xfId="0" applyFont="1" applyBorder="1"/>
    <xf numFmtId="0" fontId="2" fillId="0" borderId="29" xfId="0" applyFont="1" applyFill="1" applyBorder="1"/>
    <xf numFmtId="3" fontId="7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6" xfId="0" applyFill="1" applyBorder="1"/>
    <xf numFmtId="49" fontId="5" fillId="0" borderId="7" xfId="0" applyNumberFormat="1" applyFont="1" applyFill="1" applyBorder="1" applyAlignment="1">
      <alignment horizontal="right"/>
    </xf>
    <xf numFmtId="0" fontId="5" fillId="0" borderId="15" xfId="0" applyFont="1" applyBorder="1"/>
    <xf numFmtId="3" fontId="5" fillId="0" borderId="16" xfId="0" applyNumberFormat="1" applyFont="1" applyFill="1" applyBorder="1" applyAlignment="1"/>
    <xf numFmtId="3" fontId="4" fillId="0" borderId="53" xfId="0" applyNumberFormat="1" applyFont="1" applyFill="1" applyBorder="1" applyAlignment="1"/>
    <xf numFmtId="0" fontId="7" fillId="0" borderId="0" xfId="0" applyFont="1" applyFill="1"/>
    <xf numFmtId="0" fontId="3" fillId="3" borderId="3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3" fontId="8" fillId="0" borderId="65" xfId="0" applyNumberFormat="1" applyFont="1" applyFill="1" applyBorder="1"/>
    <xf numFmtId="3" fontId="8" fillId="0" borderId="66" xfId="0" applyNumberFormat="1" applyFont="1" applyFill="1" applyBorder="1"/>
    <xf numFmtId="3" fontId="2" fillId="0" borderId="66" xfId="0" applyNumberFormat="1" applyFont="1" applyBorder="1"/>
    <xf numFmtId="3" fontId="5" fillId="0" borderId="66" xfId="0" applyNumberFormat="1" applyFont="1" applyBorder="1"/>
    <xf numFmtId="3" fontId="8" fillId="0" borderId="67" xfId="0" applyNumberFormat="1" applyFont="1" applyFill="1" applyBorder="1"/>
    <xf numFmtId="3" fontId="8" fillId="0" borderId="68" xfId="0" applyNumberFormat="1" applyFont="1" applyFill="1" applyBorder="1"/>
    <xf numFmtId="3" fontId="2" fillId="0" borderId="66" xfId="0" applyNumberFormat="1" applyFont="1" applyFill="1" applyBorder="1"/>
    <xf numFmtId="3" fontId="9" fillId="4" borderId="65" xfId="0" applyNumberFormat="1" applyFont="1" applyFill="1" applyBorder="1"/>
    <xf numFmtId="3" fontId="4" fillId="0" borderId="67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66" xfId="0" applyNumberFormat="1" applyFont="1" applyFill="1" applyBorder="1" applyAlignment="1">
      <alignment horizontal="right"/>
    </xf>
    <xf numFmtId="3" fontId="7" fillId="0" borderId="46" xfId="0" applyNumberFormat="1" applyFont="1" applyBorder="1"/>
    <xf numFmtId="49" fontId="5" fillId="0" borderId="24" xfId="0" applyNumberFormat="1" applyFont="1" applyFill="1" applyBorder="1" applyAlignment="1">
      <alignment horizontal="left"/>
    </xf>
    <xf numFmtId="0" fontId="5" fillId="0" borderId="24" xfId="0" applyFont="1" applyFill="1" applyBorder="1"/>
    <xf numFmtId="49" fontId="5" fillId="0" borderId="32" xfId="0" applyNumberFormat="1" applyFont="1" applyBorder="1" applyAlignment="1">
      <alignment horizontal="right"/>
    </xf>
    <xf numFmtId="0" fontId="5" fillId="0" borderId="24" xfId="0" applyFont="1" applyBorder="1"/>
    <xf numFmtId="0" fontId="2" fillId="0" borderId="36" xfId="0" applyFont="1" applyBorder="1"/>
    <xf numFmtId="0" fontId="2" fillId="0" borderId="22" xfId="0" applyFont="1" applyFill="1" applyBorder="1"/>
    <xf numFmtId="3" fontId="4" fillId="0" borderId="42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3" fillId="5" borderId="51" xfId="0" applyNumberFormat="1" applyFont="1" applyFill="1" applyBorder="1" applyAlignment="1">
      <alignment horizontal="right"/>
    </xf>
    <xf numFmtId="3" fontId="3" fillId="5" borderId="13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4" fillId="0" borderId="15" xfId="0" applyFont="1" applyBorder="1"/>
    <xf numFmtId="49" fontId="5" fillId="0" borderId="36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left"/>
    </xf>
    <xf numFmtId="0" fontId="5" fillId="0" borderId="11" xfId="0" applyFont="1" applyBorder="1"/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3" fontId="10" fillId="12" borderId="9" xfId="0" applyNumberFormat="1" applyFont="1" applyFill="1" applyBorder="1" applyAlignment="1">
      <alignment horizontal="right"/>
    </xf>
    <xf numFmtId="0" fontId="8" fillId="0" borderId="38" xfId="0" applyFont="1" applyFill="1" applyBorder="1"/>
    <xf numFmtId="3" fontId="11" fillId="4" borderId="42" xfId="0" applyNumberFormat="1" applyFont="1" applyFill="1" applyBorder="1" applyAlignment="1">
      <alignment horizontal="right"/>
    </xf>
    <xf numFmtId="0" fontId="6" fillId="4" borderId="56" xfId="0" applyFont="1" applyFill="1" applyBorder="1" applyAlignment="1">
      <alignment horizontal="left"/>
    </xf>
    <xf numFmtId="3" fontId="11" fillId="4" borderId="5" xfId="0" applyNumberFormat="1" applyFont="1" applyFill="1" applyBorder="1" applyAlignment="1">
      <alignment horizontal="right"/>
    </xf>
    <xf numFmtId="3" fontId="6" fillId="4" borderId="27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4" fillId="0" borderId="53" xfId="0" applyNumberFormat="1" applyFont="1" applyBorder="1" applyAlignment="1"/>
    <xf numFmtId="3" fontId="4" fillId="0" borderId="16" xfId="0" applyNumberFormat="1" applyFont="1" applyBorder="1" applyAlignment="1"/>
    <xf numFmtId="3" fontId="4" fillId="0" borderId="16" xfId="0" applyNumberFormat="1" applyFont="1" applyFill="1" applyBorder="1" applyAlignment="1"/>
    <xf numFmtId="0" fontId="14" fillId="0" borderId="24" xfId="0" applyFont="1" applyFill="1" applyBorder="1"/>
    <xf numFmtId="0" fontId="2" fillId="13" borderId="1" xfId="0" applyFont="1" applyFill="1" applyBorder="1"/>
    <xf numFmtId="0" fontId="2" fillId="13" borderId="11" xfId="0" applyFont="1" applyFill="1" applyBorder="1"/>
    <xf numFmtId="3" fontId="7" fillId="13" borderId="13" xfId="0" applyNumberFormat="1" applyFont="1" applyFill="1" applyBorder="1" applyAlignment="1">
      <alignment horizontal="right"/>
    </xf>
    <xf numFmtId="0" fontId="2" fillId="0" borderId="46" xfId="0" applyFont="1" applyFill="1" applyBorder="1"/>
    <xf numFmtId="3" fontId="0" fillId="0" borderId="0" xfId="0" applyNumberFormat="1"/>
    <xf numFmtId="0" fontId="0" fillId="0" borderId="16" xfId="0" applyBorder="1"/>
    <xf numFmtId="3" fontId="5" fillId="14" borderId="23" xfId="0" applyNumberFormat="1" applyFont="1" applyFill="1" applyBorder="1" applyAlignment="1"/>
    <xf numFmtId="0" fontId="25" fillId="0" borderId="0" xfId="0" applyFont="1"/>
    <xf numFmtId="0" fontId="26" fillId="15" borderId="16" xfId="0" applyFont="1" applyFill="1" applyBorder="1" applyAlignment="1">
      <alignment horizontal="center" vertical="center"/>
    </xf>
    <xf numFmtId="3" fontId="26" fillId="15" borderId="16" xfId="0" applyNumberFormat="1" applyFont="1" applyFill="1" applyBorder="1" applyAlignment="1">
      <alignment horizontal="center" vertical="center" wrapText="1"/>
    </xf>
    <xf numFmtId="3" fontId="26" fillId="15" borderId="16" xfId="0" applyNumberFormat="1" applyFont="1" applyFill="1" applyBorder="1" applyAlignment="1">
      <alignment horizontal="center" vertical="center"/>
    </xf>
    <xf numFmtId="3" fontId="27" fillId="16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right"/>
    </xf>
    <xf numFmtId="0" fontId="5" fillId="0" borderId="19" xfId="0" applyFont="1" applyBorder="1"/>
    <xf numFmtId="3" fontId="29" fillId="16" borderId="19" xfId="0" applyNumberFormat="1" applyFont="1" applyFill="1" applyBorder="1"/>
    <xf numFmtId="3" fontId="30" fillId="0" borderId="0" xfId="0" applyNumberFormat="1" applyFont="1"/>
    <xf numFmtId="0" fontId="28" fillId="0" borderId="14" xfId="0" applyFont="1" applyBorder="1"/>
    <xf numFmtId="0" fontId="28" fillId="0" borderId="15" xfId="0" applyFont="1" applyBorder="1"/>
    <xf numFmtId="0" fontId="28" fillId="0" borderId="9" xfId="0" applyFont="1" applyBorder="1"/>
    <xf numFmtId="49" fontId="5" fillId="0" borderId="23" xfId="0" applyNumberFormat="1" applyFont="1" applyFill="1" applyBorder="1" applyAlignment="1">
      <alignment horizontal="right"/>
    </xf>
    <xf numFmtId="0" fontId="0" fillId="0" borderId="65" xfId="0" applyFont="1" applyFill="1" applyBorder="1"/>
    <xf numFmtId="0" fontId="31" fillId="0" borderId="21" xfId="0" applyFont="1" applyBorder="1"/>
    <xf numFmtId="3" fontId="32" fillId="0" borderId="22" xfId="0" applyNumberFormat="1" applyFont="1" applyFill="1" applyBorder="1" applyAlignment="1">
      <alignment horizontal="right"/>
    </xf>
    <xf numFmtId="43" fontId="28" fillId="0" borderId="24" xfId="1" applyNumberFormat="1" applyFont="1" applyBorder="1"/>
    <xf numFmtId="49" fontId="5" fillId="0" borderId="30" xfId="0" applyNumberFormat="1" applyFont="1" applyFill="1" applyBorder="1" applyAlignment="1">
      <alignment horizontal="right"/>
    </xf>
    <xf numFmtId="3" fontId="29" fillId="16" borderId="30" xfId="0" applyNumberFormat="1" applyFont="1" applyFill="1" applyBorder="1"/>
    <xf numFmtId="0" fontId="31" fillId="0" borderId="21" xfId="0" applyFont="1" applyFill="1" applyBorder="1"/>
    <xf numFmtId="3" fontId="29" fillId="16" borderId="23" xfId="0" applyNumberFormat="1" applyFont="1" applyFill="1" applyBorder="1"/>
    <xf numFmtId="49" fontId="5" fillId="0" borderId="53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right"/>
    </xf>
    <xf numFmtId="3" fontId="5" fillId="17" borderId="27" xfId="0" applyNumberFormat="1" applyFont="1" applyFill="1" applyBorder="1" applyAlignment="1"/>
    <xf numFmtId="3" fontId="29" fillId="16" borderId="27" xfId="0" applyNumberFormat="1" applyFont="1" applyFill="1" applyBorder="1"/>
    <xf numFmtId="3" fontId="31" fillId="0" borderId="22" xfId="0" applyNumberFormat="1" applyFont="1" applyFill="1" applyBorder="1" applyAlignment="1">
      <alignment horizontal="right"/>
    </xf>
    <xf numFmtId="164" fontId="28" fillId="0" borderId="24" xfId="1" applyNumberFormat="1" applyFont="1" applyBorder="1"/>
    <xf numFmtId="49" fontId="5" fillId="14" borderId="23" xfId="0" applyNumberFormat="1" applyFont="1" applyFill="1" applyBorder="1" applyAlignment="1">
      <alignment horizontal="right"/>
    </xf>
    <xf numFmtId="49" fontId="5" fillId="14" borderId="23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 horizontal="left"/>
    </xf>
    <xf numFmtId="0" fontId="5" fillId="0" borderId="11" xfId="0" applyFont="1" applyFill="1" applyBorder="1"/>
    <xf numFmtId="3" fontId="36" fillId="15" borderId="64" xfId="0" applyNumberFormat="1" applyFont="1" applyFill="1" applyBorder="1"/>
    <xf numFmtId="3" fontId="29" fillId="16" borderId="64" xfId="0" applyNumberFormat="1" applyFont="1" applyFill="1" applyBorder="1"/>
    <xf numFmtId="49" fontId="35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/>
    <xf numFmtId="3" fontId="36" fillId="0" borderId="0" xfId="0" applyNumberFormat="1" applyFont="1" applyFill="1" applyBorder="1"/>
    <xf numFmtId="3" fontId="30" fillId="0" borderId="0" xfId="0" applyNumberFormat="1" applyFont="1" applyFill="1"/>
    <xf numFmtId="0" fontId="0" fillId="0" borderId="0" xfId="0" applyFill="1"/>
    <xf numFmtId="3" fontId="25" fillId="0" borderId="0" xfId="0" applyNumberFormat="1" applyFont="1"/>
    <xf numFmtId="3" fontId="39" fillId="0" borderId="0" xfId="0" applyNumberFormat="1" applyFont="1"/>
    <xf numFmtId="0" fontId="25" fillId="0" borderId="0" xfId="0" applyFont="1" applyFill="1"/>
    <xf numFmtId="0" fontId="33" fillId="0" borderId="32" xfId="0" applyFont="1" applyFill="1" applyBorder="1"/>
    <xf numFmtId="3" fontId="33" fillId="0" borderId="33" xfId="0" applyNumberFormat="1" applyFont="1" applyFill="1" applyBorder="1" applyAlignment="1">
      <alignment horizontal="right"/>
    </xf>
    <xf numFmtId="43" fontId="28" fillId="0" borderId="31" xfId="1" applyNumberFormat="1" applyFont="1" applyFill="1" applyBorder="1"/>
    <xf numFmtId="0" fontId="28" fillId="14" borderId="14" xfId="0" applyFont="1" applyFill="1" applyBorder="1"/>
    <xf numFmtId="3" fontId="34" fillId="14" borderId="15" xfId="0" applyNumberFormat="1" applyFont="1" applyFill="1" applyBorder="1" applyAlignment="1">
      <alignment horizontal="right"/>
    </xf>
    <xf numFmtId="43" fontId="28" fillId="14" borderId="9" xfId="1" applyNumberFormat="1" applyFont="1" applyFill="1" applyBorder="1"/>
    <xf numFmtId="49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/>
    <xf numFmtId="3" fontId="29" fillId="16" borderId="16" xfId="0" applyNumberFormat="1" applyFont="1" applyFill="1" applyBorder="1"/>
    <xf numFmtId="0" fontId="4" fillId="0" borderId="46" xfId="0" applyFont="1" applyBorder="1"/>
    <xf numFmtId="3" fontId="2" fillId="0" borderId="27" xfId="0" applyNumberFormat="1" applyFon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0" fontId="9" fillId="4" borderId="48" xfId="0" applyFont="1" applyFill="1" applyBorder="1"/>
    <xf numFmtId="3" fontId="9" fillId="4" borderId="19" xfId="0" applyNumberFormat="1" applyFont="1" applyFill="1" applyBorder="1"/>
    <xf numFmtId="3" fontId="9" fillId="4" borderId="66" xfId="0" applyNumberFormat="1" applyFont="1" applyFill="1" applyBorder="1"/>
    <xf numFmtId="3" fontId="9" fillId="4" borderId="20" xfId="0" applyNumberFormat="1" applyFont="1" applyFill="1" applyBorder="1"/>
    <xf numFmtId="3" fontId="2" fillId="0" borderId="68" xfId="0" applyNumberFormat="1" applyFont="1" applyFill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2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3" fontId="22" fillId="0" borderId="0" xfId="0" applyNumberFormat="1" applyFont="1"/>
    <xf numFmtId="0" fontId="42" fillId="0" borderId="0" xfId="0" applyFont="1" applyAlignment="1">
      <alignment horizontal="center"/>
    </xf>
    <xf numFmtId="0" fontId="42" fillId="5" borderId="54" xfId="0" applyFont="1" applyFill="1" applyBorder="1" applyAlignment="1">
      <alignment horizontal="center"/>
    </xf>
    <xf numFmtId="0" fontId="42" fillId="5" borderId="71" xfId="0" applyFont="1" applyFill="1" applyBorder="1" applyAlignment="1">
      <alignment horizontal="center"/>
    </xf>
    <xf numFmtId="0" fontId="42" fillId="5" borderId="51" xfId="0" applyFont="1" applyFill="1" applyBorder="1" applyAlignment="1">
      <alignment horizontal="center"/>
    </xf>
    <xf numFmtId="3" fontId="42" fillId="16" borderId="9" xfId="0" applyNumberFormat="1" applyFont="1" applyFill="1" applyBorder="1" applyAlignment="1">
      <alignment horizontal="right"/>
    </xf>
    <xf numFmtId="0" fontId="6" fillId="16" borderId="17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left"/>
    </xf>
    <xf numFmtId="3" fontId="6" fillId="16" borderId="20" xfId="0" applyNumberFormat="1" applyFont="1" applyFill="1" applyBorder="1" applyAlignment="1">
      <alignment horizontal="right"/>
    </xf>
    <xf numFmtId="3" fontId="42" fillId="10" borderId="9" xfId="0" applyNumberFormat="1" applyFont="1" applyFill="1" applyBorder="1" applyAlignment="1"/>
    <xf numFmtId="0" fontId="8" fillId="18" borderId="35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left"/>
    </xf>
    <xf numFmtId="3" fontId="8" fillId="18" borderId="20" xfId="0" applyNumberFormat="1" applyFont="1" applyFill="1" applyBorder="1" applyAlignment="1">
      <alignment horizontal="right"/>
    </xf>
    <xf numFmtId="3" fontId="42" fillId="7" borderId="9" xfId="0" applyNumberFormat="1" applyFont="1" applyFill="1" applyBorder="1" applyAlignment="1"/>
    <xf numFmtId="0" fontId="0" fillId="7" borderId="56" xfId="0" applyFill="1" applyBorder="1" applyAlignment="1">
      <alignment horizontal="center"/>
    </xf>
    <xf numFmtId="0" fontId="0" fillId="7" borderId="29" xfId="0" applyFill="1" applyBorder="1"/>
    <xf numFmtId="3" fontId="0" fillId="7" borderId="5" xfId="0" applyNumberFormat="1" applyFill="1" applyBorder="1"/>
    <xf numFmtId="0" fontId="0" fillId="7" borderId="35" xfId="0" applyFill="1" applyBorder="1" applyAlignment="1">
      <alignment horizontal="center"/>
    </xf>
    <xf numFmtId="0" fontId="0" fillId="7" borderId="18" xfId="0" applyFill="1" applyBorder="1"/>
    <xf numFmtId="3" fontId="2" fillId="13" borderId="20" xfId="0" applyNumberFormat="1" applyFont="1" applyFill="1" applyBorder="1"/>
    <xf numFmtId="3" fontId="0" fillId="13" borderId="20" xfId="0" applyNumberFormat="1" applyFill="1" applyBorder="1"/>
    <xf numFmtId="0" fontId="0" fillId="7" borderId="60" xfId="0" applyFill="1" applyBorder="1" applyAlignment="1">
      <alignment horizontal="center"/>
    </xf>
    <xf numFmtId="0" fontId="0" fillId="7" borderId="26" xfId="0" applyFill="1" applyBorder="1"/>
    <xf numFmtId="3" fontId="0" fillId="7" borderId="6" xfId="0" applyNumberFormat="1" applyFill="1" applyBorder="1"/>
    <xf numFmtId="3" fontId="11" fillId="5" borderId="9" xfId="0" applyNumberFormat="1" applyFont="1" applyFill="1" applyBorder="1"/>
    <xf numFmtId="0" fontId="0" fillId="0" borderId="28" xfId="0" applyBorder="1"/>
    <xf numFmtId="0" fontId="0" fillId="0" borderId="29" xfId="0" applyFill="1" applyBorder="1"/>
    <xf numFmtId="3" fontId="0" fillId="0" borderId="5" xfId="0" applyNumberFormat="1" applyBorder="1"/>
    <xf numFmtId="0" fontId="0" fillId="0" borderId="40" xfId="0" applyBorder="1"/>
    <xf numFmtId="0" fontId="0" fillId="0" borderId="44" xfId="0" applyFill="1" applyBorder="1"/>
    <xf numFmtId="3" fontId="0" fillId="0" borderId="42" xfId="0" applyNumberFormat="1" applyBorder="1"/>
    <xf numFmtId="3" fontId="35" fillId="5" borderId="9" xfId="0" applyNumberFormat="1" applyFont="1" applyFill="1" applyBorder="1"/>
    <xf numFmtId="0" fontId="0" fillId="0" borderId="0" xfId="0" applyFill="1" applyBorder="1"/>
    <xf numFmtId="0" fontId="42" fillId="5" borderId="28" xfId="0" applyFont="1" applyFill="1" applyBorder="1" applyAlignment="1">
      <alignment horizontal="center" wrapText="1"/>
    </xf>
    <xf numFmtId="0" fontId="42" fillId="5" borderId="29" xfId="0" applyFont="1" applyFill="1" applyBorder="1" applyAlignment="1">
      <alignment horizontal="center"/>
    </xf>
    <xf numFmtId="3" fontId="42" fillId="5" borderId="5" xfId="0" applyNumberFormat="1" applyFont="1" applyFill="1" applyBorder="1" applyAlignment="1">
      <alignment horizontal="center"/>
    </xf>
    <xf numFmtId="3" fontId="11" fillId="16" borderId="9" xfId="0" applyNumberFormat="1" applyFont="1" applyFill="1" applyBorder="1" applyAlignment="1">
      <alignment horizontal="right"/>
    </xf>
    <xf numFmtId="49" fontId="6" fillId="16" borderId="35" xfId="0" applyNumberFormat="1" applyFont="1" applyFill="1" applyBorder="1" applyAlignment="1">
      <alignment horizontal="center"/>
    </xf>
    <xf numFmtId="49" fontId="6" fillId="16" borderId="18" xfId="0" applyNumberFormat="1" applyFont="1" applyFill="1" applyBorder="1" applyAlignment="1">
      <alignment horizontal="left" vertical="center"/>
    </xf>
    <xf numFmtId="49" fontId="8" fillId="16" borderId="1" xfId="0" applyNumberFormat="1" applyFont="1" applyFill="1" applyBorder="1" applyAlignment="1">
      <alignment horizontal="center"/>
    </xf>
    <xf numFmtId="49" fontId="8" fillId="16" borderId="2" xfId="0" applyNumberFormat="1" applyFont="1" applyFill="1" applyBorder="1" applyAlignment="1">
      <alignment horizontal="center"/>
    </xf>
    <xf numFmtId="49" fontId="8" fillId="16" borderId="67" xfId="0" applyNumberFormat="1" applyFont="1" applyFill="1" applyBorder="1" applyAlignment="1">
      <alignment horizontal="center"/>
    </xf>
    <xf numFmtId="3" fontId="42" fillId="10" borderId="64" xfId="0" applyNumberFormat="1" applyFont="1" applyFill="1" applyBorder="1" applyAlignment="1"/>
    <xf numFmtId="0" fontId="8" fillId="10" borderId="22" xfId="0" applyFont="1" applyFill="1" applyBorder="1" applyAlignment="1">
      <alignment horizontal="left"/>
    </xf>
    <xf numFmtId="49" fontId="8" fillId="18" borderId="1" xfId="0" applyNumberFormat="1" applyFont="1" applyFill="1" applyBorder="1" applyAlignment="1">
      <alignment horizontal="center"/>
    </xf>
    <xf numFmtId="3" fontId="8" fillId="18" borderId="13" xfId="0" applyNumberFormat="1" applyFont="1" applyFill="1" applyBorder="1" applyAlignment="1">
      <alignment horizontal="right"/>
    </xf>
    <xf numFmtId="49" fontId="5" fillId="7" borderId="35" xfId="0" applyNumberFormat="1" applyFont="1" applyFill="1" applyBorder="1" applyAlignment="1">
      <alignment horizontal="center"/>
    </xf>
    <xf numFmtId="0" fontId="5" fillId="7" borderId="18" xfId="0" applyFont="1" applyFill="1" applyBorder="1"/>
    <xf numFmtId="49" fontId="0" fillId="0" borderId="17" xfId="0" applyNumberFormat="1" applyFill="1" applyBorder="1"/>
    <xf numFmtId="0" fontId="5" fillId="0" borderId="18" xfId="0" applyFont="1" applyFill="1" applyBorder="1"/>
    <xf numFmtId="3" fontId="0" fillId="0" borderId="20" xfId="0" applyNumberFormat="1" applyFill="1" applyBorder="1"/>
    <xf numFmtId="49" fontId="0" fillId="0" borderId="10" xfId="0" applyNumberFormat="1" applyFill="1" applyBorder="1"/>
    <xf numFmtId="3" fontId="0" fillId="0" borderId="13" xfId="0" applyNumberFormat="1" applyFill="1" applyBorder="1"/>
    <xf numFmtId="49" fontId="0" fillId="0" borderId="0" xfId="0" applyNumberFormat="1" applyAlignment="1">
      <alignment horizontal="right"/>
    </xf>
    <xf numFmtId="0" fontId="5" fillId="0" borderId="0" xfId="0" applyFont="1"/>
    <xf numFmtId="0" fontId="45" fillId="5" borderId="14" xfId="0" applyFont="1" applyFill="1" applyBorder="1" applyAlignment="1">
      <alignment horizontal="center" vertical="center"/>
    </xf>
    <xf numFmtId="0" fontId="45" fillId="5" borderId="15" xfId="0" applyFont="1" applyFill="1" applyBorder="1" applyAlignment="1">
      <alignment horizontal="center" vertical="center"/>
    </xf>
    <xf numFmtId="0" fontId="45" fillId="5" borderId="47" xfId="0" applyFont="1" applyFill="1" applyBorder="1" applyAlignment="1">
      <alignment horizontal="center" vertical="center"/>
    </xf>
    <xf numFmtId="49" fontId="45" fillId="5" borderId="15" xfId="0" applyNumberFormat="1" applyFont="1" applyFill="1" applyBorder="1" applyAlignment="1">
      <alignment horizontal="center" vertical="center" wrapText="1"/>
    </xf>
    <xf numFmtId="0" fontId="45" fillId="5" borderId="9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14" fontId="46" fillId="0" borderId="29" xfId="0" applyNumberFormat="1" applyFont="1" applyBorder="1" applyAlignment="1">
      <alignment horizontal="center"/>
    </xf>
    <xf numFmtId="3" fontId="46" fillId="0" borderId="29" xfId="0" applyNumberFormat="1" applyFont="1" applyBorder="1"/>
    <xf numFmtId="3" fontId="46" fillId="0" borderId="5" xfId="0" applyNumberFormat="1" applyFont="1" applyBorder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4" fontId="46" fillId="0" borderId="22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3" fontId="46" fillId="0" borderId="22" xfId="0" applyNumberFormat="1" applyFont="1" applyBorder="1"/>
    <xf numFmtId="3" fontId="46" fillId="0" borderId="24" xfId="0" applyNumberFormat="1" applyFont="1" applyBorder="1"/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14" fontId="46" fillId="0" borderId="44" xfId="0" applyNumberFormat="1" applyFont="1" applyBorder="1" applyAlignment="1">
      <alignment horizontal="center"/>
    </xf>
    <xf numFmtId="3" fontId="46" fillId="0" borderId="44" xfId="0" applyNumberFormat="1" applyFont="1" applyBorder="1"/>
    <xf numFmtId="3" fontId="46" fillId="0" borderId="42" xfId="0" applyNumberFormat="1" applyFont="1" applyBorder="1"/>
    <xf numFmtId="0" fontId="45" fillId="0" borderId="0" xfId="0" applyFont="1"/>
    <xf numFmtId="0" fontId="46" fillId="0" borderId="0" xfId="0" applyFont="1"/>
    <xf numFmtId="3" fontId="29" fillId="16" borderId="53" xfId="0" applyNumberFormat="1" applyFont="1" applyFill="1" applyBorder="1"/>
    <xf numFmtId="49" fontId="5" fillId="19" borderId="19" xfId="0" applyNumberFormat="1" applyFont="1" applyFill="1" applyBorder="1" applyAlignment="1">
      <alignment horizontal="left"/>
    </xf>
    <xf numFmtId="3" fontId="5" fillId="19" borderId="19" xfId="0" applyNumberFormat="1" applyFont="1" applyFill="1" applyBorder="1" applyAlignment="1"/>
    <xf numFmtId="49" fontId="5" fillId="19" borderId="58" xfId="0" applyNumberFormat="1" applyFont="1" applyFill="1" applyBorder="1" applyAlignment="1">
      <alignment horizontal="left"/>
    </xf>
    <xf numFmtId="49" fontId="5" fillId="19" borderId="46" xfId="0" applyNumberFormat="1" applyFont="1" applyFill="1" applyBorder="1" applyAlignment="1">
      <alignment horizontal="left"/>
    </xf>
    <xf numFmtId="3" fontId="40" fillId="0" borderId="0" xfId="0" applyNumberFormat="1" applyFont="1"/>
    <xf numFmtId="3" fontId="7" fillId="0" borderId="13" xfId="0" applyNumberFormat="1" applyFont="1" applyFill="1" applyBorder="1" applyAlignment="1">
      <alignment horizontal="right"/>
    </xf>
    <xf numFmtId="3" fontId="7" fillId="19" borderId="24" xfId="0" applyNumberFormat="1" applyFont="1" applyFill="1" applyBorder="1" applyAlignment="1">
      <alignment horizontal="right"/>
    </xf>
    <xf numFmtId="3" fontId="9" fillId="19" borderId="24" xfId="0" applyNumberFormat="1" applyFont="1" applyFill="1" applyBorder="1"/>
    <xf numFmtId="3" fontId="6" fillId="19" borderId="51" xfId="0" applyNumberFormat="1" applyFont="1" applyFill="1" applyBorder="1" applyAlignment="1">
      <alignment horizontal="right"/>
    </xf>
    <xf numFmtId="3" fontId="4" fillId="19" borderId="24" xfId="0" applyNumberFormat="1" applyFont="1" applyFill="1" applyBorder="1" applyAlignment="1">
      <alignment horizontal="right"/>
    </xf>
    <xf numFmtId="3" fontId="6" fillId="19" borderId="20" xfId="0" applyNumberFormat="1" applyFont="1" applyFill="1" applyBorder="1" applyAlignment="1">
      <alignment horizontal="right"/>
    </xf>
    <xf numFmtId="3" fontId="7" fillId="19" borderId="6" xfId="0" applyNumberFormat="1" applyFont="1" applyFill="1" applyBorder="1" applyAlignment="1">
      <alignment horizontal="right"/>
    </xf>
    <xf numFmtId="0" fontId="5" fillId="0" borderId="53" xfId="0" applyFont="1" applyFill="1" applyBorder="1"/>
    <xf numFmtId="3" fontId="4" fillId="0" borderId="12" xfId="0" applyNumberFormat="1" applyFont="1" applyFill="1" applyBorder="1" applyAlignment="1"/>
    <xf numFmtId="0" fontId="4" fillId="0" borderId="28" xfId="0" applyFont="1" applyFill="1" applyBorder="1"/>
    <xf numFmtId="0" fontId="4" fillId="0" borderId="29" xfId="0" applyFont="1" applyBorder="1"/>
    <xf numFmtId="3" fontId="4" fillId="0" borderId="30" xfId="0" applyNumberFormat="1" applyFont="1" applyFill="1" applyBorder="1" applyAlignment="1"/>
    <xf numFmtId="3" fontId="4" fillId="19" borderId="30" xfId="0" applyNumberFormat="1" applyFont="1" applyFill="1" applyBorder="1" applyAlignment="1"/>
    <xf numFmtId="0" fontId="5" fillId="19" borderId="11" xfId="0" applyFont="1" applyFill="1" applyBorder="1"/>
    <xf numFmtId="3" fontId="5" fillId="19" borderId="27" xfId="0" applyNumberFormat="1" applyFont="1" applyFill="1" applyBorder="1" applyAlignment="1"/>
    <xf numFmtId="3" fontId="8" fillId="19" borderId="6" xfId="0" applyNumberFormat="1" applyFont="1" applyFill="1" applyBorder="1"/>
    <xf numFmtId="3" fontId="4" fillId="19" borderId="20" xfId="0" applyNumberFormat="1" applyFont="1" applyFill="1" applyBorder="1" applyAlignment="1">
      <alignment horizontal="right"/>
    </xf>
    <xf numFmtId="49" fontId="5" fillId="19" borderId="22" xfId="0" applyNumberFormat="1" applyFont="1" applyFill="1" applyBorder="1" applyAlignment="1">
      <alignment horizontal="left"/>
    </xf>
    <xf numFmtId="3" fontId="5" fillId="19" borderId="23" xfId="0" applyNumberFormat="1" applyFont="1" applyFill="1" applyBorder="1" applyAlignment="1"/>
    <xf numFmtId="0" fontId="8" fillId="10" borderId="11" xfId="0" applyFont="1" applyFill="1" applyBorder="1" applyAlignment="1">
      <alignment horizontal="left"/>
    </xf>
    <xf numFmtId="3" fontId="5" fillId="19" borderId="58" xfId="0" applyNumberFormat="1" applyFont="1" applyFill="1" applyBorder="1" applyAlignment="1"/>
    <xf numFmtId="0" fontId="8" fillId="18" borderId="21" xfId="0" applyFont="1" applyFill="1" applyBorder="1" applyAlignment="1">
      <alignment horizontal="center"/>
    </xf>
    <xf numFmtId="3" fontId="8" fillId="18" borderId="24" xfId="0" applyNumberFormat="1" applyFont="1" applyFill="1" applyBorder="1" applyAlignment="1">
      <alignment horizontal="right"/>
    </xf>
    <xf numFmtId="49" fontId="8" fillId="18" borderId="36" xfId="0" applyNumberFormat="1" applyFont="1" applyFill="1" applyBorder="1" applyAlignment="1">
      <alignment horizontal="center"/>
    </xf>
    <xf numFmtId="3" fontId="2" fillId="20" borderId="0" xfId="0" applyNumberFormat="1" applyFont="1" applyFill="1"/>
    <xf numFmtId="3" fontId="4" fillId="19" borderId="5" xfId="0" applyNumberFormat="1" applyFont="1" applyFill="1" applyBorder="1" applyAlignment="1">
      <alignment horizontal="right"/>
    </xf>
    <xf numFmtId="3" fontId="4" fillId="19" borderId="23" xfId="0" applyNumberFormat="1" applyFont="1" applyFill="1" applyBorder="1" applyAlignment="1">
      <alignment horizontal="right"/>
    </xf>
    <xf numFmtId="3" fontId="6" fillId="19" borderId="19" xfId="0" applyNumberFormat="1" applyFont="1" applyFill="1" applyBorder="1" applyAlignment="1">
      <alignment horizontal="right"/>
    </xf>
    <xf numFmtId="3" fontId="4" fillId="19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14" borderId="0" xfId="0" applyFill="1" applyAlignment="1">
      <alignment horizontal="left"/>
    </xf>
    <xf numFmtId="49" fontId="5" fillId="0" borderId="37" xfId="0" applyNumberFormat="1" applyFont="1" applyFill="1" applyBorder="1" applyAlignment="1">
      <alignment horizontal="left"/>
    </xf>
    <xf numFmtId="3" fontId="7" fillId="19" borderId="24" xfId="0" applyNumberFormat="1" applyFont="1" applyFill="1" applyBorder="1"/>
    <xf numFmtId="3" fontId="6" fillId="19" borderId="5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3" fontId="49" fillId="0" borderId="0" xfId="0" applyNumberFormat="1" applyFont="1"/>
    <xf numFmtId="9" fontId="2" fillId="0" borderId="0" xfId="2" applyFont="1"/>
    <xf numFmtId="3" fontId="0" fillId="20" borderId="0" xfId="0" applyNumberFormat="1" applyFill="1"/>
    <xf numFmtId="49" fontId="5" fillId="0" borderId="14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9" fontId="50" fillId="0" borderId="0" xfId="2" applyFont="1" applyFill="1" applyBorder="1" applyAlignment="1"/>
    <xf numFmtId="3" fontId="2" fillId="0" borderId="0" xfId="0" applyNumberFormat="1" applyFont="1" applyFill="1"/>
    <xf numFmtId="0" fontId="5" fillId="19" borderId="5" xfId="0" applyFont="1" applyFill="1" applyBorder="1"/>
    <xf numFmtId="3" fontId="0" fillId="19" borderId="30" xfId="0" applyNumberFormat="1" applyFill="1" applyBorder="1"/>
    <xf numFmtId="3" fontId="5" fillId="19" borderId="30" xfId="0" applyNumberFormat="1" applyFont="1" applyFill="1" applyBorder="1" applyAlignment="1"/>
    <xf numFmtId="49" fontId="5" fillId="19" borderId="26" xfId="0" applyNumberFormat="1" applyFont="1" applyFill="1" applyBorder="1" applyAlignment="1">
      <alignment horizontal="left"/>
    </xf>
    <xf numFmtId="3" fontId="38" fillId="0" borderId="48" xfId="0" applyNumberFormat="1" applyFont="1" applyBorder="1"/>
    <xf numFmtId="3" fontId="5" fillId="0" borderId="0" xfId="0" applyNumberFormat="1" applyFont="1"/>
    <xf numFmtId="3" fontId="14" fillId="0" borderId="0" xfId="0" applyNumberFormat="1" applyFont="1" applyFill="1" applyBorder="1"/>
    <xf numFmtId="3" fontId="5" fillId="0" borderId="0" xfId="0" applyNumberFormat="1" applyFont="1" applyFill="1" applyBorder="1"/>
    <xf numFmtId="0" fontId="14" fillId="0" borderId="0" xfId="0" applyFont="1"/>
    <xf numFmtId="0" fontId="8" fillId="18" borderId="36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3" fontId="0" fillId="0" borderId="0" xfId="0" applyNumberFormat="1" applyFill="1" applyBorder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11" fillId="0" borderId="0" xfId="0" applyNumberFormat="1" applyFont="1" applyFill="1" applyBorder="1"/>
    <xf numFmtId="3" fontId="35" fillId="0" borderId="0" xfId="0" applyNumberFormat="1" applyFont="1" applyFill="1" applyBorder="1"/>
    <xf numFmtId="3" fontId="0" fillId="0" borderId="0" xfId="0" applyNumberFormat="1" applyFill="1"/>
    <xf numFmtId="3" fontId="4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3" fontId="42" fillId="7" borderId="13" xfId="0" applyNumberFormat="1" applyFont="1" applyFill="1" applyBorder="1" applyAlignment="1"/>
    <xf numFmtId="49" fontId="8" fillId="18" borderId="22" xfId="0" applyNumberFormat="1" applyFont="1" applyFill="1" applyBorder="1" applyAlignment="1">
      <alignment horizontal="center"/>
    </xf>
    <xf numFmtId="3" fontId="8" fillId="18" borderId="22" xfId="0" applyNumberFormat="1" applyFont="1" applyFill="1" applyBorder="1" applyAlignment="1">
      <alignment horizontal="right"/>
    </xf>
    <xf numFmtId="3" fontId="9" fillId="14" borderId="24" xfId="0" applyNumberFormat="1" applyFont="1" applyFill="1" applyBorder="1"/>
    <xf numFmtId="3" fontId="8" fillId="19" borderId="24" xfId="0" applyNumberFormat="1" applyFont="1" applyFill="1" applyBorder="1"/>
    <xf numFmtId="3" fontId="5" fillId="19" borderId="20" xfId="0" applyNumberFormat="1" applyFont="1" applyFill="1" applyBorder="1"/>
    <xf numFmtId="3" fontId="4" fillId="19" borderId="13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5" fillId="0" borderId="5" xfId="0" applyFont="1" applyBorder="1"/>
    <xf numFmtId="3" fontId="0" fillId="0" borderId="30" xfId="0" applyNumberFormat="1" applyFill="1" applyBorder="1"/>
    <xf numFmtId="49" fontId="5" fillId="17" borderId="26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left"/>
    </xf>
    <xf numFmtId="3" fontId="29" fillId="16" borderId="12" xfId="0" applyNumberFormat="1" applyFont="1" applyFill="1" applyBorder="1"/>
    <xf numFmtId="49" fontId="5" fillId="0" borderId="19" xfId="0" applyNumberFormat="1" applyFont="1" applyFill="1" applyBorder="1" applyAlignment="1">
      <alignment horizontal="left"/>
    </xf>
    <xf numFmtId="0" fontId="5" fillId="0" borderId="20" xfId="0" applyFont="1" applyBorder="1"/>
    <xf numFmtId="3" fontId="0" fillId="0" borderId="19" xfId="0" applyNumberFormat="1" applyFill="1" applyBorder="1"/>
    <xf numFmtId="3" fontId="35" fillId="0" borderId="19" xfId="0" applyNumberFormat="1" applyFont="1" applyFill="1" applyBorder="1" applyAlignment="1"/>
    <xf numFmtId="3" fontId="38" fillId="0" borderId="0" xfId="0" applyNumberFormat="1" applyFont="1"/>
    <xf numFmtId="3" fontId="12" fillId="0" borderId="0" xfId="0" applyNumberFormat="1" applyFont="1" applyFill="1" applyBorder="1"/>
    <xf numFmtId="3" fontId="51" fillId="0" borderId="48" xfId="0" applyNumberFormat="1" applyFont="1" applyBorder="1"/>
    <xf numFmtId="3" fontId="51" fillId="0" borderId="0" xfId="0" applyNumberFormat="1" applyFont="1" applyBorder="1"/>
    <xf numFmtId="3" fontId="35" fillId="0" borderId="0" xfId="0" applyNumberFormat="1" applyFont="1"/>
    <xf numFmtId="49" fontId="5" fillId="19" borderId="53" xfId="0" applyNumberFormat="1" applyFont="1" applyFill="1" applyBorder="1" applyAlignment="1">
      <alignment horizontal="right"/>
    </xf>
    <xf numFmtId="0" fontId="5" fillId="19" borderId="53" xfId="0" applyFont="1" applyFill="1" applyBorder="1"/>
    <xf numFmtId="3" fontId="5" fillId="19" borderId="53" xfId="0" applyNumberFormat="1" applyFont="1" applyFill="1" applyBorder="1" applyAlignment="1"/>
    <xf numFmtId="49" fontId="5" fillId="19" borderId="19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3" fontId="4" fillId="19" borderId="13" xfId="0" applyNumberFormat="1" applyFont="1" applyFill="1" applyBorder="1"/>
    <xf numFmtId="3" fontId="2" fillId="19" borderId="6" xfId="0" applyNumberFormat="1" applyFont="1" applyFill="1" applyBorder="1"/>
    <xf numFmtId="3" fontId="4" fillId="19" borderId="23" xfId="0" applyNumberFormat="1" applyFont="1" applyFill="1" applyBorder="1" applyAlignment="1"/>
    <xf numFmtId="0" fontId="31" fillId="19" borderId="32" xfId="0" applyFont="1" applyFill="1" applyBorder="1"/>
    <xf numFmtId="3" fontId="31" fillId="19" borderId="33" xfId="0" applyNumberFormat="1" applyFont="1" applyFill="1" applyBorder="1" applyAlignment="1">
      <alignment horizontal="right"/>
    </xf>
    <xf numFmtId="164" fontId="28" fillId="19" borderId="31" xfId="1" applyNumberFormat="1" applyFont="1" applyFill="1" applyBorder="1"/>
    <xf numFmtId="3" fontId="6" fillId="19" borderId="24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3" fontId="4" fillId="19" borderId="12" xfId="0" applyNumberFormat="1" applyFont="1" applyFill="1" applyBorder="1" applyAlignment="1"/>
    <xf numFmtId="0" fontId="4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1" fillId="0" borderId="32" xfId="0" applyFont="1" applyFill="1" applyBorder="1"/>
    <xf numFmtId="3" fontId="31" fillId="0" borderId="33" xfId="0" applyNumberFormat="1" applyFont="1" applyFill="1" applyBorder="1" applyAlignment="1">
      <alignment horizontal="right"/>
    </xf>
    <xf numFmtId="164" fontId="31" fillId="0" borderId="31" xfId="1" applyNumberFormat="1" applyFont="1" applyFill="1" applyBorder="1"/>
    <xf numFmtId="3" fontId="4" fillId="19" borderId="6" xfId="0" applyNumberFormat="1" applyFont="1" applyFill="1" applyBorder="1" applyAlignment="1">
      <alignment horizontal="right"/>
    </xf>
    <xf numFmtId="3" fontId="6" fillId="14" borderId="5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3" fontId="2" fillId="19" borderId="9" xfId="0" applyNumberFormat="1" applyFont="1" applyFill="1" applyBorder="1"/>
    <xf numFmtId="3" fontId="7" fillId="19" borderId="31" xfId="0" applyNumberFormat="1" applyFont="1" applyFill="1" applyBorder="1" applyAlignment="1">
      <alignment horizontal="right"/>
    </xf>
    <xf numFmtId="49" fontId="8" fillId="18" borderId="37" xfId="0" applyNumberFormat="1" applyFont="1" applyFill="1" applyBorder="1" applyAlignment="1">
      <alignment horizontal="center"/>
    </xf>
    <xf numFmtId="49" fontId="5" fillId="21" borderId="37" xfId="0" applyNumberFormat="1" applyFont="1" applyFill="1" applyBorder="1" applyAlignment="1">
      <alignment horizontal="left"/>
    </xf>
    <xf numFmtId="3" fontId="4" fillId="19" borderId="31" xfId="0" applyNumberFormat="1" applyFont="1" applyFill="1" applyBorder="1" applyAlignment="1">
      <alignment horizontal="right"/>
    </xf>
    <xf numFmtId="3" fontId="33" fillId="19" borderId="33" xfId="0" applyNumberFormat="1" applyFont="1" applyFill="1" applyBorder="1" applyAlignment="1">
      <alignment horizontal="right"/>
    </xf>
    <xf numFmtId="3" fontId="31" fillId="19" borderId="22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3" fontId="30" fillId="0" borderId="0" xfId="0" applyNumberFormat="1" applyFont="1" applyBorder="1"/>
    <xf numFmtId="3" fontId="2" fillId="19" borderId="20" xfId="0" applyNumberFormat="1" applyFont="1" applyFill="1" applyBorder="1"/>
    <xf numFmtId="3" fontId="2" fillId="19" borderId="24" xfId="0" applyNumberFormat="1" applyFont="1" applyFill="1" applyBorder="1"/>
    <xf numFmtId="3" fontId="6" fillId="19" borderId="6" xfId="0" applyNumberFormat="1" applyFont="1" applyFill="1" applyBorder="1"/>
    <xf numFmtId="0" fontId="46" fillId="0" borderId="1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49" fontId="8" fillId="18" borderId="33" xfId="0" applyNumberFormat="1" applyFont="1" applyFill="1" applyBorder="1" applyAlignment="1">
      <alignment horizontal="center"/>
    </xf>
    <xf numFmtId="0" fontId="8" fillId="10" borderId="33" xfId="0" applyFont="1" applyFill="1" applyBorder="1" applyAlignment="1">
      <alignment horizontal="left"/>
    </xf>
    <xf numFmtId="3" fontId="8" fillId="18" borderId="33" xfId="0" applyNumberFormat="1" applyFont="1" applyFill="1" applyBorder="1" applyAlignment="1">
      <alignment horizontal="right"/>
    </xf>
    <xf numFmtId="3" fontId="7" fillId="19" borderId="20" xfId="0" applyNumberFormat="1" applyFont="1" applyFill="1" applyBorder="1" applyAlignment="1">
      <alignment horizontal="right"/>
    </xf>
    <xf numFmtId="49" fontId="5" fillId="19" borderId="12" xfId="0" applyNumberFormat="1" applyFont="1" applyFill="1" applyBorder="1" applyAlignment="1">
      <alignment horizontal="left"/>
    </xf>
    <xf numFmtId="3" fontId="5" fillId="19" borderId="12" xfId="0" applyNumberFormat="1" applyFont="1" applyFill="1" applyBorder="1" applyAlignment="1"/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3" fontId="46" fillId="0" borderId="11" xfId="0" applyNumberFormat="1" applyFont="1" applyBorder="1"/>
    <xf numFmtId="3" fontId="46" fillId="0" borderId="13" xfId="0" applyNumberFormat="1" applyFont="1" applyBorder="1"/>
    <xf numFmtId="0" fontId="46" fillId="0" borderId="11" xfId="0" applyFont="1" applyBorder="1" applyAlignment="1">
      <alignment horizontal="center"/>
    </xf>
    <xf numFmtId="14" fontId="46" fillId="0" borderId="11" xfId="0" applyNumberFormat="1" applyFont="1" applyBorder="1" applyAlignment="1">
      <alignment horizontal="center"/>
    </xf>
    <xf numFmtId="0" fontId="35" fillId="5" borderId="7" xfId="0" applyFont="1" applyFill="1" applyBorder="1" applyAlignment="1">
      <alignment horizontal="center"/>
    </xf>
    <xf numFmtId="0" fontId="35" fillId="5" borderId="8" xfId="0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16" borderId="7" xfId="0" applyFont="1" applyFill="1" applyBorder="1" applyAlignment="1">
      <alignment horizontal="center"/>
    </xf>
    <xf numFmtId="0" fontId="42" fillId="16" borderId="43" xfId="0" applyFont="1" applyFill="1" applyBorder="1" applyAlignment="1">
      <alignment horizontal="center"/>
    </xf>
    <xf numFmtId="0" fontId="42" fillId="10" borderId="7" xfId="0" applyFont="1" applyFill="1" applyBorder="1" applyAlignment="1">
      <alignment horizontal="center"/>
    </xf>
    <xf numFmtId="0" fontId="42" fillId="10" borderId="64" xfId="0" applyFont="1" applyFill="1" applyBorder="1" applyAlignment="1">
      <alignment horizontal="center"/>
    </xf>
    <xf numFmtId="0" fontId="42" fillId="7" borderId="7" xfId="0" applyFont="1" applyFill="1" applyBorder="1" applyAlignment="1">
      <alignment horizontal="center"/>
    </xf>
    <xf numFmtId="0" fontId="42" fillId="7" borderId="43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8" fillId="16" borderId="67" xfId="0" applyFont="1" applyFill="1" applyBorder="1" applyAlignment="1">
      <alignment horizontal="center"/>
    </xf>
    <xf numFmtId="0" fontId="42" fillId="10" borderId="8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8" fillId="18" borderId="67" xfId="0" applyFont="1" applyFill="1" applyBorder="1" applyAlignment="1">
      <alignment horizontal="center"/>
    </xf>
    <xf numFmtId="0" fontId="42" fillId="7" borderId="8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5" fillId="5" borderId="43" xfId="0" applyFont="1" applyFill="1" applyBorder="1" applyAlignment="1">
      <alignment horizontal="center"/>
    </xf>
    <xf numFmtId="0" fontId="42" fillId="7" borderId="1" xfId="0" applyFont="1" applyFill="1" applyBorder="1" applyAlignment="1">
      <alignment horizontal="center"/>
    </xf>
    <xf numFmtId="0" fontId="42" fillId="7" borderId="7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8" xfId="0" applyFont="1" applyFill="1" applyBorder="1" applyAlignment="1">
      <alignment horizontal="center"/>
    </xf>
    <xf numFmtId="0" fontId="28" fillId="14" borderId="64" xfId="0" applyFont="1" applyFill="1" applyBorder="1" applyAlignment="1">
      <alignment horizontal="center"/>
    </xf>
    <xf numFmtId="49" fontId="35" fillId="15" borderId="7" xfId="0" applyNumberFormat="1" applyFont="1" applyFill="1" applyBorder="1" applyAlignment="1">
      <alignment horizontal="center"/>
    </xf>
    <xf numFmtId="49" fontId="35" fillId="15" borderId="64" xfId="0" applyNumberFormat="1" applyFont="1" applyFill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6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 vertical="center"/>
    </xf>
    <xf numFmtId="0" fontId="3" fillId="11" borderId="64" xfId="0" applyFont="1" applyFill="1" applyBorder="1" applyAlignment="1">
      <alignment horizontal="center" vertical="center"/>
    </xf>
    <xf numFmtId="0" fontId="3" fillId="5" borderId="7" xfId="0" applyFont="1" applyFill="1" applyBorder="1" applyAlignment="1"/>
    <xf numFmtId="0" fontId="2" fillId="0" borderId="8" xfId="0" applyFont="1" applyBorder="1" applyAlignment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10" fillId="10" borderId="60" xfId="0" applyFont="1" applyFill="1" applyBorder="1" applyAlignment="1">
      <alignment horizontal="center"/>
    </xf>
    <xf numFmtId="0" fontId="10" fillId="10" borderId="63" xfId="0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/>
    </xf>
    <xf numFmtId="0" fontId="19" fillId="10" borderId="62" xfId="0" applyFont="1" applyFill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3" fillId="3" borderId="6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6" fillId="16" borderId="28" xfId="0" applyFont="1" applyFill="1" applyBorder="1" applyAlignment="1">
      <alignment horizontal="center"/>
    </xf>
    <xf numFmtId="0" fontId="6" fillId="16" borderId="29" xfId="0" applyFont="1" applyFill="1" applyBorder="1" applyAlignment="1">
      <alignment horizontal="left"/>
    </xf>
    <xf numFmtId="3" fontId="6" fillId="16" borderId="5" xfId="0" applyNumberFormat="1" applyFont="1" applyFill="1" applyBorder="1" applyAlignment="1">
      <alignment horizontal="right"/>
    </xf>
    <xf numFmtId="43" fontId="31" fillId="0" borderId="24" xfId="1" applyNumberFormat="1" applyFont="1" applyBorder="1"/>
    <xf numFmtId="164" fontId="31" fillId="0" borderId="24" xfId="1" applyNumberFormat="1" applyFont="1" applyBorder="1"/>
    <xf numFmtId="164" fontId="31" fillId="0" borderId="24" xfId="1" applyNumberFormat="1" applyFont="1" applyFill="1" applyBorder="1"/>
    <xf numFmtId="43" fontId="31" fillId="0" borderId="31" xfId="1" applyNumberFormat="1" applyFont="1" applyFill="1" applyBorder="1"/>
    <xf numFmtId="164" fontId="31" fillId="0" borderId="24" xfId="1" applyNumberFormat="1" applyFont="1" applyFill="1" applyBorder="1" applyAlignment="1">
      <alignment horizontal="left"/>
    </xf>
    <xf numFmtId="49" fontId="5" fillId="19" borderId="23" xfId="0" applyNumberFormat="1" applyFont="1" applyFill="1" applyBorder="1" applyAlignment="1">
      <alignment horizontal="left"/>
    </xf>
  </cellXfs>
  <cellStyles count="3">
    <cellStyle name="Čiarka" xfId="1" builtinId="3"/>
    <cellStyle name="Normálne" xfId="0" builtinId="0"/>
    <cellStyle name="Percentá" xfId="2" builtinId="5"/>
  </cellStyles>
  <dxfs count="0"/>
  <tableStyles count="0" defaultTableStyle="TableStyleMedium2" defaultPivotStyle="PivotStyleMedium9"/>
  <colors>
    <mruColors>
      <color rgb="FFFFFFCC"/>
      <color rgb="FFFFFF99"/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9"/>
  <sheetViews>
    <sheetView zoomScaleNormal="100" workbookViewId="0">
      <selection sqref="A1:C1"/>
    </sheetView>
  </sheetViews>
  <sheetFormatPr defaultRowHeight="15" x14ac:dyDescent="0.25"/>
  <cols>
    <col min="2" max="2" width="50.85546875" customWidth="1"/>
    <col min="3" max="3" width="13.85546875" customWidth="1"/>
    <col min="5" max="5" width="11.28515625" customWidth="1"/>
    <col min="6" max="6" width="56.140625" customWidth="1"/>
    <col min="7" max="7" width="14.140625" customWidth="1"/>
    <col min="9" max="9" width="9.85546875" customWidth="1"/>
    <col min="10" max="10" width="46.85546875" customWidth="1"/>
    <col min="11" max="11" width="14.28515625" customWidth="1"/>
    <col min="12" max="12" width="13.140625" customWidth="1"/>
    <col min="13" max="13" width="13.140625" style="506" customWidth="1"/>
    <col min="14" max="14" width="46.7109375" customWidth="1"/>
    <col min="15" max="15" width="12.85546875" customWidth="1"/>
    <col min="16" max="16" width="13.42578125" style="506" customWidth="1"/>
    <col min="18" max="18" width="52.140625" customWidth="1"/>
    <col min="19" max="19" width="12.85546875" customWidth="1"/>
    <col min="21" max="21" width="10.85546875" customWidth="1"/>
    <col min="22" max="22" width="46.5703125" customWidth="1"/>
    <col min="23" max="23" width="16.140625" customWidth="1"/>
    <col min="26" max="26" width="45.42578125" customWidth="1"/>
    <col min="27" max="27" width="11.28515625" customWidth="1"/>
  </cols>
  <sheetData>
    <row r="1" spans="1:28" ht="18" x14ac:dyDescent="0.25">
      <c r="A1" s="793" t="s">
        <v>739</v>
      </c>
      <c r="B1" s="793"/>
      <c r="C1" s="793"/>
      <c r="E1" s="793" t="s">
        <v>677</v>
      </c>
      <c r="F1" s="793"/>
      <c r="G1" s="793"/>
      <c r="I1" s="793" t="s">
        <v>632</v>
      </c>
      <c r="J1" s="793"/>
      <c r="K1" s="793"/>
      <c r="M1" s="793" t="s">
        <v>552</v>
      </c>
      <c r="N1" s="793"/>
      <c r="O1" s="793"/>
      <c r="P1"/>
      <c r="Q1" s="793" t="s">
        <v>549</v>
      </c>
      <c r="R1" s="793"/>
      <c r="S1" s="793"/>
      <c r="T1" s="676"/>
      <c r="U1" s="793" t="s">
        <v>449</v>
      </c>
      <c r="V1" s="793"/>
      <c r="W1" s="793"/>
      <c r="X1" s="676"/>
    </row>
    <row r="2" spans="1:28" x14ac:dyDescent="0.25">
      <c r="A2" s="794" t="s">
        <v>336</v>
      </c>
      <c r="B2" s="794"/>
      <c r="C2" s="794"/>
      <c r="E2" s="794" t="s">
        <v>336</v>
      </c>
      <c r="F2" s="794"/>
      <c r="G2" s="794"/>
      <c r="I2" s="794" t="s">
        <v>336</v>
      </c>
      <c r="J2" s="794"/>
      <c r="K2" s="794"/>
      <c r="M2" s="794" t="s">
        <v>336</v>
      </c>
      <c r="N2" s="794"/>
      <c r="O2" s="794"/>
      <c r="P2"/>
      <c r="Q2" s="794" t="s">
        <v>336</v>
      </c>
      <c r="R2" s="794"/>
      <c r="S2" s="794"/>
      <c r="T2" s="677"/>
      <c r="U2" s="794" t="s">
        <v>336</v>
      </c>
      <c r="V2" s="794"/>
      <c r="W2" s="794"/>
      <c r="X2" s="677"/>
    </row>
    <row r="3" spans="1:28" x14ac:dyDescent="0.25">
      <c r="A3" s="795" t="s">
        <v>337</v>
      </c>
      <c r="B3" s="795"/>
      <c r="C3" s="795"/>
      <c r="E3" s="795" t="s">
        <v>337</v>
      </c>
      <c r="F3" s="795"/>
      <c r="G3" s="795"/>
      <c r="I3" s="795" t="s">
        <v>337</v>
      </c>
      <c r="J3" s="795"/>
      <c r="K3" s="795"/>
      <c r="M3" s="795" t="s">
        <v>337</v>
      </c>
      <c r="N3" s="795"/>
      <c r="O3" s="795"/>
      <c r="P3"/>
      <c r="Q3" s="795" t="s">
        <v>337</v>
      </c>
      <c r="R3" s="795"/>
      <c r="S3" s="795"/>
      <c r="T3" s="678"/>
      <c r="U3" s="795" t="s">
        <v>337</v>
      </c>
      <c r="V3" s="795"/>
      <c r="W3" s="795"/>
      <c r="X3" s="678"/>
    </row>
    <row r="4" spans="1:28" x14ac:dyDescent="0.25">
      <c r="A4" s="758"/>
      <c r="B4" s="758"/>
      <c r="C4" s="758"/>
      <c r="E4" s="748"/>
      <c r="F4" s="748"/>
      <c r="G4" s="748"/>
      <c r="I4" s="738"/>
      <c r="J4" s="738"/>
      <c r="K4" s="738"/>
      <c r="M4" s="730"/>
      <c r="N4" s="730"/>
      <c r="O4" s="730"/>
      <c r="P4"/>
      <c r="Q4" s="718"/>
      <c r="R4" s="718"/>
      <c r="S4" s="718"/>
      <c r="T4" s="677"/>
      <c r="U4" s="533"/>
      <c r="V4" s="533"/>
      <c r="W4" s="533"/>
      <c r="X4" s="677"/>
    </row>
    <row r="5" spans="1:28" ht="15.75" thickBot="1" x14ac:dyDescent="0.3">
      <c r="A5" s="776" t="s">
        <v>338</v>
      </c>
      <c r="B5" s="776"/>
      <c r="C5" s="776"/>
      <c r="E5" s="776" t="s">
        <v>338</v>
      </c>
      <c r="F5" s="776"/>
      <c r="G5" s="776"/>
      <c r="I5" s="776" t="s">
        <v>338</v>
      </c>
      <c r="J5" s="776"/>
      <c r="K5" s="776"/>
      <c r="M5" s="776" t="s">
        <v>338</v>
      </c>
      <c r="N5" s="776"/>
      <c r="O5" s="776"/>
      <c r="P5"/>
      <c r="Q5" s="776" t="s">
        <v>338</v>
      </c>
      <c r="R5" s="776"/>
      <c r="S5" s="776"/>
      <c r="T5" s="679"/>
      <c r="U5" s="776" t="s">
        <v>338</v>
      </c>
      <c r="V5" s="776"/>
      <c r="W5" s="776"/>
      <c r="X5" s="679"/>
    </row>
    <row r="6" spans="1:28" ht="15.75" thickBot="1" x14ac:dyDescent="0.3">
      <c r="A6" s="534" t="s">
        <v>339</v>
      </c>
      <c r="B6" s="535" t="s">
        <v>340</v>
      </c>
      <c r="C6" s="536" t="s">
        <v>341</v>
      </c>
      <c r="E6" s="534" t="s">
        <v>339</v>
      </c>
      <c r="F6" s="535" t="s">
        <v>340</v>
      </c>
      <c r="G6" s="536" t="s">
        <v>341</v>
      </c>
      <c r="I6" s="534" t="s">
        <v>339</v>
      </c>
      <c r="J6" s="535" t="s">
        <v>340</v>
      </c>
      <c r="K6" s="536" t="s">
        <v>341</v>
      </c>
      <c r="M6" s="534" t="s">
        <v>339</v>
      </c>
      <c r="N6" s="535" t="s">
        <v>340</v>
      </c>
      <c r="O6" s="536" t="s">
        <v>341</v>
      </c>
      <c r="P6"/>
      <c r="Q6" s="534" t="s">
        <v>339</v>
      </c>
      <c r="R6" s="535" t="s">
        <v>340</v>
      </c>
      <c r="S6" s="536" t="s">
        <v>341</v>
      </c>
      <c r="T6" s="679"/>
      <c r="U6" s="534" t="s">
        <v>339</v>
      </c>
      <c r="V6" s="535" t="s">
        <v>340</v>
      </c>
      <c r="W6" s="536" t="s">
        <v>341</v>
      </c>
      <c r="X6" s="679"/>
    </row>
    <row r="7" spans="1:28" ht="15.75" thickBot="1" x14ac:dyDescent="0.3">
      <c r="A7" s="777" t="s">
        <v>342</v>
      </c>
      <c r="B7" s="778"/>
      <c r="C7" s="537">
        <f>SUM(C8:C12)</f>
        <v>0</v>
      </c>
      <c r="E7" s="777" t="s">
        <v>342</v>
      </c>
      <c r="F7" s="778"/>
      <c r="G7" s="537">
        <f>SUM(G8:G12)</f>
        <v>16737</v>
      </c>
      <c r="I7" s="777" t="s">
        <v>342</v>
      </c>
      <c r="J7" s="778"/>
      <c r="K7" s="537">
        <f>SUM(K8:K10)</f>
        <v>6200</v>
      </c>
      <c r="M7" s="777" t="s">
        <v>342</v>
      </c>
      <c r="N7" s="778"/>
      <c r="O7" s="537">
        <f>SUM(O8:O10)</f>
        <v>343</v>
      </c>
      <c r="P7"/>
      <c r="Q7" s="777" t="s">
        <v>342</v>
      </c>
      <c r="R7" s="778"/>
      <c r="S7" s="537">
        <f>SUM(S8:S10)</f>
        <v>10900</v>
      </c>
      <c r="T7" s="680"/>
      <c r="U7" s="777" t="s">
        <v>342</v>
      </c>
      <c r="V7" s="778"/>
      <c r="W7" s="537">
        <f>SUM(W8:W10)</f>
        <v>6000</v>
      </c>
      <c r="X7" s="680"/>
    </row>
    <row r="8" spans="1:28" x14ac:dyDescent="0.25">
      <c r="A8" s="538"/>
      <c r="B8" s="539"/>
      <c r="C8" s="540"/>
      <c r="E8" s="538">
        <v>111</v>
      </c>
      <c r="F8" s="539" t="s">
        <v>464</v>
      </c>
      <c r="G8" s="540">
        <v>11257</v>
      </c>
      <c r="I8" s="538">
        <v>111</v>
      </c>
      <c r="J8" s="539" t="s">
        <v>464</v>
      </c>
      <c r="K8" s="540">
        <f>12000-4500-3000</f>
        <v>4500</v>
      </c>
      <c r="M8" s="538">
        <v>111</v>
      </c>
      <c r="N8" s="539" t="s">
        <v>464</v>
      </c>
      <c r="O8" s="540">
        <v>343</v>
      </c>
      <c r="P8"/>
      <c r="Q8" s="538">
        <v>111</v>
      </c>
      <c r="R8" s="539" t="s">
        <v>464</v>
      </c>
      <c r="S8" s="540">
        <f>5800-900</f>
        <v>4900</v>
      </c>
      <c r="T8" s="681"/>
      <c r="U8" s="538">
        <v>312</v>
      </c>
      <c r="V8" s="539" t="s">
        <v>466</v>
      </c>
      <c r="W8" s="540">
        <v>6000</v>
      </c>
      <c r="X8" s="681"/>
    </row>
    <row r="9" spans="1:28" x14ac:dyDescent="0.25">
      <c r="A9" s="538"/>
      <c r="B9" s="539"/>
      <c r="C9" s="540"/>
      <c r="E9" s="538">
        <v>133</v>
      </c>
      <c r="F9" s="539" t="s">
        <v>652</v>
      </c>
      <c r="G9" s="540">
        <f>980+900</f>
        <v>1880</v>
      </c>
      <c r="I9" s="538">
        <v>121</v>
      </c>
      <c r="J9" s="539" t="s">
        <v>633</v>
      </c>
      <c r="K9" s="540">
        <v>1700</v>
      </c>
      <c r="M9" s="538"/>
      <c r="N9" s="539"/>
      <c r="O9" s="540"/>
      <c r="P9"/>
      <c r="Q9" s="538">
        <v>292</v>
      </c>
      <c r="R9" s="539" t="s">
        <v>491</v>
      </c>
      <c r="S9" s="540">
        <f>5000+1000</f>
        <v>6000</v>
      </c>
      <c r="T9" s="681"/>
      <c r="U9" s="538"/>
      <c r="V9" s="539"/>
      <c r="W9" s="540"/>
      <c r="X9" s="681"/>
    </row>
    <row r="10" spans="1:28" x14ac:dyDescent="0.25">
      <c r="A10" s="538"/>
      <c r="B10" s="539"/>
      <c r="C10" s="540"/>
      <c r="E10" s="538">
        <v>133</v>
      </c>
      <c r="F10" s="539" t="s">
        <v>654</v>
      </c>
      <c r="G10" s="540">
        <v>600</v>
      </c>
      <c r="I10" s="538"/>
      <c r="J10" s="539"/>
      <c r="K10" s="540"/>
      <c r="M10" s="538"/>
      <c r="N10" s="539"/>
      <c r="O10" s="540"/>
      <c r="P10"/>
      <c r="Q10" s="538"/>
      <c r="R10" s="539"/>
      <c r="S10" s="540"/>
      <c r="T10" s="681"/>
      <c r="U10" s="538"/>
      <c r="V10" s="539"/>
      <c r="W10" s="540"/>
      <c r="X10" s="681"/>
    </row>
    <row r="11" spans="1:28" ht="15.75" thickBot="1" x14ac:dyDescent="0.3">
      <c r="A11" s="538"/>
      <c r="B11" s="539"/>
      <c r="C11" s="540"/>
      <c r="E11" s="538">
        <v>133</v>
      </c>
      <c r="F11" s="539" t="s">
        <v>655</v>
      </c>
      <c r="G11" s="540">
        <v>2000</v>
      </c>
      <c r="I11" s="783"/>
      <c r="J11" s="784"/>
      <c r="K11" s="785"/>
      <c r="M11" s="783"/>
      <c r="N11" s="784"/>
      <c r="O11" s="785"/>
      <c r="P11"/>
      <c r="Q11" s="783"/>
      <c r="R11" s="784"/>
      <c r="S11" s="785"/>
      <c r="T11" s="682"/>
      <c r="U11" s="783"/>
      <c r="V11" s="784"/>
      <c r="W11" s="785"/>
      <c r="X11" s="681"/>
    </row>
    <row r="12" spans="1:28" ht="15.75" thickBot="1" x14ac:dyDescent="0.3">
      <c r="A12" s="538"/>
      <c r="B12" s="539"/>
      <c r="C12" s="540"/>
      <c r="E12" s="538">
        <v>223</v>
      </c>
      <c r="F12" s="539" t="s">
        <v>653</v>
      </c>
      <c r="G12" s="540">
        <v>1000</v>
      </c>
      <c r="I12" s="779" t="s">
        <v>175</v>
      </c>
      <c r="J12" s="786"/>
      <c r="K12" s="541">
        <f>SUM(K13:K13)</f>
        <v>0</v>
      </c>
      <c r="M12" s="779" t="s">
        <v>175</v>
      </c>
      <c r="N12" s="786"/>
      <c r="O12" s="541">
        <f>SUM(O13:O13)</f>
        <v>0</v>
      </c>
      <c r="P12"/>
      <c r="Q12" s="779" t="s">
        <v>175</v>
      </c>
      <c r="R12" s="786"/>
      <c r="S12" s="541">
        <f>SUM(S13:S13)</f>
        <v>2500</v>
      </c>
      <c r="T12" s="683"/>
      <c r="U12" s="779" t="s">
        <v>175</v>
      </c>
      <c r="V12" s="786"/>
      <c r="W12" s="541">
        <f>SUM(W13:W13)</f>
        <v>3990</v>
      </c>
      <c r="X12" s="681"/>
    </row>
    <row r="13" spans="1:28" ht="15.75" thickBot="1" x14ac:dyDescent="0.3">
      <c r="A13" s="783"/>
      <c r="B13" s="784"/>
      <c r="C13" s="785"/>
      <c r="E13" s="783"/>
      <c r="F13" s="784"/>
      <c r="G13" s="785"/>
      <c r="I13" s="542"/>
      <c r="J13" s="543"/>
      <c r="K13" s="544"/>
      <c r="M13" s="542"/>
      <c r="N13" s="543"/>
      <c r="O13" s="544"/>
      <c r="P13"/>
      <c r="Q13" s="542">
        <v>322</v>
      </c>
      <c r="R13" s="543" t="s">
        <v>487</v>
      </c>
      <c r="S13" s="544">
        <v>2500</v>
      </c>
      <c r="T13" s="684"/>
      <c r="U13" s="542">
        <v>231</v>
      </c>
      <c r="V13" s="543" t="s">
        <v>381</v>
      </c>
      <c r="W13" s="544">
        <v>3990</v>
      </c>
      <c r="X13" s="681"/>
    </row>
    <row r="14" spans="1:28" ht="15.75" thickBot="1" x14ac:dyDescent="0.3">
      <c r="A14" s="779" t="s">
        <v>175</v>
      </c>
      <c r="B14" s="786"/>
      <c r="C14" s="541">
        <f>SUM(C15:C16)</f>
        <v>3000</v>
      </c>
      <c r="E14" s="779" t="s">
        <v>175</v>
      </c>
      <c r="F14" s="786"/>
      <c r="G14" s="541">
        <f>SUM(G15:G15)</f>
        <v>0</v>
      </c>
      <c r="I14" s="787"/>
      <c r="J14" s="788"/>
      <c r="K14" s="789"/>
      <c r="M14" s="787"/>
      <c r="N14" s="788"/>
      <c r="O14" s="789"/>
      <c r="P14"/>
      <c r="Q14" s="787"/>
      <c r="R14" s="788"/>
      <c r="S14" s="789"/>
      <c r="T14" s="682"/>
      <c r="U14" s="787"/>
      <c r="V14" s="788"/>
      <c r="W14" s="789"/>
      <c r="X14" s="681"/>
    </row>
    <row r="15" spans="1:28" ht="15.75" thickBot="1" x14ac:dyDescent="0.3">
      <c r="A15" s="542">
        <v>233</v>
      </c>
      <c r="B15" s="543" t="s">
        <v>725</v>
      </c>
      <c r="C15" s="544">
        <v>2990</v>
      </c>
      <c r="E15" s="542"/>
      <c r="F15" s="543"/>
      <c r="G15" s="544"/>
      <c r="I15" s="781" t="s">
        <v>197</v>
      </c>
      <c r="J15" s="790"/>
      <c r="K15" s="545">
        <f>SUM(K16:K17)</f>
        <v>886</v>
      </c>
      <c r="M15" s="781" t="s">
        <v>197</v>
      </c>
      <c r="N15" s="790"/>
      <c r="O15" s="545">
        <f>SUM(O16:O17)</f>
        <v>0</v>
      </c>
      <c r="P15"/>
      <c r="Q15" s="781" t="s">
        <v>197</v>
      </c>
      <c r="R15" s="790"/>
      <c r="S15" s="545">
        <f>SUM(S16:S17)</f>
        <v>0</v>
      </c>
      <c r="T15" s="683"/>
      <c r="U15" s="781" t="s">
        <v>197</v>
      </c>
      <c r="V15" s="790"/>
      <c r="W15" s="545">
        <f>SUM(W16:W17)</f>
        <v>20</v>
      </c>
      <c r="X15" s="681"/>
    </row>
    <row r="16" spans="1:28" ht="15.75" thickBot="1" x14ac:dyDescent="0.3">
      <c r="A16" s="542">
        <v>231</v>
      </c>
      <c r="B16" s="543" t="s">
        <v>743</v>
      </c>
      <c r="C16" s="544">
        <v>10</v>
      </c>
      <c r="E16" s="787"/>
      <c r="F16" s="788"/>
      <c r="G16" s="789"/>
      <c r="I16" s="546">
        <v>453</v>
      </c>
      <c r="J16" s="547" t="s">
        <v>595</v>
      </c>
      <c r="K16" s="548">
        <v>886</v>
      </c>
      <c r="M16" s="546"/>
      <c r="N16" s="547"/>
      <c r="O16" s="548"/>
      <c r="P16"/>
      <c r="Q16" s="546"/>
      <c r="R16" s="547"/>
      <c r="S16" s="548"/>
      <c r="T16" s="675"/>
      <c r="U16" s="546">
        <v>456</v>
      </c>
      <c r="V16" s="547" t="s">
        <v>372</v>
      </c>
      <c r="W16" s="548">
        <v>20</v>
      </c>
      <c r="X16" s="681"/>
      <c r="AB16" s="464"/>
    </row>
    <row r="17" spans="1:24" ht="15.75" thickBot="1" x14ac:dyDescent="0.3">
      <c r="A17" s="787"/>
      <c r="B17" s="788"/>
      <c r="C17" s="789"/>
      <c r="E17" s="781" t="s">
        <v>197</v>
      </c>
      <c r="F17" s="790"/>
      <c r="G17" s="545">
        <f>SUM(G18:G19)</f>
        <v>40</v>
      </c>
      <c r="I17" s="553"/>
      <c r="J17" s="554"/>
      <c r="K17" s="555"/>
      <c r="M17" s="553"/>
      <c r="N17" s="554"/>
      <c r="O17" s="555"/>
      <c r="P17"/>
      <c r="Q17" s="553"/>
      <c r="R17" s="554"/>
      <c r="S17" s="555"/>
      <c r="T17" s="675"/>
      <c r="U17" s="553"/>
      <c r="V17" s="554"/>
      <c r="W17" s="555"/>
      <c r="X17" s="681"/>
    </row>
    <row r="18" spans="1:24" ht="15.75" thickBot="1" x14ac:dyDescent="0.3">
      <c r="A18" s="781" t="s">
        <v>197</v>
      </c>
      <c r="B18" s="790"/>
      <c r="C18" s="545">
        <f>SUM(C19:C20)</f>
        <v>-3000</v>
      </c>
      <c r="E18" s="546">
        <v>453</v>
      </c>
      <c r="F18" s="547" t="s">
        <v>687</v>
      </c>
      <c r="G18" s="548">
        <v>40</v>
      </c>
      <c r="I18" s="791" t="s">
        <v>344</v>
      </c>
      <c r="J18" s="792"/>
      <c r="K18" s="556">
        <f>K7+K12+K15</f>
        <v>7086</v>
      </c>
      <c r="M18" s="791" t="s">
        <v>344</v>
      </c>
      <c r="N18" s="792"/>
      <c r="O18" s="556">
        <f>O7+O12+O15</f>
        <v>343</v>
      </c>
      <c r="P18"/>
      <c r="Q18" s="791" t="s">
        <v>344</v>
      </c>
      <c r="R18" s="792"/>
      <c r="S18" s="556">
        <f>S7+S12+S15</f>
        <v>13400</v>
      </c>
      <c r="T18" s="686"/>
      <c r="U18" s="791" t="s">
        <v>344</v>
      </c>
      <c r="V18" s="792"/>
      <c r="W18" s="556">
        <f>W7+W12+W15</f>
        <v>10010</v>
      </c>
      <c r="X18" s="681"/>
    </row>
    <row r="19" spans="1:24" ht="15.75" thickBot="1" x14ac:dyDescent="0.3">
      <c r="A19" s="546">
        <v>454</v>
      </c>
      <c r="B19" s="547" t="s">
        <v>726</v>
      </c>
      <c r="C19" s="548">
        <v>-3000</v>
      </c>
      <c r="E19" s="553"/>
      <c r="F19" s="554"/>
      <c r="G19" s="555"/>
      <c r="I19" s="557" t="s">
        <v>67</v>
      </c>
      <c r="J19" s="558" t="s">
        <v>345</v>
      </c>
      <c r="K19" s="559"/>
      <c r="M19" s="557" t="s">
        <v>67</v>
      </c>
      <c r="N19" s="558" t="s">
        <v>345</v>
      </c>
      <c r="O19" s="559"/>
      <c r="P19"/>
      <c r="Q19" s="557" t="s">
        <v>67</v>
      </c>
      <c r="R19" s="558" t="s">
        <v>345</v>
      </c>
      <c r="S19" s="559"/>
      <c r="T19" s="675"/>
      <c r="U19" s="557" t="s">
        <v>67</v>
      </c>
      <c r="V19" s="558" t="s">
        <v>345</v>
      </c>
      <c r="W19" s="559"/>
      <c r="X19" s="682"/>
    </row>
    <row r="20" spans="1:24" ht="15.75" thickBot="1" x14ac:dyDescent="0.3">
      <c r="A20" s="553"/>
      <c r="B20" s="554"/>
      <c r="C20" s="555"/>
      <c r="E20" s="791" t="s">
        <v>344</v>
      </c>
      <c r="F20" s="792"/>
      <c r="G20" s="556">
        <f>G7+G14+G17</f>
        <v>16777</v>
      </c>
      <c r="I20" s="560" t="s">
        <v>67</v>
      </c>
      <c r="J20" s="561" t="s">
        <v>499</v>
      </c>
      <c r="K20" s="562"/>
      <c r="M20" s="560" t="s">
        <v>67</v>
      </c>
      <c r="N20" s="561" t="s">
        <v>499</v>
      </c>
      <c r="O20" s="562"/>
      <c r="P20"/>
      <c r="Q20" s="560" t="s">
        <v>67</v>
      </c>
      <c r="R20" s="561" t="s">
        <v>499</v>
      </c>
      <c r="S20" s="562"/>
      <c r="T20" s="675"/>
      <c r="U20" s="560" t="s">
        <v>67</v>
      </c>
      <c r="V20" s="561" t="s">
        <v>346</v>
      </c>
      <c r="W20" s="562"/>
      <c r="X20" s="683"/>
    </row>
    <row r="21" spans="1:24" ht="15.75" thickBot="1" x14ac:dyDescent="0.3">
      <c r="A21" s="791" t="s">
        <v>344</v>
      </c>
      <c r="B21" s="792"/>
      <c r="C21" s="556">
        <f>C7+C14+C18</f>
        <v>0</v>
      </c>
      <c r="E21" s="557" t="s">
        <v>67</v>
      </c>
      <c r="F21" s="558" t="s">
        <v>345</v>
      </c>
      <c r="G21" s="559"/>
      <c r="I21" s="774" t="s">
        <v>347</v>
      </c>
      <c r="J21" s="775"/>
      <c r="K21" s="563">
        <f>SUM(K18:K20)</f>
        <v>7086</v>
      </c>
      <c r="M21" s="774" t="s">
        <v>347</v>
      </c>
      <c r="N21" s="775"/>
      <c r="O21" s="563">
        <f>SUM(O18:O20)</f>
        <v>343</v>
      </c>
      <c r="P21"/>
      <c r="Q21" s="774" t="s">
        <v>347</v>
      </c>
      <c r="R21" s="775"/>
      <c r="S21" s="563">
        <f>SUM(S18:S20)</f>
        <v>13400</v>
      </c>
      <c r="T21" s="687"/>
      <c r="U21" s="774" t="s">
        <v>347</v>
      </c>
      <c r="V21" s="775"/>
      <c r="W21" s="563">
        <f>SUM(W18:W20)</f>
        <v>10010</v>
      </c>
      <c r="X21" s="684"/>
    </row>
    <row r="22" spans="1:24" ht="15.75" thickBot="1" x14ac:dyDescent="0.3">
      <c r="A22" s="557" t="s">
        <v>67</v>
      </c>
      <c r="B22" s="558" t="s">
        <v>345</v>
      </c>
      <c r="C22" s="559"/>
      <c r="E22" s="560" t="s">
        <v>67</v>
      </c>
      <c r="F22" s="561" t="s">
        <v>499</v>
      </c>
      <c r="G22" s="562"/>
      <c r="J22" s="564"/>
      <c r="K22" s="464"/>
      <c r="M22"/>
      <c r="N22" s="564"/>
      <c r="O22" s="464"/>
      <c r="P22"/>
      <c r="R22" s="564"/>
      <c r="S22" s="464"/>
      <c r="T22" s="688"/>
      <c r="V22" s="564"/>
      <c r="W22" s="464"/>
      <c r="X22" s="684"/>
    </row>
    <row r="23" spans="1:24" ht="15.75" thickBot="1" x14ac:dyDescent="0.3">
      <c r="A23" s="560" t="s">
        <v>67</v>
      </c>
      <c r="B23" s="561" t="s">
        <v>499</v>
      </c>
      <c r="C23" s="562"/>
      <c r="E23" s="774" t="s">
        <v>347</v>
      </c>
      <c r="F23" s="775"/>
      <c r="G23" s="563">
        <f>SUM(G20:G22)</f>
        <v>16777</v>
      </c>
      <c r="I23" s="776" t="s">
        <v>348</v>
      </c>
      <c r="J23" s="776"/>
      <c r="K23" s="776"/>
      <c r="M23" s="776" t="s">
        <v>348</v>
      </c>
      <c r="N23" s="776"/>
      <c r="O23" s="776"/>
      <c r="P23"/>
      <c r="Q23" s="776" t="s">
        <v>348</v>
      </c>
      <c r="R23" s="776"/>
      <c r="S23" s="776"/>
      <c r="T23" s="679"/>
      <c r="U23" s="776" t="s">
        <v>348</v>
      </c>
      <c r="V23" s="776"/>
      <c r="W23" s="776"/>
      <c r="X23" s="684"/>
    </row>
    <row r="24" spans="1:24" ht="15.75" thickBot="1" x14ac:dyDescent="0.3">
      <c r="A24" s="774" t="s">
        <v>347</v>
      </c>
      <c r="B24" s="775"/>
      <c r="C24" s="563">
        <f>SUM(C21:C23)</f>
        <v>0</v>
      </c>
      <c r="F24" s="564"/>
      <c r="G24" s="464"/>
      <c r="I24" s="565" t="s">
        <v>284</v>
      </c>
      <c r="J24" s="566" t="s">
        <v>349</v>
      </c>
      <c r="K24" s="567" t="s">
        <v>350</v>
      </c>
      <c r="M24" s="565" t="s">
        <v>284</v>
      </c>
      <c r="N24" s="566" t="s">
        <v>349</v>
      </c>
      <c r="O24" s="567" t="s">
        <v>350</v>
      </c>
      <c r="P24"/>
      <c r="Q24" s="565" t="s">
        <v>284</v>
      </c>
      <c r="R24" s="566" t="s">
        <v>349</v>
      </c>
      <c r="S24" s="567" t="s">
        <v>350</v>
      </c>
      <c r="T24" s="689"/>
      <c r="U24" s="565" t="s">
        <v>284</v>
      </c>
      <c r="V24" s="566" t="s">
        <v>349</v>
      </c>
      <c r="W24" s="567" t="s">
        <v>350</v>
      </c>
      <c r="X24" s="684"/>
    </row>
    <row r="25" spans="1:24" ht="15.75" thickBot="1" x14ac:dyDescent="0.3">
      <c r="B25" s="564"/>
      <c r="C25" s="464"/>
      <c r="E25" s="776" t="s">
        <v>348</v>
      </c>
      <c r="F25" s="776"/>
      <c r="G25" s="776"/>
      <c r="I25" s="777" t="s">
        <v>342</v>
      </c>
      <c r="J25" s="778"/>
      <c r="K25" s="568">
        <f>SUM(K26:K40)</f>
        <v>6200</v>
      </c>
      <c r="M25" s="777" t="s">
        <v>342</v>
      </c>
      <c r="N25" s="778"/>
      <c r="O25" s="568">
        <f>SUM(O26:O31)</f>
        <v>343</v>
      </c>
      <c r="P25"/>
      <c r="Q25" s="777" t="s">
        <v>342</v>
      </c>
      <c r="R25" s="778"/>
      <c r="S25" s="568">
        <f>SUM(S26:S35)</f>
        <v>10900</v>
      </c>
      <c r="T25" s="690"/>
      <c r="U25" s="777" t="s">
        <v>342</v>
      </c>
      <c r="V25" s="778"/>
      <c r="W25" s="568">
        <f>SUM(W26:W39)</f>
        <v>6000</v>
      </c>
      <c r="X25" s="682"/>
    </row>
    <row r="26" spans="1:24" ht="15.75" thickBot="1" x14ac:dyDescent="0.3">
      <c r="A26" s="776" t="s">
        <v>348</v>
      </c>
      <c r="B26" s="776"/>
      <c r="C26" s="776"/>
      <c r="E26" s="565" t="s">
        <v>284</v>
      </c>
      <c r="F26" s="566" t="s">
        <v>349</v>
      </c>
      <c r="G26" s="567" t="s">
        <v>350</v>
      </c>
      <c r="I26" s="569" t="s">
        <v>77</v>
      </c>
      <c r="J26" s="570" t="s">
        <v>620</v>
      </c>
      <c r="K26" s="540">
        <f>1000-4500</f>
        <v>-3500</v>
      </c>
      <c r="M26" s="569" t="s">
        <v>94</v>
      </c>
      <c r="N26" s="570" t="s">
        <v>591</v>
      </c>
      <c r="O26" s="540">
        <v>243</v>
      </c>
      <c r="P26"/>
      <c r="Q26" s="569" t="s">
        <v>77</v>
      </c>
      <c r="R26" s="570" t="s">
        <v>488</v>
      </c>
      <c r="S26" s="540">
        <v>100</v>
      </c>
      <c r="T26" s="681"/>
      <c r="U26" s="569" t="s">
        <v>87</v>
      </c>
      <c r="V26" s="570" t="s">
        <v>468</v>
      </c>
      <c r="W26" s="540">
        <v>-2000</v>
      </c>
      <c r="X26" s="683"/>
    </row>
    <row r="27" spans="1:24" ht="15.75" thickBot="1" x14ac:dyDescent="0.3">
      <c r="A27" s="565" t="s">
        <v>284</v>
      </c>
      <c r="B27" s="566" t="s">
        <v>349</v>
      </c>
      <c r="C27" s="567" t="s">
        <v>350</v>
      </c>
      <c r="E27" s="777" t="s">
        <v>342</v>
      </c>
      <c r="F27" s="778"/>
      <c r="G27" s="568">
        <f>SUM(G28:G41)</f>
        <v>10777</v>
      </c>
      <c r="I27" s="569" t="s">
        <v>79</v>
      </c>
      <c r="J27" s="570" t="s">
        <v>610</v>
      </c>
      <c r="K27" s="540">
        <v>200</v>
      </c>
      <c r="M27" s="569" t="s">
        <v>110</v>
      </c>
      <c r="N27" s="570" t="s">
        <v>567</v>
      </c>
      <c r="O27" s="540">
        <v>-8000</v>
      </c>
      <c r="P27"/>
      <c r="Q27" s="569" t="s">
        <v>79</v>
      </c>
      <c r="R27" s="570" t="s">
        <v>462</v>
      </c>
      <c r="S27" s="540">
        <v>500</v>
      </c>
      <c r="T27" s="681"/>
      <c r="U27" s="569" t="s">
        <v>89</v>
      </c>
      <c r="V27" s="570" t="s">
        <v>454</v>
      </c>
      <c r="W27" s="540">
        <v>500</v>
      </c>
      <c r="X27" s="675"/>
    </row>
    <row r="28" spans="1:24" ht="15.75" thickBot="1" x14ac:dyDescent="0.3">
      <c r="A28" s="777" t="s">
        <v>342</v>
      </c>
      <c r="B28" s="778"/>
      <c r="C28" s="568">
        <f>SUM(C29:C36)</f>
        <v>0</v>
      </c>
      <c r="E28" s="569" t="s">
        <v>77</v>
      </c>
      <c r="F28" s="570" t="s">
        <v>620</v>
      </c>
      <c r="G28" s="540">
        <f>5000+1700</f>
        <v>6700</v>
      </c>
      <c r="I28" s="569" t="s">
        <v>79</v>
      </c>
      <c r="J28" s="570" t="s">
        <v>599</v>
      </c>
      <c r="K28" s="540">
        <v>1200</v>
      </c>
      <c r="M28" s="569" t="s">
        <v>127</v>
      </c>
      <c r="N28" s="570" t="s">
        <v>566</v>
      </c>
      <c r="O28" s="540">
        <v>8000</v>
      </c>
      <c r="P28"/>
      <c r="Q28" s="569" t="s">
        <v>98</v>
      </c>
      <c r="R28" s="570" t="s">
        <v>580</v>
      </c>
      <c r="S28" s="540">
        <f>-4100+1500+2000+500+100</f>
        <v>0</v>
      </c>
      <c r="T28" s="681"/>
      <c r="U28" s="569" t="s">
        <v>103</v>
      </c>
      <c r="V28" s="570" t="s">
        <v>387</v>
      </c>
      <c r="W28" s="540">
        <v>-1000</v>
      </c>
      <c r="X28" s="685"/>
    </row>
    <row r="29" spans="1:24" x14ac:dyDescent="0.25">
      <c r="A29" s="569" t="s">
        <v>96</v>
      </c>
      <c r="B29" s="570" t="s">
        <v>724</v>
      </c>
      <c r="C29" s="540">
        <v>4600</v>
      </c>
      <c r="E29" s="569" t="s">
        <v>87</v>
      </c>
      <c r="F29" s="570" t="s">
        <v>675</v>
      </c>
      <c r="G29" s="540">
        <v>-2520</v>
      </c>
      <c r="I29" s="569" t="s">
        <v>83</v>
      </c>
      <c r="J29" s="570" t="s">
        <v>609</v>
      </c>
      <c r="K29" s="540">
        <f>2000+300</f>
        <v>2300</v>
      </c>
      <c r="M29" s="569" t="s">
        <v>133</v>
      </c>
      <c r="N29" s="570" t="s">
        <v>571</v>
      </c>
      <c r="O29" s="540">
        <v>100</v>
      </c>
      <c r="P29"/>
      <c r="Q29" s="569" t="s">
        <v>114</v>
      </c>
      <c r="R29" s="570" t="s">
        <v>501</v>
      </c>
      <c r="S29" s="540">
        <v>600</v>
      </c>
      <c r="T29" s="681"/>
      <c r="U29" s="569" t="s">
        <v>110</v>
      </c>
      <c r="V29" s="570" t="s">
        <v>469</v>
      </c>
      <c r="W29" s="540">
        <f>1200+500+1000+2500+100+200</f>
        <v>5500</v>
      </c>
      <c r="X29" s="675"/>
    </row>
    <row r="30" spans="1:24" x14ac:dyDescent="0.25">
      <c r="A30" s="569" t="s">
        <v>98</v>
      </c>
      <c r="B30" s="570" t="s">
        <v>732</v>
      </c>
      <c r="C30" s="540">
        <f>-800-100-1600</f>
        <v>-2500</v>
      </c>
      <c r="E30" s="569" t="s">
        <v>103</v>
      </c>
      <c r="F30" s="570" t="s">
        <v>703</v>
      </c>
      <c r="G30" s="540">
        <v>900</v>
      </c>
      <c r="I30" s="569" t="s">
        <v>94</v>
      </c>
      <c r="J30" s="570" t="s">
        <v>598</v>
      </c>
      <c r="K30" s="540">
        <v>300</v>
      </c>
      <c r="M30" s="569"/>
      <c r="N30" s="570"/>
      <c r="O30" s="540"/>
      <c r="P30"/>
      <c r="Q30" s="569" t="s">
        <v>127</v>
      </c>
      <c r="R30" s="570" t="s">
        <v>490</v>
      </c>
      <c r="S30" s="540">
        <v>5000</v>
      </c>
      <c r="T30" s="681"/>
      <c r="U30" s="569" t="s">
        <v>112</v>
      </c>
      <c r="V30" s="570" t="s">
        <v>388</v>
      </c>
      <c r="W30" s="540">
        <v>-8000</v>
      </c>
      <c r="X30" s="675"/>
    </row>
    <row r="31" spans="1:24" x14ac:dyDescent="0.25">
      <c r="A31" s="569" t="s">
        <v>110</v>
      </c>
      <c r="B31" s="570" t="s">
        <v>740</v>
      </c>
      <c r="C31" s="540">
        <f>-6900-500</f>
        <v>-7400</v>
      </c>
      <c r="E31" s="569" t="s">
        <v>110</v>
      </c>
      <c r="F31" s="570" t="s">
        <v>719</v>
      </c>
      <c r="G31" s="540">
        <f>4300-3000+1500-6670</f>
        <v>-3870</v>
      </c>
      <c r="I31" s="569" t="s">
        <v>101</v>
      </c>
      <c r="J31" s="570" t="s">
        <v>602</v>
      </c>
      <c r="K31" s="540">
        <v>200</v>
      </c>
      <c r="M31" s="569"/>
      <c r="N31" s="570"/>
      <c r="O31" s="540"/>
      <c r="P31"/>
      <c r="Q31" s="569" t="s">
        <v>129</v>
      </c>
      <c r="R31" s="570" t="s">
        <v>463</v>
      </c>
      <c r="S31" s="540">
        <f>1500-900</f>
        <v>600</v>
      </c>
      <c r="T31" s="681"/>
      <c r="U31" s="569" t="s">
        <v>114</v>
      </c>
      <c r="V31" s="570" t="s">
        <v>389</v>
      </c>
      <c r="W31" s="540">
        <v>1500</v>
      </c>
      <c r="X31" s="686"/>
    </row>
    <row r="32" spans="1:24" ht="15.75" thickBot="1" x14ac:dyDescent="0.3">
      <c r="A32" s="569" t="s">
        <v>114</v>
      </c>
      <c r="B32" s="570" t="s">
        <v>699</v>
      </c>
      <c r="C32" s="540">
        <f>4500</f>
        <v>4500</v>
      </c>
      <c r="E32" s="569" t="s">
        <v>114</v>
      </c>
      <c r="F32" s="570" t="s">
        <v>674</v>
      </c>
      <c r="G32" s="540">
        <f>1500-500+3000</f>
        <v>4000</v>
      </c>
      <c r="I32" s="569" t="s">
        <v>110</v>
      </c>
      <c r="J32" s="570" t="s">
        <v>619</v>
      </c>
      <c r="K32" s="540">
        <f>1500-110</f>
        <v>1390</v>
      </c>
      <c r="M32" s="571"/>
      <c r="N32" s="572"/>
      <c r="O32" s="573"/>
      <c r="P32"/>
      <c r="Q32" s="569" t="s">
        <v>142</v>
      </c>
      <c r="R32" s="570" t="s">
        <v>489</v>
      </c>
      <c r="S32" s="540">
        <v>1000</v>
      </c>
      <c r="T32" s="681"/>
      <c r="U32" s="569" t="s">
        <v>114</v>
      </c>
      <c r="V32" s="570" t="s">
        <v>393</v>
      </c>
      <c r="W32" s="540">
        <v>-3000</v>
      </c>
      <c r="X32" s="675"/>
    </row>
    <row r="33" spans="1:28" ht="15.75" thickBot="1" x14ac:dyDescent="0.3">
      <c r="A33" s="569" t="s">
        <v>114</v>
      </c>
      <c r="B33" s="570" t="s">
        <v>733</v>
      </c>
      <c r="C33" s="540">
        <f>300+500</f>
        <v>800</v>
      </c>
      <c r="E33" s="569" t="s">
        <v>127</v>
      </c>
      <c r="F33" s="570" t="s">
        <v>673</v>
      </c>
      <c r="G33" s="540">
        <v>-90</v>
      </c>
      <c r="I33" s="569" t="s">
        <v>127</v>
      </c>
      <c r="J33" s="570" t="s">
        <v>600</v>
      </c>
      <c r="K33" s="540">
        <v>300</v>
      </c>
      <c r="M33" s="779" t="s">
        <v>175</v>
      </c>
      <c r="N33" s="780"/>
      <c r="O33" s="574">
        <f>SUM(O34:O38)</f>
        <v>3990</v>
      </c>
      <c r="P33"/>
      <c r="Q33" s="569" t="s">
        <v>152</v>
      </c>
      <c r="R33" s="570" t="s">
        <v>460</v>
      </c>
      <c r="S33" s="540">
        <v>100</v>
      </c>
      <c r="T33" s="681"/>
      <c r="U33" s="569" t="s">
        <v>123</v>
      </c>
      <c r="V33" s="570" t="s">
        <v>452</v>
      </c>
      <c r="W33" s="540">
        <v>-1000</v>
      </c>
      <c r="X33" s="675"/>
    </row>
    <row r="34" spans="1:28" x14ac:dyDescent="0.25">
      <c r="A34" s="569"/>
      <c r="B34" s="570"/>
      <c r="C34" s="540"/>
      <c r="E34" s="569" t="s">
        <v>127</v>
      </c>
      <c r="F34" s="570" t="s">
        <v>384</v>
      </c>
      <c r="G34" s="540">
        <v>-1190</v>
      </c>
      <c r="I34" s="569" t="s">
        <v>149</v>
      </c>
      <c r="J34" s="570" t="s">
        <v>618</v>
      </c>
      <c r="K34" s="540">
        <v>110</v>
      </c>
      <c r="M34" s="693" t="s">
        <v>190</v>
      </c>
      <c r="N34" s="575" t="s">
        <v>593</v>
      </c>
      <c r="O34" s="694">
        <v>1490</v>
      </c>
      <c r="P34"/>
      <c r="Q34" s="569" t="s">
        <v>152</v>
      </c>
      <c r="R34" s="570" t="s">
        <v>492</v>
      </c>
      <c r="S34" s="540">
        <v>3000</v>
      </c>
      <c r="T34" s="681"/>
      <c r="U34" s="569" t="s">
        <v>125</v>
      </c>
      <c r="V34" s="570" t="s">
        <v>390</v>
      </c>
      <c r="W34" s="540">
        <v>1500</v>
      </c>
      <c r="X34" s="687"/>
    </row>
    <row r="35" spans="1:28" x14ac:dyDescent="0.25">
      <c r="A35" s="569"/>
      <c r="B35" s="570"/>
      <c r="C35" s="540"/>
      <c r="E35" s="569" t="s">
        <v>127</v>
      </c>
      <c r="F35" s="570" t="s">
        <v>670</v>
      </c>
      <c r="G35" s="540">
        <v>-12663</v>
      </c>
      <c r="H35" s="464">
        <f>SUM(G33:G35)</f>
        <v>-13943</v>
      </c>
      <c r="I35" s="569" t="s">
        <v>152</v>
      </c>
      <c r="J35" s="570" t="s">
        <v>611</v>
      </c>
      <c r="K35" s="540">
        <v>500</v>
      </c>
      <c r="M35" s="693" t="s">
        <v>125</v>
      </c>
      <c r="N35" s="575" t="s">
        <v>192</v>
      </c>
      <c r="O35" s="694">
        <v>2500</v>
      </c>
      <c r="P35"/>
      <c r="Q35" s="569"/>
      <c r="R35" s="570"/>
      <c r="S35" s="540"/>
      <c r="T35" s="681"/>
      <c r="U35" s="569" t="s">
        <v>127</v>
      </c>
      <c r="V35" s="570" t="s">
        <v>450</v>
      </c>
      <c r="W35" s="540">
        <f>2000-2000</f>
        <v>0</v>
      </c>
      <c r="X35" s="688"/>
    </row>
    <row r="36" spans="1:28" ht="15.75" thickBot="1" x14ac:dyDescent="0.3">
      <c r="A36" s="569"/>
      <c r="B36" s="570"/>
      <c r="C36" s="540"/>
      <c r="E36" s="569" t="s">
        <v>136</v>
      </c>
      <c r="F36" s="570" t="s">
        <v>720</v>
      </c>
      <c r="G36" s="540">
        <f>3500</f>
        <v>3500</v>
      </c>
      <c r="I36" s="569" t="s">
        <v>152</v>
      </c>
      <c r="J36" s="570" t="s">
        <v>601</v>
      </c>
      <c r="K36" s="540">
        <f>2000+300</f>
        <v>2300</v>
      </c>
      <c r="M36" s="693"/>
      <c r="N36" s="575"/>
      <c r="O36" s="694"/>
      <c r="P36"/>
      <c r="Q36" s="571"/>
      <c r="R36" s="572"/>
      <c r="S36" s="573"/>
      <c r="T36" s="681"/>
      <c r="U36" s="569" t="s">
        <v>127</v>
      </c>
      <c r="V36" s="570" t="s">
        <v>391</v>
      </c>
      <c r="W36" s="540">
        <v>100</v>
      </c>
      <c r="X36" s="679"/>
      <c r="AB36" s="464"/>
    </row>
    <row r="37" spans="1:28" ht="15.75" thickBot="1" x14ac:dyDescent="0.3">
      <c r="A37" s="571"/>
      <c r="B37" s="572"/>
      <c r="C37" s="573"/>
      <c r="E37" s="569" t="s">
        <v>672</v>
      </c>
      <c r="F37" s="570" t="s">
        <v>721</v>
      </c>
      <c r="G37" s="540">
        <v>2500</v>
      </c>
      <c r="I37" s="569" t="s">
        <v>152</v>
      </c>
      <c r="J37" s="570" t="s">
        <v>597</v>
      </c>
      <c r="K37" s="540">
        <v>700</v>
      </c>
      <c r="M37" s="693"/>
      <c r="N37" s="575"/>
      <c r="O37" s="694"/>
      <c r="P37"/>
      <c r="Q37" s="779" t="s">
        <v>175</v>
      </c>
      <c r="R37" s="780"/>
      <c r="S37" s="574">
        <f>SUM(S38:S39)</f>
        <v>2500</v>
      </c>
      <c r="T37" s="681"/>
      <c r="U37" s="569" t="s">
        <v>131</v>
      </c>
      <c r="V37" s="570" t="s">
        <v>392</v>
      </c>
      <c r="W37" s="540">
        <f>100+1000</f>
        <v>1100</v>
      </c>
      <c r="X37" s="689"/>
      <c r="AB37" s="464"/>
    </row>
    <row r="38" spans="1:28" ht="15.75" thickBot="1" x14ac:dyDescent="0.3">
      <c r="A38" s="779" t="s">
        <v>175</v>
      </c>
      <c r="B38" s="780"/>
      <c r="C38" s="574">
        <f>SUM(C39:C41)</f>
        <v>0</v>
      </c>
      <c r="E38" s="569" t="s">
        <v>152</v>
      </c>
      <c r="F38" s="570" t="s">
        <v>722</v>
      </c>
      <c r="G38" s="540">
        <f>500+170</f>
        <v>670</v>
      </c>
      <c r="I38" s="569" t="s">
        <v>155</v>
      </c>
      <c r="J38" s="570" t="s">
        <v>596</v>
      </c>
      <c r="K38" s="540">
        <v>200</v>
      </c>
      <c r="M38" s="693"/>
      <c r="N38" s="575"/>
      <c r="O38" s="694"/>
      <c r="P38"/>
      <c r="Q38" s="693" t="s">
        <v>152</v>
      </c>
      <c r="R38" s="575" t="s">
        <v>502</v>
      </c>
      <c r="S38" s="694">
        <v>2500</v>
      </c>
      <c r="T38" s="681"/>
      <c r="U38" s="569" t="s">
        <v>152</v>
      </c>
      <c r="V38" s="570" t="s">
        <v>570</v>
      </c>
      <c r="W38" s="540">
        <f>800+1000</f>
        <v>1800</v>
      </c>
      <c r="X38" s="690"/>
    </row>
    <row r="39" spans="1:28" ht="15.75" thickBot="1" x14ac:dyDescent="0.3">
      <c r="A39" s="693"/>
      <c r="B39" s="575"/>
      <c r="C39" s="694"/>
      <c r="E39" s="569" t="s">
        <v>152</v>
      </c>
      <c r="F39" s="570" t="s">
        <v>688</v>
      </c>
      <c r="G39" s="540">
        <f>7500+2600+40</f>
        <v>10140</v>
      </c>
      <c r="I39" s="569"/>
      <c r="J39" s="570"/>
      <c r="K39" s="540"/>
      <c r="M39" s="797" t="s">
        <v>197</v>
      </c>
      <c r="N39" s="798"/>
      <c r="O39" s="692">
        <f>O40</f>
        <v>0</v>
      </c>
      <c r="P39"/>
      <c r="Q39" s="693"/>
      <c r="R39" s="575"/>
      <c r="S39" s="694"/>
      <c r="T39" s="681"/>
      <c r="U39" s="569" t="s">
        <v>157</v>
      </c>
      <c r="V39" s="570" t="s">
        <v>467</v>
      </c>
      <c r="W39" s="540">
        <f>6000+3000</f>
        <v>9000</v>
      </c>
      <c r="X39" s="681"/>
    </row>
    <row r="40" spans="1:28" ht="15.75" thickBot="1" x14ac:dyDescent="0.3">
      <c r="A40" s="693"/>
      <c r="B40" s="575"/>
      <c r="C40" s="694"/>
      <c r="E40" s="569" t="s">
        <v>152</v>
      </c>
      <c r="F40" s="570" t="s">
        <v>723</v>
      </c>
      <c r="G40" s="540">
        <f>2000+700</f>
        <v>2700</v>
      </c>
      <c r="H40" s="464">
        <f>SUM(G38:G40)</f>
        <v>13510</v>
      </c>
      <c r="I40" s="569"/>
      <c r="J40" s="570"/>
      <c r="K40" s="540"/>
      <c r="M40" s="578"/>
      <c r="N40" s="579"/>
      <c r="O40" s="552"/>
      <c r="P40"/>
      <c r="Q40" s="797" t="s">
        <v>197</v>
      </c>
      <c r="R40" s="798"/>
      <c r="S40" s="692">
        <f>S41</f>
        <v>0</v>
      </c>
      <c r="T40" s="691"/>
      <c r="U40" s="571"/>
      <c r="V40" s="572"/>
      <c r="W40" s="573"/>
      <c r="X40" s="681"/>
    </row>
    <row r="41" spans="1:28" ht="15.75" thickBot="1" x14ac:dyDescent="0.3">
      <c r="A41" s="762"/>
      <c r="B41" s="763"/>
      <c r="C41" s="764"/>
      <c r="E41" s="569"/>
      <c r="F41" s="570"/>
      <c r="G41" s="540"/>
      <c r="I41" s="571"/>
      <c r="J41" s="572"/>
      <c r="K41" s="573"/>
      <c r="M41" s="791" t="s">
        <v>344</v>
      </c>
      <c r="N41" s="792"/>
      <c r="O41" s="556">
        <f>O25+O33+O39</f>
        <v>4333</v>
      </c>
      <c r="P41"/>
      <c r="Q41" s="578"/>
      <c r="R41" s="579"/>
      <c r="S41" s="552"/>
      <c r="T41" s="683"/>
      <c r="U41" s="779" t="s">
        <v>175</v>
      </c>
      <c r="V41" s="780"/>
      <c r="W41" s="574">
        <f>SUM(W42:W44)</f>
        <v>0</v>
      </c>
      <c r="X41" s="681"/>
    </row>
    <row r="42" spans="1:28" ht="15.75" thickBot="1" x14ac:dyDescent="0.3">
      <c r="A42" s="781" t="s">
        <v>197</v>
      </c>
      <c r="B42" s="782"/>
      <c r="C42" s="545">
        <f>C43</f>
        <v>0</v>
      </c>
      <c r="E42" s="571"/>
      <c r="F42" s="572"/>
      <c r="G42" s="573"/>
      <c r="I42" s="779" t="s">
        <v>175</v>
      </c>
      <c r="J42" s="780"/>
      <c r="K42" s="574">
        <f>SUM(K43:K47)</f>
        <v>886</v>
      </c>
      <c r="M42" s="580" t="s">
        <v>67</v>
      </c>
      <c r="N42" s="581" t="s">
        <v>351</v>
      </c>
      <c r="O42" s="582"/>
      <c r="P42"/>
      <c r="Q42" s="791" t="s">
        <v>344</v>
      </c>
      <c r="R42" s="792"/>
      <c r="S42" s="556">
        <f>S25+S37+S40</f>
        <v>13400</v>
      </c>
      <c r="T42" s="684"/>
      <c r="U42" s="693" t="s">
        <v>110</v>
      </c>
      <c r="V42" s="575" t="s">
        <v>474</v>
      </c>
      <c r="W42" s="694">
        <v>-18000</v>
      </c>
      <c r="X42" s="681"/>
    </row>
    <row r="43" spans="1:28" ht="15.75" thickBot="1" x14ac:dyDescent="0.3">
      <c r="A43" s="578"/>
      <c r="B43" s="579"/>
      <c r="C43" s="552"/>
      <c r="E43" s="779" t="s">
        <v>175</v>
      </c>
      <c r="F43" s="780"/>
      <c r="G43" s="574">
        <f>SUM(G44:G48)</f>
        <v>0</v>
      </c>
      <c r="I43" s="693" t="s">
        <v>190</v>
      </c>
      <c r="J43" s="575" t="s">
        <v>612</v>
      </c>
      <c r="K43" s="694">
        <v>500</v>
      </c>
      <c r="M43" s="583" t="s">
        <v>67</v>
      </c>
      <c r="N43" s="499" t="s">
        <v>451</v>
      </c>
      <c r="O43" s="584"/>
      <c r="P43"/>
      <c r="Q43" s="580" t="s">
        <v>67</v>
      </c>
      <c r="R43" s="581" t="s">
        <v>351</v>
      </c>
      <c r="S43" s="582"/>
      <c r="T43" s="684"/>
      <c r="U43" s="693" t="s">
        <v>152</v>
      </c>
      <c r="V43" s="575" t="s">
        <v>475</v>
      </c>
      <c r="W43" s="694">
        <v>18000</v>
      </c>
      <c r="X43" s="681"/>
    </row>
    <row r="44" spans="1:28" ht="15.75" thickBot="1" x14ac:dyDescent="0.3">
      <c r="A44" s="791" t="s">
        <v>344</v>
      </c>
      <c r="B44" s="792"/>
      <c r="C44" s="556">
        <f>C28+C38+C42</f>
        <v>0</v>
      </c>
      <c r="E44" s="693"/>
      <c r="F44" s="575"/>
      <c r="G44" s="694"/>
      <c r="I44" s="743" t="s">
        <v>110</v>
      </c>
      <c r="J44" s="744" t="s">
        <v>230</v>
      </c>
      <c r="K44" s="694">
        <v>-500</v>
      </c>
      <c r="M44" s="774" t="s">
        <v>347</v>
      </c>
      <c r="N44" s="796"/>
      <c r="O44" s="563">
        <f>SUM(O41:O43)</f>
        <v>4333</v>
      </c>
      <c r="P44"/>
      <c r="Q44" s="583" t="s">
        <v>67</v>
      </c>
      <c r="R44" s="499" t="s">
        <v>451</v>
      </c>
      <c r="S44" s="584"/>
      <c r="T44" s="684"/>
      <c r="U44" s="693"/>
      <c r="V44" s="575"/>
      <c r="W44" s="694"/>
      <c r="X44" s="681"/>
      <c r="AB44" s="464"/>
    </row>
    <row r="45" spans="1:28" ht="15.75" thickBot="1" x14ac:dyDescent="0.3">
      <c r="A45" s="580" t="s">
        <v>67</v>
      </c>
      <c r="B45" s="581" t="s">
        <v>351</v>
      </c>
      <c r="C45" s="582"/>
      <c r="E45" s="743"/>
      <c r="F45" s="744"/>
      <c r="G45" s="694"/>
      <c r="I45" s="693" t="s">
        <v>127</v>
      </c>
      <c r="J45" s="543" t="s">
        <v>613</v>
      </c>
      <c r="K45" s="694">
        <v>886</v>
      </c>
      <c r="M45"/>
      <c r="N45" s="585" t="s">
        <v>352</v>
      </c>
      <c r="O45" s="464">
        <f>O44-O21</f>
        <v>3990</v>
      </c>
      <c r="P45"/>
      <c r="Q45" s="774" t="s">
        <v>347</v>
      </c>
      <c r="R45" s="796"/>
      <c r="S45" s="563">
        <f>SUM(S42:S44)</f>
        <v>13400</v>
      </c>
      <c r="T45" s="683"/>
      <c r="U45" s="797" t="s">
        <v>197</v>
      </c>
      <c r="V45" s="798"/>
      <c r="W45" s="692">
        <f>W46</f>
        <v>20</v>
      </c>
      <c r="X45" s="681"/>
    </row>
    <row r="46" spans="1:28" ht="15.75" thickBot="1" x14ac:dyDescent="0.3">
      <c r="A46" s="583" t="s">
        <v>67</v>
      </c>
      <c r="B46" s="499" t="s">
        <v>451</v>
      </c>
      <c r="C46" s="584"/>
      <c r="E46" s="693"/>
      <c r="F46" s="543"/>
      <c r="G46" s="694"/>
      <c r="I46" s="693"/>
      <c r="J46" s="575"/>
      <c r="K46" s="694"/>
      <c r="M46"/>
      <c r="P46"/>
      <c r="R46" s="585" t="s">
        <v>352</v>
      </c>
      <c r="S46" s="464">
        <f>S45-S21</f>
        <v>0</v>
      </c>
      <c r="T46" s="675"/>
      <c r="U46" s="578" t="s">
        <v>373</v>
      </c>
      <c r="V46" s="579" t="s">
        <v>374</v>
      </c>
      <c r="W46" s="552">
        <v>20</v>
      </c>
      <c r="X46" s="681"/>
    </row>
    <row r="47" spans="1:28" ht="15.75" thickBot="1" x14ac:dyDescent="0.3">
      <c r="A47" s="774" t="s">
        <v>347</v>
      </c>
      <c r="B47" s="796"/>
      <c r="C47" s="563">
        <f>SUM(C44:C46)</f>
        <v>0</v>
      </c>
      <c r="E47" s="693"/>
      <c r="F47" s="575"/>
      <c r="G47" s="694"/>
      <c r="I47" s="693"/>
      <c r="J47" s="575"/>
      <c r="K47" s="694"/>
      <c r="M47" t="s">
        <v>353</v>
      </c>
      <c r="P47"/>
      <c r="T47" s="686"/>
      <c r="U47" s="791" t="s">
        <v>344</v>
      </c>
      <c r="V47" s="792"/>
      <c r="W47" s="556">
        <f>W25+W41+W45</f>
        <v>6020</v>
      </c>
      <c r="X47" s="681"/>
    </row>
    <row r="48" spans="1:28" ht="15.75" thickBot="1" x14ac:dyDescent="0.3">
      <c r="B48" s="585" t="s">
        <v>352</v>
      </c>
      <c r="C48" s="464">
        <f>C47-C24</f>
        <v>0</v>
      </c>
      <c r="E48" s="762"/>
      <c r="F48" s="763"/>
      <c r="G48" s="764"/>
      <c r="I48" s="797" t="s">
        <v>197</v>
      </c>
      <c r="J48" s="798"/>
      <c r="K48" s="692">
        <f>K49</f>
        <v>0</v>
      </c>
      <c r="M48" s="586" t="s">
        <v>589</v>
      </c>
      <c r="P48"/>
      <c r="Q48" t="s">
        <v>353</v>
      </c>
      <c r="T48" s="675"/>
      <c r="U48" s="580" t="s">
        <v>67</v>
      </c>
      <c r="V48" s="581" t="s">
        <v>351</v>
      </c>
      <c r="W48" s="582"/>
      <c r="X48" s="681"/>
    </row>
    <row r="49" spans="1:28" ht="15.75" thickBot="1" x14ac:dyDescent="0.3">
      <c r="E49" s="781" t="s">
        <v>197</v>
      </c>
      <c r="F49" s="782"/>
      <c r="G49" s="545">
        <f>G50</f>
        <v>0</v>
      </c>
      <c r="I49" s="578"/>
      <c r="J49" s="579"/>
      <c r="K49" s="552"/>
      <c r="M49"/>
      <c r="P49"/>
      <c r="Q49" s="586" t="s">
        <v>548</v>
      </c>
      <c r="T49" s="675"/>
      <c r="U49" s="583" t="s">
        <v>67</v>
      </c>
      <c r="V49" s="499" t="s">
        <v>451</v>
      </c>
      <c r="W49" s="584"/>
      <c r="X49" s="681"/>
    </row>
    <row r="50" spans="1:28" ht="15.75" thickBot="1" x14ac:dyDescent="0.3">
      <c r="A50" t="s">
        <v>353</v>
      </c>
      <c r="E50" s="578"/>
      <c r="F50" s="579"/>
      <c r="G50" s="552"/>
      <c r="I50" s="791" t="s">
        <v>344</v>
      </c>
      <c r="J50" s="792"/>
      <c r="K50" s="556">
        <f>K25+K42+K48</f>
        <v>7086</v>
      </c>
      <c r="M50"/>
      <c r="P50"/>
      <c r="T50" s="687"/>
      <c r="U50" s="774" t="s">
        <v>347</v>
      </c>
      <c r="V50" s="796"/>
      <c r="W50" s="563">
        <f>SUM(W47:W49)</f>
        <v>6020</v>
      </c>
      <c r="X50" s="681"/>
    </row>
    <row r="51" spans="1:28" ht="15.75" thickBot="1" x14ac:dyDescent="0.3">
      <c r="A51" s="586" t="s">
        <v>747</v>
      </c>
      <c r="E51" s="791" t="s">
        <v>344</v>
      </c>
      <c r="F51" s="792"/>
      <c r="G51" s="556">
        <f>G27+G43+G49</f>
        <v>10777</v>
      </c>
      <c r="I51" s="580" t="s">
        <v>67</v>
      </c>
      <c r="J51" s="581" t="s">
        <v>351</v>
      </c>
      <c r="K51" s="582"/>
      <c r="M51"/>
      <c r="P51"/>
      <c r="T51" s="688"/>
      <c r="V51" s="585" t="s">
        <v>352</v>
      </c>
      <c r="W51" s="464">
        <f>W50-W21</f>
        <v>-3990</v>
      </c>
      <c r="X51" s="681"/>
    </row>
    <row r="52" spans="1:28" ht="15.75" thickBot="1" x14ac:dyDescent="0.3">
      <c r="E52" s="580" t="s">
        <v>67</v>
      </c>
      <c r="F52" s="581" t="s">
        <v>351</v>
      </c>
      <c r="G52" s="582">
        <v>5000</v>
      </c>
      <c r="I52" s="583" t="s">
        <v>67</v>
      </c>
      <c r="J52" s="499" t="s">
        <v>451</v>
      </c>
      <c r="K52" s="584"/>
      <c r="M52"/>
      <c r="P52"/>
      <c r="T52" s="506"/>
      <c r="X52" s="681"/>
    </row>
    <row r="53" spans="1:28" ht="15.75" thickBot="1" x14ac:dyDescent="0.3">
      <c r="E53" s="583" t="s">
        <v>67</v>
      </c>
      <c r="F53" s="499" t="s">
        <v>671</v>
      </c>
      <c r="G53" s="584">
        <v>1000</v>
      </c>
      <c r="I53" s="774" t="s">
        <v>347</v>
      </c>
      <c r="J53" s="796"/>
      <c r="K53" s="563">
        <f>SUM(K50:K52)</f>
        <v>7086</v>
      </c>
      <c r="M53"/>
      <c r="P53"/>
      <c r="T53" s="506"/>
      <c r="U53" t="s">
        <v>353</v>
      </c>
      <c r="X53" s="681"/>
      <c r="AB53" s="464"/>
    </row>
    <row r="54" spans="1:28" ht="15.75" thickBot="1" x14ac:dyDescent="0.3">
      <c r="E54" s="774" t="s">
        <v>347</v>
      </c>
      <c r="F54" s="796"/>
      <c r="G54" s="563">
        <f>SUM(G51:G53)</f>
        <v>16777</v>
      </c>
      <c r="J54" s="585" t="s">
        <v>352</v>
      </c>
      <c r="K54" s="464">
        <f>K53-K21</f>
        <v>0</v>
      </c>
      <c r="M54"/>
      <c r="P54"/>
      <c r="T54" s="506"/>
      <c r="U54" s="586" t="s">
        <v>478</v>
      </c>
      <c r="X54" s="681"/>
    </row>
    <row r="55" spans="1:28" x14ac:dyDescent="0.25">
      <c r="F55" s="585" t="s">
        <v>352</v>
      </c>
      <c r="G55" s="464">
        <f>G54-G23</f>
        <v>0</v>
      </c>
      <c r="M55"/>
      <c r="P55"/>
      <c r="T55" s="506"/>
      <c r="X55" s="681"/>
    </row>
    <row r="56" spans="1:28" x14ac:dyDescent="0.25">
      <c r="I56" t="s">
        <v>353</v>
      </c>
      <c r="M56"/>
      <c r="P56"/>
      <c r="T56" s="506"/>
      <c r="W56" s="506"/>
      <c r="AA56" s="691"/>
    </row>
    <row r="57" spans="1:28" x14ac:dyDescent="0.25">
      <c r="E57" t="s">
        <v>353</v>
      </c>
      <c r="I57" s="586" t="s">
        <v>621</v>
      </c>
      <c r="M57"/>
      <c r="P57"/>
      <c r="T57" s="506"/>
      <c r="W57" s="506"/>
      <c r="AA57" s="683"/>
    </row>
    <row r="58" spans="1:28" x14ac:dyDescent="0.25">
      <c r="E58" s="586" t="s">
        <v>693</v>
      </c>
      <c r="M58"/>
      <c r="P58"/>
      <c r="T58" s="506"/>
      <c r="W58" s="506"/>
      <c r="AA58" s="684"/>
    </row>
    <row r="59" spans="1:28" x14ac:dyDescent="0.25">
      <c r="M59"/>
      <c r="P59"/>
      <c r="T59" s="506"/>
      <c r="W59" s="506"/>
      <c r="AA59" s="684"/>
    </row>
    <row r="60" spans="1:28" x14ac:dyDescent="0.25">
      <c r="M60"/>
      <c r="P60"/>
      <c r="T60" s="506"/>
      <c r="W60" s="506"/>
      <c r="AA60" s="684"/>
    </row>
    <row r="61" spans="1:28" x14ac:dyDescent="0.25">
      <c r="M61"/>
      <c r="P61"/>
      <c r="T61" s="506"/>
      <c r="W61" s="506"/>
      <c r="AA61" s="684"/>
    </row>
    <row r="62" spans="1:28" x14ac:dyDescent="0.25">
      <c r="M62"/>
      <c r="P62"/>
      <c r="T62" s="506"/>
      <c r="W62" s="506"/>
      <c r="AA62" s="684"/>
    </row>
    <row r="63" spans="1:28" x14ac:dyDescent="0.25">
      <c r="M63"/>
      <c r="P63"/>
      <c r="T63" s="506"/>
      <c r="W63" s="506"/>
      <c r="AA63" s="684"/>
    </row>
    <row r="64" spans="1:28" x14ac:dyDescent="0.25">
      <c r="M64"/>
      <c r="P64"/>
      <c r="T64" s="506"/>
      <c r="W64" s="506"/>
      <c r="AA64" s="684"/>
    </row>
    <row r="65" spans="13:27" x14ac:dyDescent="0.25">
      <c r="M65"/>
      <c r="P65"/>
      <c r="T65" s="506"/>
      <c r="W65" s="506"/>
      <c r="AA65" s="684"/>
    </row>
    <row r="66" spans="13:27" x14ac:dyDescent="0.25">
      <c r="M66"/>
      <c r="P66"/>
      <c r="T66" s="506"/>
      <c r="W66" s="684"/>
    </row>
    <row r="67" spans="13:27" x14ac:dyDescent="0.25">
      <c r="M67"/>
      <c r="P67"/>
      <c r="T67" s="506"/>
      <c r="W67" s="683"/>
    </row>
    <row r="68" spans="13:27" x14ac:dyDescent="0.25">
      <c r="M68"/>
      <c r="P68"/>
      <c r="T68" s="506"/>
      <c r="W68" s="675"/>
    </row>
    <row r="69" spans="13:27" x14ac:dyDescent="0.25">
      <c r="M69"/>
      <c r="P69"/>
      <c r="T69" s="506"/>
      <c r="W69" s="686"/>
    </row>
    <row r="70" spans="13:27" x14ac:dyDescent="0.25">
      <c r="M70"/>
      <c r="P70"/>
      <c r="T70" s="506"/>
      <c r="W70" s="675"/>
    </row>
    <row r="71" spans="13:27" x14ac:dyDescent="0.25">
      <c r="M71"/>
      <c r="P71"/>
      <c r="T71" s="675"/>
    </row>
    <row r="72" spans="13:27" x14ac:dyDescent="0.25">
      <c r="M72"/>
      <c r="P72"/>
      <c r="Q72" s="506"/>
      <c r="T72" s="687"/>
    </row>
    <row r="73" spans="13:27" x14ac:dyDescent="0.25">
      <c r="M73"/>
      <c r="P73"/>
      <c r="Q73" s="506"/>
      <c r="T73" s="688"/>
    </row>
    <row r="74" spans="13:27" x14ac:dyDescent="0.25">
      <c r="M74"/>
      <c r="P74"/>
      <c r="Q74" s="506"/>
      <c r="T74" s="506"/>
    </row>
    <row r="75" spans="13:27" x14ac:dyDescent="0.25">
      <c r="M75"/>
      <c r="P75"/>
      <c r="Q75" s="506"/>
      <c r="T75" s="506"/>
    </row>
    <row r="76" spans="13:27" x14ac:dyDescent="0.25">
      <c r="M76"/>
      <c r="P76"/>
      <c r="Q76" s="506"/>
      <c r="T76" s="506"/>
    </row>
    <row r="77" spans="13:27" x14ac:dyDescent="0.25">
      <c r="M77"/>
      <c r="P77"/>
      <c r="Q77" s="506"/>
      <c r="T77" s="506"/>
    </row>
    <row r="78" spans="13:27" x14ac:dyDescent="0.25">
      <c r="M78"/>
      <c r="P78"/>
      <c r="Q78" s="506"/>
      <c r="T78" s="506"/>
    </row>
    <row r="79" spans="13:27" x14ac:dyDescent="0.25">
      <c r="M79"/>
      <c r="P79"/>
      <c r="Q79" s="506"/>
      <c r="T79" s="506"/>
    </row>
    <row r="80" spans="13:27" x14ac:dyDescent="0.25">
      <c r="M80"/>
      <c r="P80"/>
      <c r="Q80" s="506"/>
      <c r="T80" s="506"/>
    </row>
    <row r="81" spans="13:20" x14ac:dyDescent="0.25">
      <c r="M81"/>
      <c r="P81"/>
      <c r="Q81" s="506"/>
      <c r="T81" s="506"/>
    </row>
    <row r="82" spans="13:20" x14ac:dyDescent="0.25">
      <c r="M82"/>
      <c r="P82"/>
      <c r="Q82" s="506"/>
      <c r="T82" s="506"/>
    </row>
    <row r="83" spans="13:20" x14ac:dyDescent="0.25">
      <c r="M83"/>
      <c r="P83"/>
      <c r="Q83" s="506"/>
      <c r="T83" s="506"/>
    </row>
    <row r="84" spans="13:20" x14ac:dyDescent="0.25">
      <c r="M84"/>
      <c r="P84"/>
      <c r="Q84" s="506"/>
      <c r="T84" s="506"/>
    </row>
    <row r="85" spans="13:20" x14ac:dyDescent="0.25">
      <c r="M85"/>
      <c r="P85"/>
      <c r="Q85" s="506"/>
      <c r="T85" s="506"/>
    </row>
    <row r="86" spans="13:20" x14ac:dyDescent="0.25">
      <c r="M86"/>
      <c r="P86"/>
      <c r="Q86" s="506"/>
      <c r="T86" s="506"/>
    </row>
    <row r="87" spans="13:20" x14ac:dyDescent="0.25">
      <c r="M87"/>
      <c r="P87"/>
      <c r="Q87" s="506"/>
      <c r="T87" s="506"/>
    </row>
    <row r="88" spans="13:20" x14ac:dyDescent="0.25">
      <c r="M88"/>
      <c r="P88"/>
      <c r="Q88" s="506"/>
      <c r="T88" s="506"/>
    </row>
    <row r="89" spans="13:20" x14ac:dyDescent="0.25">
      <c r="M89"/>
      <c r="P89"/>
      <c r="Q89" s="506"/>
      <c r="T89" s="506"/>
    </row>
    <row r="90" spans="13:20" x14ac:dyDescent="0.25">
      <c r="M90"/>
      <c r="P90"/>
      <c r="Q90" s="506"/>
      <c r="T90" s="506"/>
    </row>
    <row r="91" spans="13:20" x14ac:dyDescent="0.25">
      <c r="M91"/>
      <c r="P91"/>
      <c r="Q91" s="506"/>
      <c r="T91" s="506"/>
    </row>
    <row r="92" spans="13:20" x14ac:dyDescent="0.25">
      <c r="M92"/>
      <c r="P92"/>
      <c r="Q92" s="506"/>
      <c r="T92" s="506"/>
    </row>
    <row r="93" spans="13:20" x14ac:dyDescent="0.25">
      <c r="M93"/>
      <c r="P93"/>
      <c r="Q93" s="506"/>
      <c r="T93" s="506"/>
    </row>
    <row r="94" spans="13:20" x14ac:dyDescent="0.25">
      <c r="M94"/>
      <c r="P94"/>
      <c r="Q94" s="506"/>
      <c r="T94" s="506"/>
    </row>
    <row r="95" spans="13:20" x14ac:dyDescent="0.25">
      <c r="M95"/>
      <c r="P95"/>
      <c r="Q95" s="506"/>
      <c r="T95" s="506"/>
    </row>
    <row r="96" spans="13:20" x14ac:dyDescent="0.25">
      <c r="M96"/>
      <c r="P96"/>
      <c r="Q96" s="506"/>
      <c r="T96" s="506"/>
    </row>
    <row r="97" spans="13:20" x14ac:dyDescent="0.25">
      <c r="M97"/>
      <c r="P97"/>
      <c r="Q97" s="506"/>
      <c r="T97" s="506"/>
    </row>
    <row r="98" spans="13:20" x14ac:dyDescent="0.25">
      <c r="M98"/>
      <c r="P98"/>
      <c r="Q98" s="506"/>
      <c r="T98" s="506"/>
    </row>
    <row r="99" spans="13:20" x14ac:dyDescent="0.25">
      <c r="M99"/>
      <c r="P99"/>
      <c r="Q99" s="506"/>
      <c r="T99" s="506"/>
    </row>
    <row r="100" spans="13:20" x14ac:dyDescent="0.25">
      <c r="M100"/>
      <c r="P100"/>
      <c r="Q100" s="506"/>
      <c r="T100" s="506"/>
    </row>
    <row r="101" spans="13:20" x14ac:dyDescent="0.25">
      <c r="M101"/>
      <c r="P101"/>
      <c r="Q101" s="506"/>
      <c r="T101" s="506"/>
    </row>
    <row r="102" spans="13:20" x14ac:dyDescent="0.25">
      <c r="M102"/>
      <c r="P102"/>
      <c r="Q102" s="506"/>
      <c r="T102" s="506"/>
    </row>
    <row r="103" spans="13:20" x14ac:dyDescent="0.25">
      <c r="M103"/>
      <c r="P103"/>
      <c r="Q103" s="506"/>
      <c r="T103" s="506"/>
    </row>
    <row r="104" spans="13:20" x14ac:dyDescent="0.25">
      <c r="M104"/>
      <c r="P104"/>
      <c r="Q104" s="506"/>
      <c r="T104" s="506"/>
    </row>
    <row r="105" spans="13:20" x14ac:dyDescent="0.25">
      <c r="M105"/>
      <c r="P105"/>
      <c r="Q105" s="506"/>
      <c r="T105" s="506"/>
    </row>
    <row r="106" spans="13:20" x14ac:dyDescent="0.25">
      <c r="M106"/>
      <c r="P106"/>
      <c r="Q106" s="506"/>
      <c r="T106" s="506"/>
    </row>
    <row r="107" spans="13:20" x14ac:dyDescent="0.25">
      <c r="M107"/>
      <c r="P107"/>
      <c r="Q107" s="506"/>
      <c r="T107" s="506"/>
    </row>
    <row r="108" spans="13:20" x14ac:dyDescent="0.25">
      <c r="M108"/>
      <c r="P108"/>
      <c r="Q108" s="506"/>
      <c r="T108" s="506"/>
    </row>
    <row r="109" spans="13:20" x14ac:dyDescent="0.25">
      <c r="M109"/>
      <c r="P109"/>
      <c r="Q109" s="506"/>
      <c r="T109" s="506"/>
    </row>
    <row r="110" spans="13:20" x14ac:dyDescent="0.25">
      <c r="M110"/>
      <c r="P110"/>
      <c r="Q110" s="506"/>
      <c r="T110" s="506"/>
    </row>
    <row r="111" spans="13:20" x14ac:dyDescent="0.25">
      <c r="M111"/>
      <c r="P111"/>
      <c r="Q111" s="506"/>
      <c r="T111" s="506"/>
    </row>
    <row r="112" spans="13:20" x14ac:dyDescent="0.25">
      <c r="M112"/>
      <c r="P112"/>
      <c r="Q112" s="506"/>
      <c r="T112" s="506"/>
    </row>
    <row r="113" spans="13:20" x14ac:dyDescent="0.25">
      <c r="M113"/>
      <c r="P113"/>
      <c r="Q113" s="506"/>
      <c r="T113" s="506"/>
    </row>
    <row r="114" spans="13:20" x14ac:dyDescent="0.25">
      <c r="M114"/>
      <c r="P114"/>
      <c r="Q114" s="506"/>
      <c r="T114" s="506"/>
    </row>
    <row r="115" spans="13:20" x14ac:dyDescent="0.25">
      <c r="M115"/>
      <c r="P115"/>
      <c r="Q115" s="506"/>
      <c r="T115" s="506"/>
    </row>
    <row r="116" spans="13:20" x14ac:dyDescent="0.25">
      <c r="M116"/>
      <c r="P116"/>
      <c r="Q116" s="506"/>
      <c r="T116" s="506"/>
    </row>
    <row r="117" spans="13:20" x14ac:dyDescent="0.25">
      <c r="M117"/>
      <c r="P117"/>
      <c r="Q117" s="506"/>
      <c r="T117" s="506"/>
    </row>
    <row r="118" spans="13:20" x14ac:dyDescent="0.25">
      <c r="M118"/>
      <c r="P118"/>
      <c r="Q118" s="506"/>
      <c r="T118" s="506"/>
    </row>
    <row r="119" spans="13:20" x14ac:dyDescent="0.25">
      <c r="M119"/>
      <c r="P119"/>
      <c r="Q119" s="506"/>
      <c r="T119" s="506"/>
    </row>
    <row r="120" spans="13:20" x14ac:dyDescent="0.25">
      <c r="M120"/>
      <c r="P120"/>
      <c r="Q120" s="506"/>
      <c r="T120" s="506"/>
    </row>
    <row r="121" spans="13:20" x14ac:dyDescent="0.25">
      <c r="M121"/>
      <c r="P121"/>
      <c r="Q121" s="506"/>
      <c r="T121" s="506"/>
    </row>
    <row r="122" spans="13:20" x14ac:dyDescent="0.25">
      <c r="M122"/>
      <c r="P122"/>
      <c r="Q122" s="506"/>
      <c r="T122" s="506"/>
    </row>
    <row r="123" spans="13:20" x14ac:dyDescent="0.25">
      <c r="M123"/>
      <c r="P123"/>
      <c r="Q123" s="506"/>
      <c r="T123" s="506"/>
    </row>
    <row r="124" spans="13:20" x14ac:dyDescent="0.25">
      <c r="M124"/>
      <c r="P124"/>
      <c r="Q124" s="506"/>
      <c r="T124" s="506"/>
    </row>
    <row r="125" spans="13:20" x14ac:dyDescent="0.25">
      <c r="M125"/>
      <c r="P125"/>
      <c r="Q125" s="506"/>
      <c r="T125" s="506"/>
    </row>
    <row r="126" spans="13:20" x14ac:dyDescent="0.25">
      <c r="M126"/>
      <c r="P126"/>
      <c r="Q126" s="506"/>
      <c r="T126" s="506"/>
    </row>
    <row r="127" spans="13:20" x14ac:dyDescent="0.25">
      <c r="M127"/>
      <c r="P127"/>
      <c r="Q127" s="506"/>
      <c r="T127" s="506"/>
    </row>
    <row r="128" spans="13:20" x14ac:dyDescent="0.25">
      <c r="M128"/>
      <c r="P128"/>
      <c r="Q128" s="506"/>
      <c r="T128" s="506"/>
    </row>
    <row r="129" spans="13:20" x14ac:dyDescent="0.25">
      <c r="M129"/>
      <c r="P129"/>
      <c r="Q129" s="506"/>
      <c r="T129" s="506"/>
    </row>
    <row r="130" spans="13:20" x14ac:dyDescent="0.25">
      <c r="M130"/>
      <c r="P130"/>
      <c r="Q130" s="506"/>
      <c r="T130" s="506"/>
    </row>
    <row r="131" spans="13:20" x14ac:dyDescent="0.25">
      <c r="M131"/>
      <c r="P131"/>
      <c r="Q131" s="506"/>
      <c r="T131" s="506"/>
    </row>
    <row r="132" spans="13:20" x14ac:dyDescent="0.25">
      <c r="M132"/>
      <c r="P132"/>
      <c r="Q132" s="506"/>
      <c r="T132" s="506"/>
    </row>
    <row r="133" spans="13:20" x14ac:dyDescent="0.25">
      <c r="M133"/>
      <c r="P133"/>
      <c r="Q133" s="506"/>
      <c r="T133" s="506"/>
    </row>
    <row r="134" spans="13:20" x14ac:dyDescent="0.25">
      <c r="M134"/>
      <c r="P134"/>
      <c r="Q134" s="506"/>
      <c r="T134" s="506"/>
    </row>
    <row r="135" spans="13:20" x14ac:dyDescent="0.25">
      <c r="M135"/>
      <c r="P135"/>
      <c r="Q135" s="506"/>
      <c r="T135" s="506"/>
    </row>
    <row r="136" spans="13:20" x14ac:dyDescent="0.25">
      <c r="M136"/>
      <c r="P136"/>
      <c r="Q136" s="506"/>
      <c r="T136" s="506"/>
    </row>
    <row r="137" spans="13:20" x14ac:dyDescent="0.25">
      <c r="M137"/>
      <c r="P137"/>
      <c r="Q137" s="506"/>
      <c r="T137" s="506"/>
    </row>
    <row r="138" spans="13:20" x14ac:dyDescent="0.25">
      <c r="M138"/>
      <c r="P138"/>
      <c r="Q138" s="506"/>
      <c r="T138" s="506"/>
    </row>
    <row r="139" spans="13:20" x14ac:dyDescent="0.25">
      <c r="M139"/>
      <c r="P139"/>
      <c r="Q139" s="506"/>
      <c r="T139" s="506"/>
    </row>
    <row r="140" spans="13:20" x14ac:dyDescent="0.25">
      <c r="M140"/>
      <c r="P140"/>
      <c r="Q140" s="506"/>
      <c r="T140" s="506"/>
    </row>
    <row r="141" spans="13:20" x14ac:dyDescent="0.25">
      <c r="M141"/>
      <c r="P141"/>
      <c r="Q141" s="506"/>
      <c r="T141" s="506"/>
    </row>
    <row r="142" spans="13:20" x14ac:dyDescent="0.25">
      <c r="M142"/>
      <c r="P142"/>
      <c r="Q142" s="506"/>
      <c r="T142" s="506"/>
    </row>
    <row r="143" spans="13:20" x14ac:dyDescent="0.25">
      <c r="M143"/>
      <c r="P143"/>
      <c r="Q143" s="506"/>
      <c r="T143" s="506"/>
    </row>
    <row r="144" spans="13:20" x14ac:dyDescent="0.25">
      <c r="M144"/>
      <c r="P144"/>
      <c r="Q144" s="506"/>
      <c r="T144" s="506"/>
    </row>
    <row r="145" spans="13:20" x14ac:dyDescent="0.25">
      <c r="M145"/>
      <c r="P145"/>
      <c r="Q145" s="506"/>
      <c r="T145" s="506"/>
    </row>
    <row r="146" spans="13:20" x14ac:dyDescent="0.25">
      <c r="M146"/>
      <c r="P146"/>
      <c r="Q146" s="506"/>
      <c r="T146" s="506"/>
    </row>
    <row r="147" spans="13:20" x14ac:dyDescent="0.25">
      <c r="M147"/>
      <c r="P147"/>
      <c r="Q147" s="506"/>
      <c r="T147" s="506"/>
    </row>
    <row r="148" spans="13:20" x14ac:dyDescent="0.25">
      <c r="M148"/>
      <c r="P148"/>
      <c r="Q148" s="506"/>
      <c r="T148" s="506"/>
    </row>
    <row r="149" spans="13:20" x14ac:dyDescent="0.25">
      <c r="M149"/>
      <c r="P149"/>
      <c r="Q149" s="506"/>
      <c r="T149" s="506"/>
    </row>
    <row r="150" spans="13:20" x14ac:dyDescent="0.25">
      <c r="M150"/>
      <c r="P150"/>
      <c r="Q150" s="506"/>
      <c r="T150" s="506"/>
    </row>
    <row r="151" spans="13:20" x14ac:dyDescent="0.25">
      <c r="M151"/>
      <c r="P151"/>
      <c r="Q151" s="506"/>
      <c r="T151" s="506"/>
    </row>
    <row r="152" spans="13:20" x14ac:dyDescent="0.25">
      <c r="M152"/>
      <c r="P152"/>
      <c r="Q152" s="506"/>
      <c r="T152" s="506"/>
    </row>
    <row r="153" spans="13:20" x14ac:dyDescent="0.25">
      <c r="M153"/>
      <c r="P153"/>
      <c r="Q153" s="506"/>
      <c r="T153" s="506"/>
    </row>
    <row r="154" spans="13:20" x14ac:dyDescent="0.25">
      <c r="M154"/>
      <c r="P154"/>
      <c r="Q154" s="506"/>
      <c r="T154" s="506"/>
    </row>
    <row r="155" spans="13:20" x14ac:dyDescent="0.25">
      <c r="M155"/>
      <c r="P155"/>
      <c r="Q155" s="506"/>
      <c r="T155" s="506"/>
    </row>
    <row r="156" spans="13:20" x14ac:dyDescent="0.25">
      <c r="M156"/>
      <c r="P156"/>
      <c r="Q156" s="506"/>
      <c r="T156" s="506"/>
    </row>
    <row r="157" spans="13:20" x14ac:dyDescent="0.25">
      <c r="M157"/>
      <c r="P157"/>
      <c r="Q157" s="506"/>
      <c r="T157" s="506"/>
    </row>
    <row r="158" spans="13:20" x14ac:dyDescent="0.25">
      <c r="M158"/>
      <c r="P158"/>
      <c r="Q158" s="506"/>
      <c r="T158" s="506"/>
    </row>
    <row r="159" spans="13:20" x14ac:dyDescent="0.25">
      <c r="M159"/>
      <c r="P159"/>
      <c r="Q159" s="506"/>
      <c r="T159" s="506"/>
    </row>
    <row r="160" spans="13:20" x14ac:dyDescent="0.25">
      <c r="M160"/>
      <c r="P160"/>
      <c r="Q160" s="506"/>
      <c r="T160" s="506"/>
    </row>
    <row r="161" spans="13:20" x14ac:dyDescent="0.25">
      <c r="M161"/>
      <c r="P161"/>
      <c r="Q161" s="506"/>
      <c r="T161" s="506"/>
    </row>
    <row r="162" spans="13:20" x14ac:dyDescent="0.25">
      <c r="M162"/>
      <c r="P162"/>
      <c r="Q162" s="506"/>
      <c r="T162" s="506"/>
    </row>
    <row r="163" spans="13:20" x14ac:dyDescent="0.25">
      <c r="M163"/>
      <c r="P163"/>
      <c r="Q163" s="506"/>
      <c r="T163" s="506"/>
    </row>
    <row r="164" spans="13:20" x14ac:dyDescent="0.25">
      <c r="M164"/>
      <c r="P164"/>
      <c r="Q164" s="506"/>
      <c r="T164" s="506"/>
    </row>
    <row r="165" spans="13:20" x14ac:dyDescent="0.25">
      <c r="M165"/>
      <c r="P165"/>
      <c r="Q165" s="506"/>
      <c r="T165" s="506"/>
    </row>
    <row r="166" spans="13:20" x14ac:dyDescent="0.25">
      <c r="M166"/>
      <c r="P166"/>
      <c r="Q166" s="506"/>
      <c r="T166" s="506"/>
    </row>
    <row r="167" spans="13:20" x14ac:dyDescent="0.25">
      <c r="M167"/>
      <c r="P167"/>
      <c r="Q167" s="506"/>
      <c r="T167" s="506"/>
    </row>
    <row r="168" spans="13:20" x14ac:dyDescent="0.25">
      <c r="M168"/>
      <c r="P168"/>
      <c r="Q168" s="506"/>
      <c r="T168" s="506"/>
    </row>
    <row r="169" spans="13:20" x14ac:dyDescent="0.25">
      <c r="M169"/>
      <c r="P169"/>
      <c r="Q169" s="506"/>
      <c r="T169" s="506"/>
    </row>
    <row r="170" spans="13:20" x14ac:dyDescent="0.25">
      <c r="M170"/>
      <c r="P170"/>
      <c r="Q170" s="506"/>
      <c r="T170" s="506"/>
    </row>
    <row r="171" spans="13:20" x14ac:dyDescent="0.25">
      <c r="M171"/>
      <c r="P171"/>
      <c r="Q171" s="506"/>
      <c r="T171" s="506"/>
    </row>
    <row r="172" spans="13:20" x14ac:dyDescent="0.25">
      <c r="M172"/>
      <c r="P172"/>
      <c r="Q172" s="506"/>
      <c r="T172" s="506"/>
    </row>
    <row r="173" spans="13:20" x14ac:dyDescent="0.25">
      <c r="M173"/>
      <c r="P173"/>
      <c r="Q173" s="506"/>
      <c r="T173" s="506"/>
    </row>
    <row r="174" spans="13:20" x14ac:dyDescent="0.25">
      <c r="M174"/>
      <c r="P174"/>
      <c r="Q174" s="506"/>
      <c r="T174" s="506"/>
    </row>
    <row r="175" spans="13:20" x14ac:dyDescent="0.25">
      <c r="M175"/>
      <c r="P175"/>
      <c r="Q175" s="506"/>
      <c r="T175" s="506"/>
    </row>
    <row r="176" spans="13:20" x14ac:dyDescent="0.25">
      <c r="M176"/>
      <c r="P176"/>
      <c r="Q176" s="506"/>
      <c r="T176" s="506"/>
    </row>
    <row r="177" spans="13:20" x14ac:dyDescent="0.25">
      <c r="M177"/>
      <c r="P177"/>
      <c r="Q177" s="506"/>
      <c r="T177" s="506"/>
    </row>
    <row r="178" spans="13:20" x14ac:dyDescent="0.25">
      <c r="M178"/>
      <c r="P178"/>
      <c r="Q178" s="506"/>
      <c r="T178" s="506"/>
    </row>
    <row r="179" spans="13:20" x14ac:dyDescent="0.25">
      <c r="M179"/>
      <c r="P179"/>
      <c r="Q179" s="506"/>
      <c r="T179" s="506"/>
    </row>
    <row r="180" spans="13:20" x14ac:dyDescent="0.25">
      <c r="M180"/>
      <c r="P180"/>
      <c r="Q180" s="506"/>
      <c r="T180" s="506"/>
    </row>
    <row r="181" spans="13:20" x14ac:dyDescent="0.25">
      <c r="M181"/>
      <c r="P181"/>
      <c r="Q181" s="506"/>
      <c r="T181" s="506"/>
    </row>
    <row r="182" spans="13:20" x14ac:dyDescent="0.25">
      <c r="M182"/>
      <c r="P182"/>
      <c r="Q182" s="506"/>
      <c r="T182" s="506"/>
    </row>
    <row r="183" spans="13:20" x14ac:dyDescent="0.25">
      <c r="M183"/>
      <c r="P183"/>
      <c r="Q183" s="506"/>
      <c r="T183" s="506"/>
    </row>
    <row r="184" spans="13:20" x14ac:dyDescent="0.25">
      <c r="M184"/>
      <c r="P184"/>
      <c r="Q184" s="506"/>
      <c r="T184" s="506"/>
    </row>
    <row r="185" spans="13:20" x14ac:dyDescent="0.25">
      <c r="M185"/>
      <c r="P185"/>
      <c r="Q185" s="506"/>
      <c r="T185" s="506"/>
    </row>
    <row r="186" spans="13:20" x14ac:dyDescent="0.25">
      <c r="M186"/>
      <c r="P186"/>
      <c r="Q186" s="506"/>
      <c r="T186" s="506"/>
    </row>
    <row r="187" spans="13:20" x14ac:dyDescent="0.25">
      <c r="M187"/>
      <c r="P187"/>
      <c r="Q187" s="506"/>
      <c r="T187" s="506"/>
    </row>
    <row r="188" spans="13:20" x14ac:dyDescent="0.25">
      <c r="M188"/>
      <c r="P188"/>
      <c r="Q188" s="506"/>
      <c r="T188" s="506"/>
    </row>
    <row r="189" spans="13:20" x14ac:dyDescent="0.25">
      <c r="M189"/>
      <c r="P189"/>
      <c r="Q189" s="506"/>
      <c r="T189" s="506"/>
    </row>
    <row r="190" spans="13:20" x14ac:dyDescent="0.25">
      <c r="M190"/>
      <c r="P190"/>
      <c r="Q190" s="506"/>
      <c r="T190" s="506"/>
    </row>
    <row r="191" spans="13:20" x14ac:dyDescent="0.25">
      <c r="M191"/>
      <c r="P191"/>
      <c r="Q191" s="506"/>
      <c r="T191" s="506"/>
    </row>
    <row r="192" spans="13:20" x14ac:dyDescent="0.25">
      <c r="M192"/>
      <c r="P192"/>
      <c r="Q192" s="506"/>
      <c r="T192" s="506"/>
    </row>
    <row r="193" spans="13:20" x14ac:dyDescent="0.25">
      <c r="M193"/>
      <c r="P193"/>
      <c r="Q193" s="506"/>
      <c r="T193" s="506"/>
    </row>
    <row r="194" spans="13:20" x14ac:dyDescent="0.25">
      <c r="M194"/>
      <c r="P194"/>
      <c r="Q194" s="506"/>
      <c r="T194" s="506"/>
    </row>
    <row r="195" spans="13:20" x14ac:dyDescent="0.25">
      <c r="M195"/>
      <c r="P195"/>
      <c r="Q195" s="506"/>
      <c r="T195" s="506"/>
    </row>
    <row r="196" spans="13:20" x14ac:dyDescent="0.25">
      <c r="M196"/>
      <c r="P196"/>
      <c r="Q196" s="506"/>
      <c r="T196" s="506"/>
    </row>
    <row r="197" spans="13:20" x14ac:dyDescent="0.25">
      <c r="M197"/>
      <c r="P197"/>
      <c r="Q197" s="506"/>
      <c r="T197" s="506"/>
    </row>
    <row r="198" spans="13:20" x14ac:dyDescent="0.25">
      <c r="M198"/>
      <c r="P198"/>
      <c r="Q198" s="506"/>
      <c r="T198" s="506"/>
    </row>
    <row r="199" spans="13:20" x14ac:dyDescent="0.25">
      <c r="M199"/>
      <c r="P199"/>
      <c r="Q199" s="506"/>
      <c r="T199" s="506"/>
    </row>
    <row r="200" spans="13:20" x14ac:dyDescent="0.25">
      <c r="M200"/>
      <c r="P200"/>
      <c r="Q200" s="506"/>
      <c r="T200" s="506"/>
    </row>
    <row r="201" spans="13:20" x14ac:dyDescent="0.25">
      <c r="M201"/>
      <c r="P201"/>
      <c r="Q201" s="506"/>
      <c r="T201" s="506"/>
    </row>
    <row r="202" spans="13:20" x14ac:dyDescent="0.25">
      <c r="M202"/>
      <c r="P202"/>
      <c r="Q202" s="506"/>
      <c r="T202" s="506"/>
    </row>
    <row r="203" spans="13:20" x14ac:dyDescent="0.25">
      <c r="M203"/>
      <c r="P203"/>
      <c r="Q203" s="506"/>
      <c r="T203" s="506"/>
    </row>
    <row r="204" spans="13:20" x14ac:dyDescent="0.25">
      <c r="M204"/>
      <c r="P204"/>
      <c r="Q204" s="506"/>
      <c r="T204" s="506"/>
    </row>
    <row r="205" spans="13:20" x14ac:dyDescent="0.25">
      <c r="M205"/>
      <c r="P205"/>
      <c r="Q205" s="506"/>
      <c r="T205" s="506"/>
    </row>
    <row r="206" spans="13:20" x14ac:dyDescent="0.25">
      <c r="M206"/>
      <c r="P206"/>
      <c r="Q206" s="506"/>
      <c r="T206" s="506"/>
    </row>
    <row r="207" spans="13:20" x14ac:dyDescent="0.25">
      <c r="M207"/>
      <c r="P207"/>
      <c r="Q207" s="506"/>
      <c r="T207" s="506"/>
    </row>
    <row r="208" spans="13:20" x14ac:dyDescent="0.25">
      <c r="M208"/>
      <c r="P208"/>
      <c r="Q208" s="506"/>
      <c r="T208" s="506"/>
    </row>
    <row r="209" spans="13:20" x14ac:dyDescent="0.25">
      <c r="M209"/>
      <c r="P209"/>
      <c r="Q209" s="506"/>
      <c r="T209" s="506"/>
    </row>
    <row r="210" spans="13:20" x14ac:dyDescent="0.25">
      <c r="M210"/>
      <c r="P210"/>
      <c r="Q210" s="506"/>
      <c r="T210" s="506"/>
    </row>
    <row r="211" spans="13:20" x14ac:dyDescent="0.25">
      <c r="M211"/>
      <c r="P211"/>
      <c r="Q211" s="506"/>
      <c r="T211" s="506"/>
    </row>
    <row r="212" spans="13:20" x14ac:dyDescent="0.25">
      <c r="M212"/>
      <c r="P212"/>
      <c r="Q212" s="506"/>
      <c r="T212" s="506"/>
    </row>
    <row r="213" spans="13:20" x14ac:dyDescent="0.25">
      <c r="M213"/>
      <c r="P213"/>
      <c r="Q213" s="506"/>
      <c r="T213" s="506"/>
    </row>
    <row r="214" spans="13:20" x14ac:dyDescent="0.25">
      <c r="M214"/>
      <c r="P214"/>
      <c r="Q214" s="506"/>
      <c r="T214" s="506"/>
    </row>
    <row r="215" spans="13:20" x14ac:dyDescent="0.25">
      <c r="M215"/>
      <c r="P215"/>
      <c r="Q215" s="506"/>
      <c r="T215" s="506"/>
    </row>
    <row r="216" spans="13:20" x14ac:dyDescent="0.25">
      <c r="M216"/>
      <c r="P216"/>
      <c r="Q216" s="506"/>
      <c r="T216" s="506"/>
    </row>
    <row r="217" spans="13:20" x14ac:dyDescent="0.25">
      <c r="M217"/>
      <c r="P217"/>
      <c r="Q217" s="506"/>
      <c r="T217" s="506"/>
    </row>
    <row r="218" spans="13:20" x14ac:dyDescent="0.25">
      <c r="M218"/>
      <c r="P218"/>
      <c r="Q218" s="506"/>
      <c r="T218" s="506"/>
    </row>
    <row r="219" spans="13:20" x14ac:dyDescent="0.25">
      <c r="M219"/>
      <c r="P219"/>
      <c r="Q219" s="506"/>
      <c r="T219" s="506"/>
    </row>
    <row r="220" spans="13:20" x14ac:dyDescent="0.25">
      <c r="M220"/>
      <c r="P220"/>
      <c r="Q220" s="506"/>
      <c r="T220" s="506"/>
    </row>
    <row r="221" spans="13:20" x14ac:dyDescent="0.25">
      <c r="M221"/>
      <c r="P221"/>
      <c r="Q221" s="506"/>
      <c r="T221" s="506"/>
    </row>
    <row r="222" spans="13:20" x14ac:dyDescent="0.25">
      <c r="M222"/>
      <c r="P222"/>
      <c r="Q222" s="506"/>
      <c r="T222" s="506"/>
    </row>
    <row r="223" spans="13:20" x14ac:dyDescent="0.25">
      <c r="M223"/>
      <c r="P223"/>
      <c r="Q223" s="506"/>
      <c r="T223" s="506"/>
    </row>
    <row r="224" spans="13:20" x14ac:dyDescent="0.25">
      <c r="M224"/>
      <c r="P224"/>
      <c r="Q224" s="506"/>
      <c r="T224" s="506"/>
    </row>
    <row r="225" spans="13:20" x14ac:dyDescent="0.25">
      <c r="M225"/>
      <c r="P225"/>
      <c r="Q225" s="506"/>
      <c r="T225" s="506"/>
    </row>
    <row r="226" spans="13:20" x14ac:dyDescent="0.25">
      <c r="M226"/>
      <c r="P226"/>
      <c r="Q226" s="506"/>
      <c r="T226" s="506"/>
    </row>
    <row r="227" spans="13:20" x14ac:dyDescent="0.25">
      <c r="M227"/>
      <c r="P227"/>
      <c r="Q227" s="506"/>
      <c r="T227" s="506"/>
    </row>
    <row r="228" spans="13:20" x14ac:dyDescent="0.25">
      <c r="M228"/>
      <c r="P228"/>
      <c r="Q228" s="506"/>
      <c r="T228" s="506"/>
    </row>
    <row r="229" spans="13:20" x14ac:dyDescent="0.25">
      <c r="M229"/>
      <c r="P229"/>
      <c r="Q229" s="506"/>
      <c r="T229" s="506"/>
    </row>
    <row r="230" spans="13:20" x14ac:dyDescent="0.25">
      <c r="M230"/>
      <c r="P230"/>
      <c r="Q230" s="506"/>
      <c r="T230" s="506"/>
    </row>
    <row r="231" spans="13:20" x14ac:dyDescent="0.25">
      <c r="M231"/>
      <c r="P231"/>
      <c r="Q231" s="506"/>
      <c r="T231" s="506"/>
    </row>
    <row r="232" spans="13:20" x14ac:dyDescent="0.25">
      <c r="M232"/>
      <c r="P232"/>
      <c r="Q232" s="506"/>
      <c r="T232" s="506"/>
    </row>
    <row r="233" spans="13:20" x14ac:dyDescent="0.25">
      <c r="M233"/>
      <c r="P233"/>
      <c r="Q233" s="506"/>
      <c r="T233" s="506"/>
    </row>
    <row r="234" spans="13:20" x14ac:dyDescent="0.25">
      <c r="M234"/>
      <c r="P234"/>
      <c r="Q234" s="506"/>
      <c r="T234" s="506"/>
    </row>
    <row r="235" spans="13:20" x14ac:dyDescent="0.25">
      <c r="M235"/>
      <c r="P235"/>
      <c r="Q235" s="506"/>
      <c r="T235" s="506"/>
    </row>
    <row r="236" spans="13:20" x14ac:dyDescent="0.25">
      <c r="M236"/>
      <c r="P236"/>
      <c r="Q236" s="506"/>
      <c r="T236" s="506"/>
    </row>
    <row r="237" spans="13:20" x14ac:dyDescent="0.25">
      <c r="M237"/>
      <c r="P237"/>
      <c r="Q237" s="506"/>
      <c r="T237" s="506"/>
    </row>
    <row r="238" spans="13:20" x14ac:dyDescent="0.25">
      <c r="M238"/>
      <c r="P238"/>
      <c r="Q238" s="506"/>
      <c r="T238" s="506"/>
    </row>
    <row r="239" spans="13:20" x14ac:dyDescent="0.25">
      <c r="M239"/>
      <c r="P239"/>
      <c r="Q239" s="506"/>
      <c r="T239" s="506"/>
    </row>
    <row r="240" spans="13:20" x14ac:dyDescent="0.25">
      <c r="M240"/>
      <c r="P240"/>
      <c r="Q240" s="506"/>
      <c r="T240" s="506"/>
    </row>
    <row r="241" spans="13:20" x14ac:dyDescent="0.25">
      <c r="M241"/>
      <c r="P241"/>
      <c r="Q241" s="506"/>
      <c r="T241" s="506"/>
    </row>
    <row r="242" spans="13:20" x14ac:dyDescent="0.25">
      <c r="M242"/>
      <c r="P242"/>
      <c r="Q242" s="506"/>
      <c r="T242" s="506"/>
    </row>
    <row r="243" spans="13:20" x14ac:dyDescent="0.25">
      <c r="M243"/>
      <c r="P243"/>
      <c r="Q243" s="506"/>
      <c r="T243" s="506"/>
    </row>
    <row r="244" spans="13:20" x14ac:dyDescent="0.25">
      <c r="M244"/>
      <c r="P244"/>
      <c r="Q244" s="506"/>
      <c r="T244" s="506"/>
    </row>
    <row r="245" spans="13:20" x14ac:dyDescent="0.25">
      <c r="M245"/>
      <c r="P245"/>
      <c r="Q245" s="506"/>
      <c r="T245" s="506"/>
    </row>
    <row r="246" spans="13:20" x14ac:dyDescent="0.25">
      <c r="M246"/>
      <c r="P246"/>
      <c r="Q246" s="506"/>
      <c r="T246" s="506"/>
    </row>
    <row r="247" spans="13:20" x14ac:dyDescent="0.25">
      <c r="M247"/>
      <c r="P247"/>
      <c r="Q247" s="506"/>
      <c r="T247" s="506"/>
    </row>
    <row r="248" spans="13:20" x14ac:dyDescent="0.25">
      <c r="M248"/>
      <c r="P248"/>
      <c r="Q248" s="506"/>
      <c r="T248" s="506"/>
    </row>
    <row r="249" spans="13:20" x14ac:dyDescent="0.25">
      <c r="M249"/>
      <c r="P249"/>
      <c r="Q249" s="506"/>
      <c r="T249" s="506"/>
    </row>
    <row r="250" spans="13:20" x14ac:dyDescent="0.25">
      <c r="M250"/>
      <c r="P250"/>
      <c r="Q250" s="506"/>
      <c r="T250" s="506"/>
    </row>
    <row r="251" spans="13:20" x14ac:dyDescent="0.25">
      <c r="M251"/>
      <c r="P251"/>
      <c r="Q251" s="506"/>
      <c r="T251" s="506"/>
    </row>
    <row r="252" spans="13:20" x14ac:dyDescent="0.25">
      <c r="M252"/>
      <c r="P252"/>
      <c r="Q252" s="506"/>
      <c r="T252" s="506"/>
    </row>
    <row r="253" spans="13:20" x14ac:dyDescent="0.25">
      <c r="M253"/>
      <c r="P253"/>
      <c r="Q253" s="506"/>
      <c r="T253" s="506"/>
    </row>
    <row r="254" spans="13:20" x14ac:dyDescent="0.25">
      <c r="M254"/>
      <c r="P254"/>
      <c r="Q254" s="506"/>
      <c r="T254" s="506"/>
    </row>
    <row r="255" spans="13:20" x14ac:dyDescent="0.25">
      <c r="M255"/>
      <c r="P255"/>
      <c r="Q255" s="506"/>
      <c r="T255" s="506"/>
    </row>
    <row r="256" spans="13:20" x14ac:dyDescent="0.25">
      <c r="M256"/>
      <c r="P256"/>
      <c r="Q256" s="506"/>
      <c r="T256" s="506"/>
    </row>
    <row r="257" spans="13:20" x14ac:dyDescent="0.25">
      <c r="M257"/>
      <c r="P257"/>
      <c r="Q257" s="506"/>
      <c r="T257" s="506"/>
    </row>
    <row r="258" spans="13:20" x14ac:dyDescent="0.25">
      <c r="M258"/>
      <c r="P258"/>
      <c r="Q258" s="506"/>
      <c r="T258" s="506"/>
    </row>
    <row r="259" spans="13:20" x14ac:dyDescent="0.25">
      <c r="M259"/>
      <c r="P259"/>
      <c r="Q259" s="506"/>
      <c r="T259" s="506"/>
    </row>
    <row r="260" spans="13:20" x14ac:dyDescent="0.25">
      <c r="M260"/>
      <c r="P260"/>
      <c r="Q260" s="506"/>
      <c r="T260" s="506"/>
    </row>
    <row r="261" spans="13:20" x14ac:dyDescent="0.25">
      <c r="M261"/>
      <c r="P261"/>
      <c r="Q261" s="506"/>
      <c r="T261" s="506"/>
    </row>
    <row r="262" spans="13:20" x14ac:dyDescent="0.25">
      <c r="M262"/>
      <c r="P262"/>
      <c r="Q262" s="506"/>
      <c r="T262" s="506"/>
    </row>
    <row r="263" spans="13:20" x14ac:dyDescent="0.25">
      <c r="M263"/>
      <c r="P263"/>
      <c r="Q263" s="506"/>
      <c r="T263" s="506"/>
    </row>
    <row r="264" spans="13:20" x14ac:dyDescent="0.25">
      <c r="M264"/>
      <c r="P264"/>
      <c r="Q264" s="506"/>
      <c r="T264" s="506"/>
    </row>
    <row r="265" spans="13:20" x14ac:dyDescent="0.25">
      <c r="M265"/>
      <c r="P265"/>
      <c r="Q265" s="506"/>
      <c r="T265" s="506"/>
    </row>
    <row r="266" spans="13:20" x14ac:dyDescent="0.25">
      <c r="M266"/>
      <c r="P266"/>
      <c r="Q266" s="506"/>
      <c r="T266" s="506"/>
    </row>
    <row r="267" spans="13:20" x14ac:dyDescent="0.25">
      <c r="M267"/>
      <c r="P267"/>
      <c r="Q267" s="506"/>
      <c r="T267" s="506"/>
    </row>
    <row r="268" spans="13:20" x14ac:dyDescent="0.25">
      <c r="M268"/>
      <c r="P268"/>
      <c r="Q268" s="506"/>
      <c r="T268" s="506"/>
    </row>
    <row r="269" spans="13:20" x14ac:dyDescent="0.25">
      <c r="M269"/>
      <c r="P269"/>
      <c r="Q269" s="506"/>
      <c r="T269" s="506"/>
    </row>
    <row r="270" spans="13:20" x14ac:dyDescent="0.25">
      <c r="M270"/>
      <c r="P270"/>
      <c r="Q270" s="506"/>
      <c r="T270" s="506"/>
    </row>
    <row r="271" spans="13:20" x14ac:dyDescent="0.25">
      <c r="M271"/>
      <c r="P271"/>
      <c r="Q271" s="506"/>
      <c r="T271" s="506"/>
    </row>
    <row r="272" spans="13:20" x14ac:dyDescent="0.25">
      <c r="M272"/>
      <c r="P272"/>
      <c r="Q272" s="506"/>
      <c r="T272" s="506"/>
    </row>
    <row r="273" spans="13:20" x14ac:dyDescent="0.25">
      <c r="M273"/>
      <c r="P273"/>
      <c r="Q273" s="506"/>
      <c r="T273" s="506"/>
    </row>
    <row r="274" spans="13:20" x14ac:dyDescent="0.25">
      <c r="M274"/>
      <c r="P274"/>
      <c r="Q274" s="506"/>
      <c r="T274" s="506"/>
    </row>
    <row r="275" spans="13:20" x14ac:dyDescent="0.25">
      <c r="M275"/>
      <c r="P275"/>
      <c r="Q275" s="506"/>
      <c r="T275" s="506"/>
    </row>
    <row r="276" spans="13:20" x14ac:dyDescent="0.25">
      <c r="M276"/>
      <c r="P276"/>
      <c r="Q276" s="506"/>
      <c r="T276" s="506"/>
    </row>
    <row r="277" spans="13:20" x14ac:dyDescent="0.25">
      <c r="M277"/>
      <c r="P277"/>
      <c r="Q277" s="506"/>
      <c r="T277" s="506"/>
    </row>
    <row r="278" spans="13:20" x14ac:dyDescent="0.25">
      <c r="M278"/>
      <c r="P278"/>
      <c r="Q278" s="506"/>
      <c r="T278" s="506"/>
    </row>
    <row r="279" spans="13:20" x14ac:dyDescent="0.25">
      <c r="M279"/>
      <c r="P279"/>
      <c r="Q279" s="506"/>
      <c r="T279" s="506"/>
    </row>
    <row r="280" spans="13:20" x14ac:dyDescent="0.25">
      <c r="M280"/>
      <c r="P280"/>
      <c r="Q280" s="506"/>
      <c r="T280" s="506"/>
    </row>
    <row r="281" spans="13:20" x14ac:dyDescent="0.25">
      <c r="M281"/>
      <c r="P281"/>
      <c r="Q281" s="506"/>
      <c r="T281" s="506"/>
    </row>
    <row r="282" spans="13:20" x14ac:dyDescent="0.25">
      <c r="M282"/>
      <c r="P282"/>
      <c r="Q282" s="506"/>
      <c r="T282" s="506"/>
    </row>
    <row r="283" spans="13:20" x14ac:dyDescent="0.25">
      <c r="M283"/>
      <c r="P283"/>
      <c r="Q283" s="506"/>
      <c r="T283" s="506"/>
    </row>
    <row r="284" spans="13:20" x14ac:dyDescent="0.25">
      <c r="M284"/>
      <c r="P284"/>
      <c r="Q284" s="506"/>
      <c r="T284" s="506"/>
    </row>
    <row r="285" spans="13:20" x14ac:dyDescent="0.25">
      <c r="M285"/>
      <c r="P285"/>
      <c r="Q285" s="506"/>
      <c r="T285" s="506"/>
    </row>
    <row r="286" spans="13:20" x14ac:dyDescent="0.25">
      <c r="M286"/>
      <c r="P286"/>
      <c r="Q286" s="506"/>
      <c r="T286" s="506"/>
    </row>
    <row r="287" spans="13:20" x14ac:dyDescent="0.25">
      <c r="M287"/>
      <c r="P287"/>
      <c r="Q287" s="506"/>
      <c r="T287" s="506"/>
    </row>
    <row r="288" spans="13:20" x14ac:dyDescent="0.25">
      <c r="M288"/>
      <c r="P288"/>
      <c r="Q288" s="506"/>
      <c r="T288" s="506"/>
    </row>
    <row r="289" spans="13:20" x14ac:dyDescent="0.25">
      <c r="M289"/>
      <c r="P289"/>
      <c r="Q289" s="506"/>
      <c r="T289" s="506"/>
    </row>
    <row r="290" spans="13:20" x14ac:dyDescent="0.25">
      <c r="M290"/>
      <c r="P290"/>
      <c r="Q290" s="506"/>
      <c r="T290" s="506"/>
    </row>
    <row r="291" spans="13:20" x14ac:dyDescent="0.25">
      <c r="M291"/>
      <c r="P291"/>
      <c r="Q291" s="506"/>
      <c r="T291" s="506"/>
    </row>
    <row r="292" spans="13:20" x14ac:dyDescent="0.25">
      <c r="M292"/>
      <c r="P292"/>
      <c r="Q292" s="506"/>
      <c r="T292" s="506"/>
    </row>
    <row r="293" spans="13:20" x14ac:dyDescent="0.25">
      <c r="M293"/>
      <c r="P293"/>
      <c r="Q293" s="506"/>
      <c r="T293" s="506"/>
    </row>
    <row r="294" spans="13:20" x14ac:dyDescent="0.25">
      <c r="M294"/>
      <c r="P294"/>
      <c r="Q294" s="506"/>
      <c r="T294" s="506"/>
    </row>
    <row r="295" spans="13:20" x14ac:dyDescent="0.25">
      <c r="M295"/>
      <c r="P295"/>
      <c r="Q295" s="506"/>
      <c r="T295" s="506"/>
    </row>
    <row r="296" spans="13:20" x14ac:dyDescent="0.25">
      <c r="M296"/>
      <c r="P296"/>
      <c r="Q296" s="506"/>
      <c r="T296" s="506"/>
    </row>
    <row r="297" spans="13:20" x14ac:dyDescent="0.25">
      <c r="M297"/>
      <c r="P297"/>
      <c r="Q297" s="506"/>
      <c r="T297" s="506"/>
    </row>
    <row r="298" spans="13:20" x14ac:dyDescent="0.25">
      <c r="M298"/>
      <c r="P298"/>
      <c r="Q298" s="506"/>
      <c r="T298" s="506"/>
    </row>
    <row r="299" spans="13:20" x14ac:dyDescent="0.25">
      <c r="M299"/>
      <c r="P299"/>
      <c r="Q299" s="506"/>
      <c r="T299" s="506"/>
    </row>
  </sheetData>
  <sortState ref="A29:C33">
    <sortCondition ref="A29"/>
  </sortState>
  <mergeCells count="102">
    <mergeCell ref="U2:W2"/>
    <mergeCell ref="U3:W3"/>
    <mergeCell ref="U5:W5"/>
    <mergeCell ref="U7:V7"/>
    <mergeCell ref="U11:W11"/>
    <mergeCell ref="U1:W1"/>
    <mergeCell ref="Q42:R42"/>
    <mergeCell ref="Q45:R45"/>
    <mergeCell ref="Q21:R21"/>
    <mergeCell ref="Q23:S23"/>
    <mergeCell ref="Q25:R25"/>
    <mergeCell ref="Q37:R37"/>
    <mergeCell ref="Q40:R40"/>
    <mergeCell ref="Q11:S11"/>
    <mergeCell ref="Q12:R12"/>
    <mergeCell ref="Q14:S14"/>
    <mergeCell ref="Q15:R15"/>
    <mergeCell ref="Q18:R18"/>
    <mergeCell ref="Q1:S1"/>
    <mergeCell ref="Q2:S2"/>
    <mergeCell ref="Q3:S3"/>
    <mergeCell ref="U47:V47"/>
    <mergeCell ref="U50:V50"/>
    <mergeCell ref="Q5:S5"/>
    <mergeCell ref="Q7:R7"/>
    <mergeCell ref="U25:V25"/>
    <mergeCell ref="U41:V41"/>
    <mergeCell ref="U45:V45"/>
    <mergeCell ref="U23:W23"/>
    <mergeCell ref="U12:V12"/>
    <mergeCell ref="U14:W14"/>
    <mergeCell ref="U15:V15"/>
    <mergeCell ref="U18:V18"/>
    <mergeCell ref="U21:V21"/>
    <mergeCell ref="I1:K1"/>
    <mergeCell ref="I2:K2"/>
    <mergeCell ref="I3:K3"/>
    <mergeCell ref="I5:K5"/>
    <mergeCell ref="I7:J7"/>
    <mergeCell ref="M41:N41"/>
    <mergeCell ref="M44:N44"/>
    <mergeCell ref="M21:N21"/>
    <mergeCell ref="M23:O23"/>
    <mergeCell ref="M25:N25"/>
    <mergeCell ref="M33:N33"/>
    <mergeCell ref="M39:N39"/>
    <mergeCell ref="M11:O11"/>
    <mergeCell ref="M12:N12"/>
    <mergeCell ref="M14:O14"/>
    <mergeCell ref="M15:N15"/>
    <mergeCell ref="M18:N18"/>
    <mergeCell ref="M1:O1"/>
    <mergeCell ref="M2:O2"/>
    <mergeCell ref="M3:O3"/>
    <mergeCell ref="M5:O5"/>
    <mergeCell ref="M7:N7"/>
    <mergeCell ref="I50:J50"/>
    <mergeCell ref="I53:J53"/>
    <mergeCell ref="I21:J21"/>
    <mergeCell ref="I23:K23"/>
    <mergeCell ref="I25:J25"/>
    <mergeCell ref="I42:J42"/>
    <mergeCell ref="I48:J48"/>
    <mergeCell ref="I11:K11"/>
    <mergeCell ref="I12:J12"/>
    <mergeCell ref="I14:K14"/>
    <mergeCell ref="I15:J15"/>
    <mergeCell ref="I18:J18"/>
    <mergeCell ref="A1:C1"/>
    <mergeCell ref="A2:C2"/>
    <mergeCell ref="A3:C3"/>
    <mergeCell ref="A5:C5"/>
    <mergeCell ref="A7:B7"/>
    <mergeCell ref="E51:F51"/>
    <mergeCell ref="E54:F54"/>
    <mergeCell ref="E23:F23"/>
    <mergeCell ref="E25:G25"/>
    <mergeCell ref="E27:F27"/>
    <mergeCell ref="E43:F43"/>
    <mergeCell ref="E49:F49"/>
    <mergeCell ref="E13:G13"/>
    <mergeCell ref="E14:F14"/>
    <mergeCell ref="E16:G16"/>
    <mergeCell ref="E17:F17"/>
    <mergeCell ref="E20:F20"/>
    <mergeCell ref="E1:G1"/>
    <mergeCell ref="E2:G2"/>
    <mergeCell ref="E3:G3"/>
    <mergeCell ref="E5:G5"/>
    <mergeCell ref="E7:F7"/>
    <mergeCell ref="A44:B44"/>
    <mergeCell ref="A47:B47"/>
    <mergeCell ref="A24:B24"/>
    <mergeCell ref="A26:C26"/>
    <mergeCell ref="A28:B28"/>
    <mergeCell ref="A38:B38"/>
    <mergeCell ref="A42:B42"/>
    <mergeCell ref="A13:C13"/>
    <mergeCell ref="A14:B14"/>
    <mergeCell ref="A17:C17"/>
    <mergeCell ref="A18:B18"/>
    <mergeCell ref="A21:B21"/>
  </mergeCells>
  <pageMargins left="0.6958333333333333" right="0.7" top="0.75" bottom="0.75" header="0.3" footer="0.3"/>
  <pageSetup paperSize="9" scale="17" orientation="portrait" r:id="rId1"/>
  <headerFooter>
    <oddHeader xml:space="preserve">&amp;CRozpočet na rok 2022
6.zmena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F22" sqref="F22"/>
    </sheetView>
  </sheetViews>
  <sheetFormatPr defaultRowHeight="15" x14ac:dyDescent="0.25"/>
  <cols>
    <col min="1" max="1" width="5.28515625" customWidth="1"/>
    <col min="4" max="4" width="10.28515625" customWidth="1"/>
    <col min="5" max="5" width="21.5703125" customWidth="1"/>
    <col min="9" max="9" width="5.85546875" customWidth="1"/>
    <col min="10" max="10" width="8.5703125" customWidth="1"/>
    <col min="11" max="11" width="9.7109375" customWidth="1"/>
    <col min="12" max="12" width="21.28515625" customWidth="1"/>
  </cols>
  <sheetData>
    <row r="1" spans="1:8" ht="18" x14ac:dyDescent="0.25">
      <c r="A1" s="793" t="s">
        <v>354</v>
      </c>
      <c r="B1" s="793"/>
      <c r="C1" s="793"/>
      <c r="D1" s="793"/>
      <c r="E1" s="793"/>
      <c r="F1" s="793"/>
      <c r="G1" s="793"/>
    </row>
    <row r="4" spans="1:8" ht="15.75" x14ac:dyDescent="0.25">
      <c r="A4" s="843" t="s">
        <v>355</v>
      </c>
      <c r="B4" s="843"/>
      <c r="C4" s="843"/>
      <c r="D4" s="843"/>
      <c r="E4" s="843"/>
      <c r="F4" s="843"/>
      <c r="G4" s="843"/>
    </row>
    <row r="5" spans="1:8" ht="15.75" x14ac:dyDescent="0.25">
      <c r="A5" s="843" t="s">
        <v>506</v>
      </c>
      <c r="B5" s="843"/>
      <c r="C5" s="843"/>
      <c r="D5" s="843"/>
      <c r="E5" s="843"/>
      <c r="F5" s="843"/>
      <c r="G5" s="843"/>
    </row>
    <row r="6" spans="1:8" ht="15.75" thickBot="1" x14ac:dyDescent="0.3"/>
    <row r="7" spans="1:8" ht="39" thickBot="1" x14ac:dyDescent="0.3">
      <c r="A7" s="587" t="s">
        <v>356</v>
      </c>
      <c r="B7" s="588" t="s">
        <v>357</v>
      </c>
      <c r="C7" s="588" t="s">
        <v>507</v>
      </c>
      <c r="D7" s="588" t="s">
        <v>358</v>
      </c>
      <c r="E7" s="589" t="s">
        <v>359</v>
      </c>
      <c r="F7" s="590" t="s">
        <v>360</v>
      </c>
      <c r="G7" s="591" t="s">
        <v>361</v>
      </c>
    </row>
    <row r="8" spans="1:8" x14ac:dyDescent="0.25">
      <c r="A8" s="592" t="s">
        <v>362</v>
      </c>
      <c r="B8" s="593"/>
      <c r="C8" s="593" t="s">
        <v>429</v>
      </c>
      <c r="D8" s="594">
        <v>44592</v>
      </c>
      <c r="E8" s="593" t="s">
        <v>416</v>
      </c>
      <c r="F8" s="595">
        <v>0</v>
      </c>
      <c r="G8" s="596">
        <v>0</v>
      </c>
    </row>
    <row r="9" spans="1:8" x14ac:dyDescent="0.25">
      <c r="A9" s="597" t="s">
        <v>417</v>
      </c>
      <c r="B9" s="598"/>
      <c r="C9" s="598" t="s">
        <v>430</v>
      </c>
      <c r="D9" s="599">
        <v>44620</v>
      </c>
      <c r="E9" s="600" t="s">
        <v>418</v>
      </c>
      <c r="F9" s="601">
        <v>26230</v>
      </c>
      <c r="G9" s="602">
        <v>26230</v>
      </c>
    </row>
    <row r="10" spans="1:8" x14ac:dyDescent="0.25">
      <c r="A10" s="603" t="s">
        <v>457</v>
      </c>
      <c r="B10" s="598"/>
      <c r="C10" s="598" t="s">
        <v>432</v>
      </c>
      <c r="D10" s="599">
        <v>44645</v>
      </c>
      <c r="E10" s="600" t="s">
        <v>433</v>
      </c>
      <c r="F10" s="601">
        <v>9135</v>
      </c>
      <c r="G10" s="602">
        <v>9135</v>
      </c>
    </row>
    <row r="11" spans="1:8" x14ac:dyDescent="0.25">
      <c r="A11" s="603" t="s">
        <v>458</v>
      </c>
      <c r="B11" s="604">
        <v>962</v>
      </c>
      <c r="C11" s="604" t="s">
        <v>477</v>
      </c>
      <c r="D11" s="599">
        <v>44651</v>
      </c>
      <c r="E11" s="600" t="s">
        <v>433</v>
      </c>
      <c r="F11" s="601">
        <v>10010</v>
      </c>
      <c r="G11" s="602">
        <v>6020</v>
      </c>
      <c r="H11" s="464">
        <f>F11-G11</f>
        <v>3990</v>
      </c>
    </row>
    <row r="12" spans="1:8" x14ac:dyDescent="0.25">
      <c r="A12" s="603" t="s">
        <v>495</v>
      </c>
      <c r="B12" s="604"/>
      <c r="C12" s="604" t="s">
        <v>544</v>
      </c>
      <c r="D12" s="599">
        <v>44679</v>
      </c>
      <c r="E12" s="600" t="s">
        <v>418</v>
      </c>
      <c r="F12" s="601">
        <v>3938</v>
      </c>
      <c r="G12" s="602">
        <v>3938</v>
      </c>
      <c r="H12" s="464"/>
    </row>
    <row r="13" spans="1:8" x14ac:dyDescent="0.25">
      <c r="A13" s="603" t="s">
        <v>545</v>
      </c>
      <c r="B13" s="598">
        <v>985</v>
      </c>
      <c r="C13" s="604" t="s">
        <v>496</v>
      </c>
      <c r="D13" s="599">
        <v>44680</v>
      </c>
      <c r="E13" s="600" t="s">
        <v>418</v>
      </c>
      <c r="F13" s="601">
        <v>13400</v>
      </c>
      <c r="G13" s="602">
        <v>13400</v>
      </c>
    </row>
    <row r="14" spans="1:8" x14ac:dyDescent="0.25">
      <c r="A14" s="603" t="s">
        <v>557</v>
      </c>
      <c r="B14" s="604"/>
      <c r="C14" s="604" t="s">
        <v>558</v>
      </c>
      <c r="D14" s="599">
        <v>44708</v>
      </c>
      <c r="E14" s="600" t="s">
        <v>418</v>
      </c>
      <c r="F14" s="601">
        <v>6221</v>
      </c>
      <c r="G14" s="602">
        <v>6221</v>
      </c>
    </row>
    <row r="15" spans="1:8" x14ac:dyDescent="0.25">
      <c r="A15" s="603" t="s">
        <v>559</v>
      </c>
      <c r="B15" s="598">
        <v>1016</v>
      </c>
      <c r="C15" s="604" t="s">
        <v>560</v>
      </c>
      <c r="D15" s="599">
        <v>44708</v>
      </c>
      <c r="E15" s="600" t="s">
        <v>418</v>
      </c>
      <c r="F15" s="601">
        <v>343</v>
      </c>
      <c r="G15" s="602">
        <v>4333</v>
      </c>
    </row>
    <row r="16" spans="1:8" x14ac:dyDescent="0.25">
      <c r="A16" s="603" t="s">
        <v>614</v>
      </c>
      <c r="B16" s="604"/>
      <c r="C16" s="604" t="s">
        <v>616</v>
      </c>
      <c r="D16" s="599">
        <v>44729</v>
      </c>
      <c r="E16" s="600" t="s">
        <v>418</v>
      </c>
      <c r="F16" s="601">
        <v>1450</v>
      </c>
      <c r="G16" s="602">
        <v>1450</v>
      </c>
    </row>
    <row r="17" spans="1:7" x14ac:dyDescent="0.25">
      <c r="A17" s="603" t="s">
        <v>615</v>
      </c>
      <c r="B17" s="604">
        <v>1041</v>
      </c>
      <c r="C17" s="604" t="s">
        <v>617</v>
      </c>
      <c r="D17" s="599">
        <v>44729</v>
      </c>
      <c r="E17" s="604" t="s">
        <v>433</v>
      </c>
      <c r="F17" s="601">
        <v>7086</v>
      </c>
      <c r="G17" s="602">
        <v>7086</v>
      </c>
    </row>
    <row r="18" spans="1:7" x14ac:dyDescent="0.25">
      <c r="A18" s="757" t="s">
        <v>683</v>
      </c>
      <c r="B18" s="600"/>
      <c r="C18" s="604" t="s">
        <v>685</v>
      </c>
      <c r="D18" s="599">
        <v>44771</v>
      </c>
      <c r="E18" s="600" t="s">
        <v>418</v>
      </c>
      <c r="F18" s="601">
        <v>19656</v>
      </c>
      <c r="G18" s="602">
        <v>19656</v>
      </c>
    </row>
    <row r="19" spans="1:7" x14ac:dyDescent="0.25">
      <c r="A19" s="603" t="s">
        <v>684</v>
      </c>
      <c r="B19" s="604">
        <v>1065</v>
      </c>
      <c r="C19" s="604" t="s">
        <v>686</v>
      </c>
      <c r="D19" s="599">
        <v>44791</v>
      </c>
      <c r="E19" s="604" t="s">
        <v>433</v>
      </c>
      <c r="F19" s="601">
        <v>16777</v>
      </c>
      <c r="G19" s="602">
        <v>16777</v>
      </c>
    </row>
    <row r="20" spans="1:7" x14ac:dyDescent="0.25">
      <c r="A20" s="605">
        <v>13</v>
      </c>
      <c r="B20" s="606"/>
      <c r="C20" s="606" t="s">
        <v>705</v>
      </c>
      <c r="D20" s="607">
        <v>44804</v>
      </c>
      <c r="E20" s="600" t="s">
        <v>734</v>
      </c>
      <c r="F20" s="608">
        <v>0</v>
      </c>
      <c r="G20" s="609">
        <v>0</v>
      </c>
    </row>
    <row r="21" spans="1:7" x14ac:dyDescent="0.25">
      <c r="A21" s="603">
        <v>14</v>
      </c>
      <c r="B21" s="598"/>
      <c r="C21" s="604" t="s">
        <v>735</v>
      </c>
      <c r="D21" s="599">
        <v>44827</v>
      </c>
      <c r="E21" s="604" t="s">
        <v>433</v>
      </c>
      <c r="F21" s="601"/>
      <c r="G21" s="602"/>
    </row>
    <row r="22" spans="1:7" ht="15.75" thickBot="1" x14ac:dyDescent="0.3">
      <c r="A22" s="768">
        <v>14</v>
      </c>
      <c r="B22" s="769"/>
      <c r="C22" s="772" t="s">
        <v>736</v>
      </c>
      <c r="D22" s="773">
        <v>44804</v>
      </c>
      <c r="E22" s="772" t="s">
        <v>734</v>
      </c>
      <c r="F22" s="770">
        <v>0</v>
      </c>
      <c r="G22" s="771">
        <v>0</v>
      </c>
    </row>
    <row r="23" spans="1:7" ht="17.25" customHeight="1" x14ac:dyDescent="0.25"/>
    <row r="24" spans="1:7" ht="24" customHeight="1" x14ac:dyDescent="0.25">
      <c r="A24" s="610" t="s">
        <v>363</v>
      </c>
      <c r="B24" s="611"/>
      <c r="C24" s="611"/>
      <c r="D24" s="610" t="s">
        <v>364</v>
      </c>
      <c r="E24" s="611"/>
      <c r="F24" s="611"/>
      <c r="G24" s="611"/>
    </row>
    <row r="25" spans="1:7" x14ac:dyDescent="0.25">
      <c r="A25" s="842" t="s">
        <v>365</v>
      </c>
      <c r="B25" s="842"/>
      <c r="C25" s="842"/>
      <c r="D25" s="842"/>
      <c r="E25" s="842"/>
      <c r="F25" s="842"/>
      <c r="G25" s="842"/>
    </row>
    <row r="26" spans="1:7" x14ac:dyDescent="0.25">
      <c r="A26" s="842" t="s">
        <v>366</v>
      </c>
      <c r="B26" s="842"/>
      <c r="C26" s="842"/>
      <c r="D26" s="842"/>
      <c r="E26" s="842"/>
      <c r="F26" s="842"/>
      <c r="G26" s="842"/>
    </row>
    <row r="27" spans="1:7" x14ac:dyDescent="0.25">
      <c r="A27" s="842" t="s">
        <v>367</v>
      </c>
      <c r="B27" s="842"/>
      <c r="C27" s="842"/>
      <c r="D27" s="842"/>
      <c r="E27" s="842"/>
      <c r="F27" s="842"/>
      <c r="G27" s="842"/>
    </row>
    <row r="28" spans="1:7" x14ac:dyDescent="0.25">
      <c r="A28" s="842" t="s">
        <v>368</v>
      </c>
      <c r="B28" s="842"/>
      <c r="C28" s="842"/>
      <c r="D28" s="842"/>
      <c r="E28" s="842"/>
      <c r="F28" s="842"/>
      <c r="G28" s="842"/>
    </row>
    <row r="30" spans="1:7" x14ac:dyDescent="0.25">
      <c r="A30" s="586" t="s">
        <v>702</v>
      </c>
    </row>
    <row r="31" spans="1:7" x14ac:dyDescent="0.25">
      <c r="A31" t="s">
        <v>217</v>
      </c>
    </row>
    <row r="33" spans="1:1" x14ac:dyDescent="0.25">
      <c r="A33" t="s">
        <v>369</v>
      </c>
    </row>
  </sheetData>
  <mergeCells count="7">
    <mergeCell ref="A28:G28"/>
    <mergeCell ref="A1:G1"/>
    <mergeCell ref="A4:G4"/>
    <mergeCell ref="A5:G5"/>
    <mergeCell ref="A25:G25"/>
    <mergeCell ref="A26:G26"/>
    <mergeCell ref="A27:G2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6"/>
  <sheetViews>
    <sheetView topLeftCell="A176" zoomScale="91" zoomScaleNormal="91" workbookViewId="0">
      <selection activeCell="B200" sqref="B200"/>
    </sheetView>
  </sheetViews>
  <sheetFormatPr defaultRowHeight="15" x14ac:dyDescent="0.25"/>
  <cols>
    <col min="1" max="1" width="6.42578125" customWidth="1"/>
    <col min="2" max="2" width="60.140625" customWidth="1"/>
    <col min="3" max="3" width="0.5703125" customWidth="1"/>
    <col min="4" max="4" width="12.42578125" customWidth="1"/>
    <col min="5" max="5" width="12.140625" customWidth="1"/>
    <col min="6" max="6" width="11.28515625" customWidth="1"/>
    <col min="7" max="7" width="12.5703125" customWidth="1"/>
    <col min="8" max="8" width="11.28515625" customWidth="1"/>
    <col min="9" max="9" width="12" customWidth="1"/>
    <col min="10" max="10" width="11.5703125" customWidth="1"/>
    <col min="11" max="11" width="12.85546875" customWidth="1"/>
  </cols>
  <sheetData>
    <row r="1" spans="1:20" ht="18.75" thickBot="1" x14ac:dyDescent="0.3">
      <c r="A1" s="807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1"/>
    </row>
    <row r="2" spans="1:20" ht="46.5" customHeight="1" thickBot="1" x14ac:dyDescent="0.3">
      <c r="A2" s="845" t="s">
        <v>1</v>
      </c>
      <c r="B2" s="846"/>
      <c r="C2" s="414" t="s">
        <v>2</v>
      </c>
      <c r="D2" s="415" t="s">
        <v>3</v>
      </c>
      <c r="E2" s="415" t="s">
        <v>219</v>
      </c>
      <c r="F2" s="415" t="s">
        <v>249</v>
      </c>
      <c r="G2" s="415" t="s">
        <v>250</v>
      </c>
      <c r="H2" s="415" t="s">
        <v>323</v>
      </c>
      <c r="I2" s="416">
        <v>2022</v>
      </c>
      <c r="J2" s="416">
        <v>2023</v>
      </c>
      <c r="K2" s="416">
        <v>2024</v>
      </c>
      <c r="L2" s="1"/>
    </row>
    <row r="3" spans="1:20" ht="15.75" thickBot="1" x14ac:dyDescent="0.3">
      <c r="A3" s="811" t="s">
        <v>4</v>
      </c>
      <c r="B3" s="812"/>
      <c r="C3" s="355">
        <f t="shared" ref="C3:K3" si="0">SUM(C4:C10)</f>
        <v>1027468</v>
      </c>
      <c r="D3" s="2">
        <f t="shared" si="0"/>
        <v>1080198</v>
      </c>
      <c r="E3" s="2">
        <f t="shared" si="0"/>
        <v>1187235</v>
      </c>
      <c r="F3" s="2">
        <f t="shared" si="0"/>
        <v>1227590</v>
      </c>
      <c r="G3" s="2">
        <f t="shared" si="0"/>
        <v>1241080</v>
      </c>
      <c r="H3" s="2">
        <f t="shared" ref="H3" si="1">SUM(H4:H10)</f>
        <v>1210198</v>
      </c>
      <c r="I3" s="2">
        <f t="shared" si="0"/>
        <v>1289980</v>
      </c>
      <c r="J3" s="2">
        <f t="shared" si="0"/>
        <v>1311580</v>
      </c>
      <c r="K3" s="2">
        <f t="shared" si="0"/>
        <v>1338580</v>
      </c>
      <c r="L3" s="1"/>
    </row>
    <row r="4" spans="1:20" ht="15.75" thickBot="1" x14ac:dyDescent="0.3">
      <c r="A4" s="3">
        <v>111</v>
      </c>
      <c r="B4" s="124" t="s">
        <v>5</v>
      </c>
      <c r="C4" s="4">
        <v>972038</v>
      </c>
      <c r="D4" s="5">
        <v>1022504</v>
      </c>
      <c r="E4" s="6">
        <v>1127294</v>
      </c>
      <c r="F4" s="6">
        <v>1165143</v>
      </c>
      <c r="G4" s="6">
        <v>1158000</v>
      </c>
      <c r="H4" s="6">
        <v>1139118</v>
      </c>
      <c r="I4" s="6">
        <v>1214000</v>
      </c>
      <c r="J4" s="6">
        <f>1220000+15600</f>
        <v>1235600</v>
      </c>
      <c r="K4" s="6">
        <f>1250000+12600</f>
        <v>1262600</v>
      </c>
      <c r="L4" s="1"/>
    </row>
    <row r="5" spans="1:20" ht="15.75" thickBot="1" x14ac:dyDescent="0.3">
      <c r="A5" s="7">
        <v>121</v>
      </c>
      <c r="B5" s="351" t="s">
        <v>6</v>
      </c>
      <c r="C5" s="9">
        <v>31944</v>
      </c>
      <c r="D5" s="10">
        <v>32263</v>
      </c>
      <c r="E5" s="10">
        <v>32335</v>
      </c>
      <c r="F5" s="11">
        <v>34337</v>
      </c>
      <c r="G5" s="11">
        <f>36980+4000</f>
        <v>40980</v>
      </c>
      <c r="H5" s="11">
        <f t="shared" ref="H5" si="2">40980-4000</f>
        <v>36980</v>
      </c>
      <c r="I5" s="11">
        <v>40080</v>
      </c>
      <c r="J5" s="11">
        <v>40080</v>
      </c>
      <c r="K5" s="11">
        <v>40080</v>
      </c>
      <c r="L5" s="1"/>
    </row>
    <row r="6" spans="1:20" x14ac:dyDescent="0.25">
      <c r="A6" s="12">
        <v>133</v>
      </c>
      <c r="B6" s="352" t="s">
        <v>7</v>
      </c>
      <c r="C6" s="14">
        <v>894</v>
      </c>
      <c r="D6" s="15">
        <v>882</v>
      </c>
      <c r="E6" s="15">
        <v>837</v>
      </c>
      <c r="F6" s="16">
        <v>807</v>
      </c>
      <c r="G6" s="16">
        <f>1000+200</f>
        <v>1200</v>
      </c>
      <c r="H6" s="16">
        <v>1200</v>
      </c>
      <c r="I6" s="16">
        <v>1000</v>
      </c>
      <c r="J6" s="16">
        <v>1000</v>
      </c>
      <c r="K6" s="16">
        <v>1000</v>
      </c>
      <c r="L6" s="1"/>
    </row>
    <row r="7" spans="1:20" x14ac:dyDescent="0.25">
      <c r="A7" s="17">
        <v>133</v>
      </c>
      <c r="B7" s="353" t="s">
        <v>8</v>
      </c>
      <c r="C7" s="19">
        <v>280</v>
      </c>
      <c r="D7" s="20">
        <v>280</v>
      </c>
      <c r="E7" s="20">
        <v>520</v>
      </c>
      <c r="F7" s="21">
        <v>160</v>
      </c>
      <c r="G7" s="21">
        <v>400</v>
      </c>
      <c r="H7" s="21">
        <v>400</v>
      </c>
      <c r="I7" s="21">
        <v>400</v>
      </c>
      <c r="J7" s="21">
        <v>400</v>
      </c>
      <c r="K7" s="21">
        <v>400</v>
      </c>
      <c r="L7" s="1"/>
    </row>
    <row r="8" spans="1:20" x14ac:dyDescent="0.25">
      <c r="A8" s="17">
        <v>133</v>
      </c>
      <c r="B8" s="353" t="s">
        <v>9</v>
      </c>
      <c r="C8" s="19">
        <v>1454</v>
      </c>
      <c r="D8" s="20">
        <v>1587</v>
      </c>
      <c r="E8" s="20">
        <v>2465</v>
      </c>
      <c r="F8" s="21">
        <v>1486</v>
      </c>
      <c r="G8" s="21">
        <v>3000</v>
      </c>
      <c r="H8" s="21">
        <v>3000</v>
      </c>
      <c r="I8" s="21">
        <v>2000</v>
      </c>
      <c r="J8" s="21">
        <v>2000</v>
      </c>
      <c r="K8" s="21">
        <v>2000</v>
      </c>
      <c r="L8" s="1"/>
    </row>
    <row r="9" spans="1:20" x14ac:dyDescent="0.25">
      <c r="A9" s="17">
        <v>133</v>
      </c>
      <c r="B9" s="353" t="s">
        <v>10</v>
      </c>
      <c r="C9" s="19">
        <v>3624</v>
      </c>
      <c r="D9" s="20">
        <v>3468</v>
      </c>
      <c r="E9" s="20">
        <v>5114</v>
      </c>
      <c r="F9" s="21">
        <v>1386</v>
      </c>
      <c r="G9" s="21">
        <v>2500</v>
      </c>
      <c r="H9" s="21">
        <v>2500</v>
      </c>
      <c r="I9" s="21">
        <v>2500</v>
      </c>
      <c r="J9" s="21">
        <v>2500</v>
      </c>
      <c r="K9" s="21">
        <v>2500</v>
      </c>
      <c r="L9" s="1"/>
    </row>
    <row r="10" spans="1:20" ht="15.75" thickBot="1" x14ac:dyDescent="0.3">
      <c r="A10" s="22">
        <v>133</v>
      </c>
      <c r="B10" s="354" t="s">
        <v>11</v>
      </c>
      <c r="C10" s="24">
        <v>17234</v>
      </c>
      <c r="D10" s="25">
        <v>19214</v>
      </c>
      <c r="E10" s="26">
        <v>18670</v>
      </c>
      <c r="F10" s="26">
        <v>24271</v>
      </c>
      <c r="G10" s="26">
        <f>30000+5000</f>
        <v>35000</v>
      </c>
      <c r="H10" s="26">
        <f t="shared" ref="H10" si="3">35000-8000</f>
        <v>27000</v>
      </c>
      <c r="I10" s="26">
        <v>30000</v>
      </c>
      <c r="J10" s="26">
        <v>30000</v>
      </c>
      <c r="K10" s="26">
        <v>30000</v>
      </c>
      <c r="L10" s="27">
        <f>SUM(I6:I10)</f>
        <v>35900</v>
      </c>
    </row>
    <row r="11" spans="1:20" ht="15.75" thickBot="1" x14ac:dyDescent="0.3">
      <c r="A11" s="811" t="s">
        <v>12</v>
      </c>
      <c r="B11" s="812"/>
      <c r="C11" s="355">
        <f t="shared" ref="C11:K11" si="4">SUM(C12:C34)</f>
        <v>161813</v>
      </c>
      <c r="D11" s="355">
        <f t="shared" si="4"/>
        <v>218601</v>
      </c>
      <c r="E11" s="355">
        <f t="shared" si="4"/>
        <v>202091</v>
      </c>
      <c r="F11" s="355">
        <f t="shared" si="4"/>
        <v>130051</v>
      </c>
      <c r="G11" s="355">
        <f t="shared" si="4"/>
        <v>193181</v>
      </c>
      <c r="H11" s="355">
        <f t="shared" si="4"/>
        <v>188671</v>
      </c>
      <c r="I11" s="355">
        <f t="shared" si="4"/>
        <v>208158</v>
      </c>
      <c r="J11" s="355">
        <f t="shared" si="4"/>
        <v>207758</v>
      </c>
      <c r="K11" s="355">
        <f t="shared" si="4"/>
        <v>207758</v>
      </c>
      <c r="L11" s="1"/>
    </row>
    <row r="12" spans="1:20" x14ac:dyDescent="0.25">
      <c r="A12" s="28">
        <v>212</v>
      </c>
      <c r="B12" s="29" t="s">
        <v>13</v>
      </c>
      <c r="C12" s="30">
        <v>2027</v>
      </c>
      <c r="D12" s="31">
        <v>2117</v>
      </c>
      <c r="E12" s="32">
        <v>2105</v>
      </c>
      <c r="F12" s="32">
        <v>1874</v>
      </c>
      <c r="G12" s="32">
        <v>2174</v>
      </c>
      <c r="H12" s="32">
        <v>2174</v>
      </c>
      <c r="I12" s="32">
        <v>1893</v>
      </c>
      <c r="J12" s="32">
        <v>1593</v>
      </c>
      <c r="K12" s="32">
        <v>1593</v>
      </c>
      <c r="L12" s="1"/>
    </row>
    <row r="13" spans="1:20" x14ac:dyDescent="0.25">
      <c r="A13" s="12">
        <v>212</v>
      </c>
      <c r="B13" s="13" t="s">
        <v>14</v>
      </c>
      <c r="C13" s="14">
        <v>189</v>
      </c>
      <c r="D13" s="15">
        <v>23970</v>
      </c>
      <c r="E13" s="16">
        <v>7680</v>
      </c>
      <c r="F13" s="16">
        <v>2530</v>
      </c>
      <c r="G13" s="16">
        <v>1000</v>
      </c>
      <c r="H13" s="16">
        <v>1500</v>
      </c>
      <c r="I13" s="16">
        <v>500</v>
      </c>
      <c r="J13" s="16">
        <v>500</v>
      </c>
      <c r="K13" s="16">
        <v>500</v>
      </c>
      <c r="L13" s="27"/>
    </row>
    <row r="14" spans="1:20" x14ac:dyDescent="0.25">
      <c r="A14" s="17">
        <v>212</v>
      </c>
      <c r="B14" s="18" t="s">
        <v>15</v>
      </c>
      <c r="C14" s="19">
        <v>3975</v>
      </c>
      <c r="D14" s="20">
        <v>3731</v>
      </c>
      <c r="E14" s="33">
        <v>3649</v>
      </c>
      <c r="F14" s="33">
        <v>3815</v>
      </c>
      <c r="G14" s="33">
        <v>3812</v>
      </c>
      <c r="H14" s="33">
        <v>3812</v>
      </c>
      <c r="I14" s="33">
        <v>3712</v>
      </c>
      <c r="J14" s="33">
        <v>3712</v>
      </c>
      <c r="K14" s="33">
        <v>3712</v>
      </c>
      <c r="L14" s="1"/>
    </row>
    <row r="15" spans="1:20" x14ac:dyDescent="0.25">
      <c r="A15" s="17">
        <v>212</v>
      </c>
      <c r="B15" s="18" t="s">
        <v>16</v>
      </c>
      <c r="C15" s="34">
        <v>17332</v>
      </c>
      <c r="D15" s="21">
        <v>17507</v>
      </c>
      <c r="E15" s="21">
        <v>17433</v>
      </c>
      <c r="F15" s="21">
        <v>15521</v>
      </c>
      <c r="G15" s="21">
        <v>16985</v>
      </c>
      <c r="H15" s="21">
        <f>16985+390+4000</f>
        <v>21375</v>
      </c>
      <c r="I15" s="21">
        <v>21393</v>
      </c>
      <c r="J15" s="21">
        <v>20993</v>
      </c>
      <c r="K15" s="21">
        <v>20993</v>
      </c>
      <c r="L15" s="27"/>
    </row>
    <row r="16" spans="1:20" ht="15.75" thickBot="1" x14ac:dyDescent="0.3">
      <c r="A16" s="35">
        <v>212</v>
      </c>
      <c r="B16" s="36" t="s">
        <v>17</v>
      </c>
      <c r="C16" s="37">
        <v>5</v>
      </c>
      <c r="D16" s="38">
        <v>400</v>
      </c>
      <c r="E16" s="39">
        <v>1280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64">
        <f>SUM(I12:I16)</f>
        <v>27498</v>
      </c>
      <c r="M16" s="464">
        <f t="shared" ref="M16:N16" si="5">SUM(J12:J16)</f>
        <v>26798</v>
      </c>
      <c r="N16" s="464">
        <f t="shared" si="5"/>
        <v>26798</v>
      </c>
      <c r="S16" s="27"/>
      <c r="T16" s="464"/>
    </row>
    <row r="17" spans="1:12" ht="15.75" thickBot="1" x14ac:dyDescent="0.3">
      <c r="A17" s="7">
        <v>221</v>
      </c>
      <c r="B17" s="8" t="s">
        <v>18</v>
      </c>
      <c r="C17" s="9">
        <v>4093</v>
      </c>
      <c r="D17" s="40">
        <v>4796</v>
      </c>
      <c r="E17" s="41">
        <v>5069</v>
      </c>
      <c r="F17" s="41">
        <v>3283</v>
      </c>
      <c r="G17" s="41">
        <v>5100</v>
      </c>
      <c r="H17" s="41">
        <v>5100</v>
      </c>
      <c r="I17" s="41">
        <v>5100</v>
      </c>
      <c r="J17" s="41">
        <v>5100</v>
      </c>
      <c r="K17" s="41">
        <v>5100</v>
      </c>
      <c r="L17" s="1"/>
    </row>
    <row r="18" spans="1:12" ht="15.75" thickBot="1" x14ac:dyDescent="0.3">
      <c r="A18" s="35">
        <v>222</v>
      </c>
      <c r="B18" s="36" t="s">
        <v>19</v>
      </c>
      <c r="C18" s="37">
        <v>0</v>
      </c>
      <c r="D18" s="38">
        <v>90</v>
      </c>
      <c r="E18" s="39">
        <v>400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"/>
    </row>
    <row r="19" spans="1:12" x14ac:dyDescent="0.25">
      <c r="A19" s="12">
        <v>223</v>
      </c>
      <c r="B19" s="13" t="s">
        <v>20</v>
      </c>
      <c r="C19" s="14">
        <v>713</v>
      </c>
      <c r="D19" s="15">
        <v>671</v>
      </c>
      <c r="E19" s="16">
        <v>503</v>
      </c>
      <c r="F19" s="16">
        <v>143</v>
      </c>
      <c r="G19" s="16">
        <v>350</v>
      </c>
      <c r="H19" s="16">
        <v>550</v>
      </c>
      <c r="I19" s="16">
        <v>650</v>
      </c>
      <c r="J19" s="16">
        <v>650</v>
      </c>
      <c r="K19" s="16">
        <v>650</v>
      </c>
      <c r="L19" s="1"/>
    </row>
    <row r="20" spans="1:12" x14ac:dyDescent="0.25">
      <c r="A20" s="17">
        <v>223</v>
      </c>
      <c r="B20" s="18" t="s">
        <v>21</v>
      </c>
      <c r="C20" s="19">
        <v>16518</v>
      </c>
      <c r="D20" s="20">
        <v>17452</v>
      </c>
      <c r="E20" s="21">
        <v>15427</v>
      </c>
      <c r="F20" s="21">
        <v>15517</v>
      </c>
      <c r="G20" s="21">
        <v>22000</v>
      </c>
      <c r="H20" s="21">
        <v>22000</v>
      </c>
      <c r="I20" s="21">
        <f>19000+3000</f>
        <v>22000</v>
      </c>
      <c r="J20" s="21">
        <f t="shared" ref="J20:K20" si="6">19000+3000</f>
        <v>22000</v>
      </c>
      <c r="K20" s="21">
        <f t="shared" si="6"/>
        <v>22000</v>
      </c>
      <c r="L20" s="1"/>
    </row>
    <row r="21" spans="1:12" x14ac:dyDescent="0.25">
      <c r="A21" s="17">
        <v>223</v>
      </c>
      <c r="B21" s="18" t="s">
        <v>22</v>
      </c>
      <c r="C21" s="19">
        <v>0</v>
      </c>
      <c r="D21" s="20">
        <v>0</v>
      </c>
      <c r="E21" s="21">
        <v>0</v>
      </c>
      <c r="F21" s="21">
        <v>0</v>
      </c>
      <c r="G21" s="21">
        <v>100</v>
      </c>
      <c r="H21" s="21">
        <v>0</v>
      </c>
      <c r="I21" s="21">
        <v>50</v>
      </c>
      <c r="J21" s="21">
        <v>50</v>
      </c>
      <c r="K21" s="21">
        <v>50</v>
      </c>
      <c r="L21" s="1"/>
    </row>
    <row r="22" spans="1:12" x14ac:dyDescent="0.25">
      <c r="A22" s="17">
        <v>223</v>
      </c>
      <c r="B22" s="18" t="s">
        <v>23</v>
      </c>
      <c r="C22" s="19">
        <v>34491</v>
      </c>
      <c r="D22" s="20">
        <v>32466</v>
      </c>
      <c r="E22" s="21">
        <v>31823</v>
      </c>
      <c r="F22" s="21">
        <v>630</v>
      </c>
      <c r="G22" s="21">
        <v>15500</v>
      </c>
      <c r="H22" s="21">
        <v>500</v>
      </c>
      <c r="I22" s="21">
        <v>1500</v>
      </c>
      <c r="J22" s="21">
        <v>1500</v>
      </c>
      <c r="K22" s="21">
        <v>1500</v>
      </c>
      <c r="L22" s="1"/>
    </row>
    <row r="23" spans="1:12" x14ac:dyDescent="0.25">
      <c r="A23" s="17">
        <v>223</v>
      </c>
      <c r="B23" s="18" t="s">
        <v>24</v>
      </c>
      <c r="C23" s="19">
        <v>519</v>
      </c>
      <c r="D23" s="20">
        <v>342</v>
      </c>
      <c r="E23" s="21">
        <v>255</v>
      </c>
      <c r="F23" s="21">
        <v>257</v>
      </c>
      <c r="G23" s="21">
        <v>500</v>
      </c>
      <c r="H23" s="21">
        <v>1000</v>
      </c>
      <c r="I23" s="21">
        <v>1000</v>
      </c>
      <c r="J23" s="21">
        <v>1000</v>
      </c>
      <c r="K23" s="21">
        <v>1000</v>
      </c>
      <c r="L23" s="1"/>
    </row>
    <row r="24" spans="1:12" x14ac:dyDescent="0.25">
      <c r="A24" s="17">
        <v>223</v>
      </c>
      <c r="B24" s="18" t="s">
        <v>25</v>
      </c>
      <c r="C24" s="19">
        <v>5000</v>
      </c>
      <c r="D24" s="20">
        <v>1000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"/>
    </row>
    <row r="25" spans="1:12" x14ac:dyDescent="0.25">
      <c r="A25" s="17">
        <v>223</v>
      </c>
      <c r="B25" s="18" t="s">
        <v>26</v>
      </c>
      <c r="C25" s="19">
        <v>490</v>
      </c>
      <c r="D25" s="20">
        <v>597</v>
      </c>
      <c r="E25" s="21">
        <v>913</v>
      </c>
      <c r="F25" s="21">
        <v>1080</v>
      </c>
      <c r="G25" s="21">
        <v>1200</v>
      </c>
      <c r="H25" s="21">
        <v>1200</v>
      </c>
      <c r="I25" s="21">
        <v>1000</v>
      </c>
      <c r="J25" s="21">
        <v>1000</v>
      </c>
      <c r="K25" s="21">
        <v>1000</v>
      </c>
      <c r="L25" s="1"/>
    </row>
    <row r="26" spans="1:12" x14ac:dyDescent="0.25">
      <c r="A26" s="17">
        <v>223</v>
      </c>
      <c r="B26" s="18" t="s">
        <v>27</v>
      </c>
      <c r="C26" s="19">
        <v>33709</v>
      </c>
      <c r="D26" s="20">
        <v>32850</v>
      </c>
      <c r="E26" s="21">
        <v>30304</v>
      </c>
      <c r="F26" s="21">
        <v>33431</v>
      </c>
      <c r="G26" s="21">
        <v>40000</v>
      </c>
      <c r="H26" s="21">
        <v>40000</v>
      </c>
      <c r="I26" s="21">
        <v>40000</v>
      </c>
      <c r="J26" s="21">
        <v>40000</v>
      </c>
      <c r="K26" s="21">
        <v>40000</v>
      </c>
      <c r="L26" s="1"/>
    </row>
    <row r="27" spans="1:12" x14ac:dyDescent="0.25">
      <c r="A27" s="17">
        <v>223</v>
      </c>
      <c r="B27" s="18" t="s">
        <v>28</v>
      </c>
      <c r="C27" s="19">
        <v>18990</v>
      </c>
      <c r="D27" s="20">
        <v>15782</v>
      </c>
      <c r="E27" s="21">
        <v>17085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"/>
    </row>
    <row r="28" spans="1:12" x14ac:dyDescent="0.25">
      <c r="A28" s="17">
        <v>223</v>
      </c>
      <c r="B28" s="18" t="s">
        <v>29</v>
      </c>
      <c r="C28" s="19">
        <f>17009</f>
        <v>17009</v>
      </c>
      <c r="D28" s="20">
        <v>17553</v>
      </c>
      <c r="E28" s="21">
        <v>24783</v>
      </c>
      <c r="F28" s="21">
        <v>26360</v>
      </c>
      <c r="G28" s="21">
        <v>46600</v>
      </c>
      <c r="H28" s="21">
        <v>46600</v>
      </c>
      <c r="I28" s="21">
        <v>44100</v>
      </c>
      <c r="J28" s="21">
        <v>44100</v>
      </c>
      <c r="K28" s="21">
        <v>44100</v>
      </c>
      <c r="L28" s="1"/>
    </row>
    <row r="29" spans="1:12" x14ac:dyDescent="0.25">
      <c r="A29" s="17">
        <v>223</v>
      </c>
      <c r="B29" s="18" t="s">
        <v>30</v>
      </c>
      <c r="C29" s="19">
        <v>4</v>
      </c>
      <c r="D29" s="20">
        <v>87</v>
      </c>
      <c r="E29" s="21">
        <v>43</v>
      </c>
      <c r="F29" s="21">
        <v>27</v>
      </c>
      <c r="G29" s="21">
        <v>60</v>
      </c>
      <c r="H29" s="21">
        <v>60</v>
      </c>
      <c r="I29" s="21">
        <v>60</v>
      </c>
      <c r="J29" s="21">
        <v>60</v>
      </c>
      <c r="K29" s="21">
        <v>60</v>
      </c>
      <c r="L29" s="27"/>
    </row>
    <row r="30" spans="1:12" x14ac:dyDescent="0.25">
      <c r="A30" s="17">
        <v>223</v>
      </c>
      <c r="B30" s="18" t="s">
        <v>271</v>
      </c>
      <c r="C30" s="19"/>
      <c r="D30" s="20">
        <v>0</v>
      </c>
      <c r="E30" s="46">
        <v>0</v>
      </c>
      <c r="F30" s="46">
        <v>0</v>
      </c>
      <c r="G30" s="46">
        <v>0</v>
      </c>
      <c r="H30" s="21">
        <v>2000</v>
      </c>
      <c r="I30" s="21">
        <v>2000</v>
      </c>
      <c r="J30" s="21">
        <v>2000</v>
      </c>
      <c r="K30" s="21">
        <v>2000</v>
      </c>
      <c r="L30" s="27"/>
    </row>
    <row r="31" spans="1:12" x14ac:dyDescent="0.25">
      <c r="A31" s="17">
        <v>223</v>
      </c>
      <c r="B31" s="18" t="s">
        <v>31</v>
      </c>
      <c r="C31" s="19">
        <v>5175</v>
      </c>
      <c r="D31" s="20">
        <v>1650</v>
      </c>
      <c r="E31" s="46">
        <v>0</v>
      </c>
      <c r="F31" s="46">
        <v>0</v>
      </c>
      <c r="G31" s="46">
        <v>0</v>
      </c>
      <c r="H31" s="21">
        <v>0</v>
      </c>
      <c r="I31" s="21">
        <v>0</v>
      </c>
      <c r="J31" s="21">
        <v>0</v>
      </c>
      <c r="K31" s="21">
        <v>0</v>
      </c>
      <c r="L31" s="1"/>
    </row>
    <row r="32" spans="1:12" x14ac:dyDescent="0.25">
      <c r="A32" s="17">
        <v>223</v>
      </c>
      <c r="B32" s="18" t="s">
        <v>32</v>
      </c>
      <c r="C32" s="19">
        <v>1568</v>
      </c>
      <c r="D32" s="42">
        <v>45540</v>
      </c>
      <c r="E32" s="45">
        <v>2057</v>
      </c>
      <c r="F32" s="20">
        <v>1746</v>
      </c>
      <c r="G32" s="20">
        <v>2400</v>
      </c>
      <c r="H32" s="21">
        <v>2400</v>
      </c>
      <c r="I32" s="21">
        <v>2100</v>
      </c>
      <c r="J32" s="21">
        <v>2400</v>
      </c>
      <c r="K32" s="21">
        <v>2400</v>
      </c>
      <c r="L32" s="1"/>
    </row>
    <row r="33" spans="1:20" x14ac:dyDescent="0.25">
      <c r="A33" s="43">
        <v>223</v>
      </c>
      <c r="B33" s="44" t="s">
        <v>33</v>
      </c>
      <c r="C33" s="19">
        <v>0</v>
      </c>
      <c r="D33" s="45">
        <v>0</v>
      </c>
      <c r="E33" s="81">
        <v>41282</v>
      </c>
      <c r="F33" s="81">
        <v>23837</v>
      </c>
      <c r="G33" s="81">
        <v>35300</v>
      </c>
      <c r="H33" s="46">
        <v>38300</v>
      </c>
      <c r="I33" s="46">
        <v>61000</v>
      </c>
      <c r="J33" s="46">
        <v>61000</v>
      </c>
      <c r="K33" s="46">
        <v>61000</v>
      </c>
      <c r="L33" s="27"/>
    </row>
    <row r="34" spans="1:20" ht="15.75" thickBot="1" x14ac:dyDescent="0.3">
      <c r="A34" s="22">
        <v>223</v>
      </c>
      <c r="B34" s="23" t="s">
        <v>34</v>
      </c>
      <c r="C34" s="24">
        <v>6</v>
      </c>
      <c r="D34" s="47">
        <v>0</v>
      </c>
      <c r="E34" s="48">
        <v>0</v>
      </c>
      <c r="F34" s="48">
        <v>0</v>
      </c>
      <c r="G34" s="48">
        <v>100</v>
      </c>
      <c r="H34" s="48">
        <v>100</v>
      </c>
      <c r="I34" s="48">
        <v>100</v>
      </c>
      <c r="J34" s="48">
        <v>100</v>
      </c>
      <c r="K34" s="48">
        <v>100</v>
      </c>
      <c r="L34" s="27">
        <f>SUM(I19:I34)</f>
        <v>175560</v>
      </c>
      <c r="M34" s="27">
        <f t="shared" ref="M34:N34" si="7">SUM(J19:J34)</f>
        <v>175860</v>
      </c>
      <c r="N34" s="27">
        <f t="shared" si="7"/>
        <v>175860</v>
      </c>
      <c r="S34" s="464"/>
      <c r="T34" s="464"/>
    </row>
    <row r="35" spans="1:20" ht="15.75" thickBot="1" x14ac:dyDescent="0.3">
      <c r="A35" s="49" t="s">
        <v>35</v>
      </c>
      <c r="B35" s="50"/>
      <c r="C35" s="355">
        <f t="shared" ref="C35:K35" si="8">SUM(C36)</f>
        <v>363</v>
      </c>
      <c r="D35" s="356">
        <f t="shared" si="8"/>
        <v>258</v>
      </c>
      <c r="E35" s="2">
        <f t="shared" si="8"/>
        <v>396</v>
      </c>
      <c r="F35" s="2">
        <f t="shared" si="8"/>
        <v>52</v>
      </c>
      <c r="G35" s="2">
        <f t="shared" si="8"/>
        <v>70</v>
      </c>
      <c r="H35" s="2">
        <f t="shared" si="8"/>
        <v>70</v>
      </c>
      <c r="I35" s="2">
        <f t="shared" si="8"/>
        <v>50</v>
      </c>
      <c r="J35" s="2">
        <f t="shared" si="8"/>
        <v>50</v>
      </c>
      <c r="K35" s="2">
        <f t="shared" si="8"/>
        <v>50</v>
      </c>
      <c r="L35" s="1"/>
    </row>
    <row r="36" spans="1:20" ht="15.75" thickBot="1" x14ac:dyDescent="0.3">
      <c r="A36" s="51">
        <v>240</v>
      </c>
      <c r="B36" s="47" t="s">
        <v>36</v>
      </c>
      <c r="C36" s="358">
        <v>363</v>
      </c>
      <c r="D36" s="357">
        <v>258</v>
      </c>
      <c r="E36" s="38">
        <v>396</v>
      </c>
      <c r="F36" s="38">
        <v>52</v>
      </c>
      <c r="G36" s="38">
        <v>70</v>
      </c>
      <c r="H36" s="38">
        <v>70</v>
      </c>
      <c r="I36" s="38">
        <v>50</v>
      </c>
      <c r="J36" s="38">
        <v>50</v>
      </c>
      <c r="K36" s="38">
        <v>50</v>
      </c>
      <c r="L36" s="1"/>
    </row>
    <row r="37" spans="1:20" ht="15.75" thickBot="1" x14ac:dyDescent="0.3">
      <c r="A37" s="49" t="s">
        <v>37</v>
      </c>
      <c r="B37" s="50"/>
      <c r="C37" s="355">
        <f t="shared" ref="C37:K37" si="9">SUM(C38:C44)</f>
        <v>36541</v>
      </c>
      <c r="D37" s="355">
        <f t="shared" si="9"/>
        <v>32063</v>
      </c>
      <c r="E37" s="355">
        <f t="shared" si="9"/>
        <v>24990</v>
      </c>
      <c r="F37" s="355">
        <f t="shared" si="9"/>
        <v>28915</v>
      </c>
      <c r="G37" s="355">
        <f t="shared" si="9"/>
        <v>35158</v>
      </c>
      <c r="H37" s="355">
        <f t="shared" si="9"/>
        <v>54799</v>
      </c>
      <c r="I37" s="355">
        <f t="shared" si="9"/>
        <v>47400</v>
      </c>
      <c r="J37" s="355">
        <f t="shared" si="9"/>
        <v>45900</v>
      </c>
      <c r="K37" s="355">
        <f t="shared" si="9"/>
        <v>45900</v>
      </c>
      <c r="L37" s="1"/>
    </row>
    <row r="38" spans="1:20" x14ac:dyDescent="0.25">
      <c r="A38" s="52">
        <v>292</v>
      </c>
      <c r="B38" s="53" t="s">
        <v>38</v>
      </c>
      <c r="C38" s="54">
        <v>1054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1"/>
    </row>
    <row r="39" spans="1:20" x14ac:dyDescent="0.25">
      <c r="A39" s="52">
        <v>292</v>
      </c>
      <c r="B39" s="53" t="s">
        <v>39</v>
      </c>
      <c r="C39" s="54">
        <v>326</v>
      </c>
      <c r="D39" s="56">
        <v>279</v>
      </c>
      <c r="E39" s="55">
        <v>241</v>
      </c>
      <c r="F39" s="55">
        <v>247</v>
      </c>
      <c r="G39" s="55">
        <v>300</v>
      </c>
      <c r="H39" s="55">
        <v>300</v>
      </c>
      <c r="I39" s="55">
        <v>300</v>
      </c>
      <c r="J39" s="55">
        <v>300</v>
      </c>
      <c r="K39" s="55">
        <v>300</v>
      </c>
      <c r="L39" s="1"/>
    </row>
    <row r="40" spans="1:20" x14ac:dyDescent="0.25">
      <c r="A40" s="57">
        <v>292</v>
      </c>
      <c r="B40" s="58" t="s">
        <v>40</v>
      </c>
      <c r="C40" s="59">
        <v>1998</v>
      </c>
      <c r="D40" s="60">
        <v>3206</v>
      </c>
      <c r="E40" s="61">
        <v>2949</v>
      </c>
      <c r="F40" s="61">
        <v>441</v>
      </c>
      <c r="G40" s="61">
        <v>1000</v>
      </c>
      <c r="H40" s="61">
        <f t="shared" ref="H40" si="10">1000+10000</f>
        <v>11000</v>
      </c>
      <c r="I40" s="61">
        <v>5000</v>
      </c>
      <c r="J40" s="61">
        <v>5000</v>
      </c>
      <c r="K40" s="61">
        <v>5000</v>
      </c>
      <c r="L40" s="1"/>
    </row>
    <row r="41" spans="1:20" x14ac:dyDescent="0.25">
      <c r="A41" s="57">
        <v>292</v>
      </c>
      <c r="B41" s="58" t="s">
        <v>41</v>
      </c>
      <c r="C41" s="59">
        <v>16161</v>
      </c>
      <c r="D41" s="60">
        <v>7460</v>
      </c>
      <c r="E41" s="60">
        <v>308</v>
      </c>
      <c r="F41" s="60">
        <v>19</v>
      </c>
      <c r="G41" s="60">
        <v>500</v>
      </c>
      <c r="H41" s="60">
        <f>500</f>
        <v>500</v>
      </c>
      <c r="I41" s="60">
        <v>500</v>
      </c>
      <c r="J41" s="60">
        <v>500</v>
      </c>
      <c r="K41" s="60">
        <v>500</v>
      </c>
      <c r="L41" s="1"/>
    </row>
    <row r="42" spans="1:20" x14ac:dyDescent="0.25">
      <c r="A42" s="57">
        <v>292</v>
      </c>
      <c r="B42" s="18" t="s">
        <v>42</v>
      </c>
      <c r="C42" s="62">
        <v>210</v>
      </c>
      <c r="D42" s="63">
        <v>232</v>
      </c>
      <c r="E42" s="64">
        <v>252</v>
      </c>
      <c r="F42" s="64">
        <v>280</v>
      </c>
      <c r="G42" s="64">
        <v>300</v>
      </c>
      <c r="H42" s="64">
        <f t="shared" ref="H42" si="11">300+1</f>
        <v>301</v>
      </c>
      <c r="I42" s="64">
        <v>310</v>
      </c>
      <c r="J42" s="64">
        <v>310</v>
      </c>
      <c r="K42" s="64">
        <v>310</v>
      </c>
      <c r="L42" s="1"/>
    </row>
    <row r="43" spans="1:20" x14ac:dyDescent="0.25">
      <c r="A43" s="57">
        <v>292</v>
      </c>
      <c r="B43" s="58" t="s">
        <v>221</v>
      </c>
      <c r="C43" s="59">
        <f>16422-C42</f>
        <v>16212</v>
      </c>
      <c r="D43" s="61">
        <f>21118-D42</f>
        <v>20886</v>
      </c>
      <c r="E43" s="60">
        <v>21100</v>
      </c>
      <c r="F43" s="60">
        <v>27928</v>
      </c>
      <c r="G43" s="60">
        <v>33058</v>
      </c>
      <c r="H43" s="60">
        <v>42698</v>
      </c>
      <c r="I43" s="60">
        <f>41600-I42</f>
        <v>41290</v>
      </c>
      <c r="J43" s="60">
        <f>40100-J42</f>
        <v>39790</v>
      </c>
      <c r="K43" s="60">
        <f>40100-K42</f>
        <v>39790</v>
      </c>
      <c r="L43" s="1"/>
    </row>
    <row r="44" spans="1:20" ht="15.75" thickBot="1" x14ac:dyDescent="0.3">
      <c r="A44" s="57">
        <v>292</v>
      </c>
      <c r="B44" s="58" t="s">
        <v>43</v>
      </c>
      <c r="C44" s="59">
        <v>580</v>
      </c>
      <c r="D44" s="60">
        <v>0</v>
      </c>
      <c r="E44" s="60">
        <v>140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1"/>
    </row>
    <row r="45" spans="1:20" ht="15.75" thickBot="1" x14ac:dyDescent="0.3">
      <c r="A45" s="65" t="s">
        <v>44</v>
      </c>
      <c r="B45" s="359"/>
      <c r="C45" s="355">
        <f>SUM(C46:C81)</f>
        <v>548443</v>
      </c>
      <c r="D45" s="380">
        <f>SUM(D46:D81)</f>
        <v>573732</v>
      </c>
      <c r="E45" s="355">
        <f>SUM(E46:E81)</f>
        <v>688399</v>
      </c>
      <c r="F45" s="355">
        <f t="shared" ref="F45:K45" si="12">SUM(F46:F81)</f>
        <v>814828</v>
      </c>
      <c r="G45" s="355">
        <f t="shared" si="12"/>
        <v>749000</v>
      </c>
      <c r="H45" s="355">
        <f t="shared" si="12"/>
        <v>872475</v>
      </c>
      <c r="I45" s="355">
        <f t="shared" si="12"/>
        <v>686340</v>
      </c>
      <c r="J45" s="355">
        <f t="shared" si="12"/>
        <v>739690</v>
      </c>
      <c r="K45" s="355">
        <f t="shared" si="12"/>
        <v>747690</v>
      </c>
      <c r="L45" s="1"/>
    </row>
    <row r="46" spans="1:20" x14ac:dyDescent="0.25">
      <c r="A46" s="67">
        <v>311</v>
      </c>
      <c r="B46" s="360" t="s">
        <v>45</v>
      </c>
      <c r="C46" s="369">
        <v>2000</v>
      </c>
      <c r="D46" s="381">
        <v>8000</v>
      </c>
      <c r="E46" s="369">
        <v>3000</v>
      </c>
      <c r="F46" s="419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1"/>
    </row>
    <row r="47" spans="1:20" x14ac:dyDescent="0.25">
      <c r="A47" s="67">
        <v>311</v>
      </c>
      <c r="B47" s="360" t="s">
        <v>46</v>
      </c>
      <c r="C47" s="369">
        <v>0</v>
      </c>
      <c r="D47" s="381">
        <v>4840</v>
      </c>
      <c r="E47" s="369">
        <v>460</v>
      </c>
      <c r="F47" s="419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1"/>
    </row>
    <row r="48" spans="1:20" x14ac:dyDescent="0.25">
      <c r="A48" s="71">
        <v>312</v>
      </c>
      <c r="B48" s="76" t="s">
        <v>252</v>
      </c>
      <c r="C48" s="370"/>
      <c r="D48" s="381">
        <v>0</v>
      </c>
      <c r="E48" s="370">
        <v>0</v>
      </c>
      <c r="F48" s="420">
        <v>8895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1"/>
    </row>
    <row r="49" spans="1:12" x14ac:dyDescent="0.25">
      <c r="A49" s="69">
        <v>312</v>
      </c>
      <c r="B49" s="360" t="s">
        <v>47</v>
      </c>
      <c r="C49" s="370">
        <v>0</v>
      </c>
      <c r="D49" s="382">
        <v>0</v>
      </c>
      <c r="E49" s="370">
        <v>6000</v>
      </c>
      <c r="F49" s="42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1"/>
    </row>
    <row r="50" spans="1:12" x14ac:dyDescent="0.25">
      <c r="A50" s="67">
        <v>312</v>
      </c>
      <c r="B50" s="360" t="s">
        <v>48</v>
      </c>
      <c r="C50" s="369">
        <v>0</v>
      </c>
      <c r="D50" s="383">
        <v>0</v>
      </c>
      <c r="E50" s="369">
        <v>5392</v>
      </c>
      <c r="F50" s="419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1"/>
    </row>
    <row r="51" spans="1:12" x14ac:dyDescent="0.25">
      <c r="A51" s="67">
        <v>312</v>
      </c>
      <c r="B51" s="360" t="s">
        <v>279</v>
      </c>
      <c r="C51" s="369">
        <v>2089</v>
      </c>
      <c r="D51" s="366">
        <v>2072</v>
      </c>
      <c r="E51" s="369">
        <v>6211</v>
      </c>
      <c r="F51" s="419">
        <v>3420</v>
      </c>
      <c r="G51" s="68">
        <v>4000</v>
      </c>
      <c r="H51" s="68">
        <v>0</v>
      </c>
      <c r="I51" s="68">
        <v>4000</v>
      </c>
      <c r="J51" s="68">
        <v>0</v>
      </c>
      <c r="K51" s="68">
        <v>8000</v>
      </c>
      <c r="L51" s="1"/>
    </row>
    <row r="52" spans="1:12" x14ac:dyDescent="0.25">
      <c r="A52" s="67">
        <v>312</v>
      </c>
      <c r="B52" s="360" t="s">
        <v>272</v>
      </c>
      <c r="C52" s="370"/>
      <c r="D52" s="366">
        <v>0</v>
      </c>
      <c r="E52" s="370">
        <v>0</v>
      </c>
      <c r="F52" s="420">
        <v>0</v>
      </c>
      <c r="G52" s="70">
        <v>0</v>
      </c>
      <c r="H52" s="70">
        <v>17600</v>
      </c>
      <c r="I52" s="70">
        <v>4750</v>
      </c>
      <c r="J52" s="70">
        <v>0</v>
      </c>
      <c r="K52" s="70">
        <v>0</v>
      </c>
      <c r="L52" s="1"/>
    </row>
    <row r="53" spans="1:12" x14ac:dyDescent="0.25">
      <c r="A53" s="69">
        <v>312</v>
      </c>
      <c r="B53" s="450" t="s">
        <v>273</v>
      </c>
      <c r="C53" s="370"/>
      <c r="D53" s="366">
        <v>0</v>
      </c>
      <c r="E53" s="370">
        <v>0</v>
      </c>
      <c r="F53" s="420">
        <v>0</v>
      </c>
      <c r="G53" s="70">
        <v>0</v>
      </c>
      <c r="H53" s="70">
        <v>78000</v>
      </c>
      <c r="I53" s="70">
        <v>2000</v>
      </c>
      <c r="J53" s="70">
        <v>0</v>
      </c>
      <c r="K53" s="70">
        <v>0</v>
      </c>
      <c r="L53" s="1"/>
    </row>
    <row r="54" spans="1:12" x14ac:dyDescent="0.25">
      <c r="A54" s="69">
        <v>312</v>
      </c>
      <c r="B54" s="360" t="s">
        <v>49</v>
      </c>
      <c r="C54" s="370"/>
      <c r="D54" s="366">
        <v>3500</v>
      </c>
      <c r="E54" s="370">
        <v>0</v>
      </c>
      <c r="F54" s="420">
        <v>0</v>
      </c>
      <c r="G54" s="70">
        <v>0</v>
      </c>
      <c r="H54" s="70">
        <v>0</v>
      </c>
      <c r="I54" s="70"/>
      <c r="J54" s="70"/>
      <c r="K54" s="70"/>
      <c r="L54" s="1"/>
    </row>
    <row r="55" spans="1:12" x14ac:dyDescent="0.25">
      <c r="A55" s="71">
        <v>312</v>
      </c>
      <c r="B55" s="353" t="s">
        <v>231</v>
      </c>
      <c r="C55" s="371">
        <v>5791</v>
      </c>
      <c r="D55" s="366">
        <v>2899</v>
      </c>
      <c r="E55" s="371">
        <v>27030</v>
      </c>
      <c r="F55" s="421">
        <v>39080</v>
      </c>
      <c r="G55" s="16">
        <v>34900</v>
      </c>
      <c r="H55" s="16">
        <v>34900</v>
      </c>
      <c r="I55" s="16">
        <v>7900</v>
      </c>
      <c r="J55" s="16">
        <v>7900</v>
      </c>
      <c r="K55" s="16">
        <v>7900</v>
      </c>
      <c r="L55" s="1"/>
    </row>
    <row r="56" spans="1:12" x14ac:dyDescent="0.25">
      <c r="A56" s="71">
        <v>312</v>
      </c>
      <c r="B56" s="353" t="s">
        <v>232</v>
      </c>
      <c r="C56" s="371">
        <v>645</v>
      </c>
      <c r="D56" s="366">
        <v>739</v>
      </c>
      <c r="E56" s="371">
        <v>227</v>
      </c>
      <c r="F56" s="421">
        <v>225</v>
      </c>
      <c r="G56" s="16">
        <v>320</v>
      </c>
      <c r="H56" s="16">
        <v>320</v>
      </c>
      <c r="I56" s="16">
        <v>150</v>
      </c>
      <c r="J56" s="16">
        <v>150</v>
      </c>
      <c r="K56" s="16">
        <v>150</v>
      </c>
      <c r="L56" s="1"/>
    </row>
    <row r="57" spans="1:12" x14ac:dyDescent="0.25">
      <c r="A57" s="71">
        <v>312</v>
      </c>
      <c r="B57" s="118" t="s">
        <v>51</v>
      </c>
      <c r="C57" s="372">
        <v>13737</v>
      </c>
      <c r="D57" s="366">
        <v>15058</v>
      </c>
      <c r="E57" s="14">
        <v>3305</v>
      </c>
      <c r="F57" s="422">
        <v>3082</v>
      </c>
      <c r="G57" s="73">
        <v>6280</v>
      </c>
      <c r="H57" s="73">
        <v>6280</v>
      </c>
      <c r="I57" s="73">
        <v>2950</v>
      </c>
      <c r="J57" s="73">
        <v>2950</v>
      </c>
      <c r="K57" s="73">
        <v>2950</v>
      </c>
      <c r="L57" s="1"/>
    </row>
    <row r="58" spans="1:12" x14ac:dyDescent="0.25">
      <c r="A58" s="71">
        <v>312</v>
      </c>
      <c r="B58" s="352" t="s">
        <v>224</v>
      </c>
      <c r="C58" s="372">
        <v>0</v>
      </c>
      <c r="D58" s="366">
        <v>0</v>
      </c>
      <c r="E58" s="14">
        <v>0</v>
      </c>
      <c r="F58" s="422">
        <v>18563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27"/>
    </row>
    <row r="59" spans="1:12" x14ac:dyDescent="0.25">
      <c r="A59" s="71">
        <v>312</v>
      </c>
      <c r="B59" s="76" t="s">
        <v>253</v>
      </c>
      <c r="C59" s="372"/>
      <c r="D59" s="366">
        <v>0</v>
      </c>
      <c r="E59" s="14">
        <v>0</v>
      </c>
      <c r="F59" s="422">
        <v>12159</v>
      </c>
      <c r="G59" s="73">
        <v>0</v>
      </c>
      <c r="H59" s="73">
        <v>12200</v>
      </c>
      <c r="I59" s="73">
        <v>0</v>
      </c>
      <c r="J59" s="73">
        <v>0</v>
      </c>
      <c r="K59" s="73">
        <v>0</v>
      </c>
      <c r="L59" s="27"/>
    </row>
    <row r="60" spans="1:12" x14ac:dyDescent="0.25">
      <c r="A60" s="67">
        <v>312</v>
      </c>
      <c r="B60" s="360" t="s">
        <v>50</v>
      </c>
      <c r="C60" s="369">
        <v>0</v>
      </c>
      <c r="D60" s="384">
        <v>0</v>
      </c>
      <c r="E60" s="369">
        <v>300</v>
      </c>
      <c r="F60" s="419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1"/>
    </row>
    <row r="61" spans="1:12" x14ac:dyDescent="0.25">
      <c r="A61" s="71">
        <v>312</v>
      </c>
      <c r="B61" s="118" t="s">
        <v>52</v>
      </c>
      <c r="C61" s="372">
        <v>0</v>
      </c>
      <c r="D61" s="366">
        <v>0</v>
      </c>
      <c r="E61" s="14">
        <v>0</v>
      </c>
      <c r="F61" s="422">
        <v>3669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1"/>
    </row>
    <row r="62" spans="1:12" x14ac:dyDescent="0.25">
      <c r="A62" s="71">
        <v>312</v>
      </c>
      <c r="B62" s="118" t="s">
        <v>53</v>
      </c>
      <c r="C62" s="372">
        <v>0</v>
      </c>
      <c r="D62" s="366">
        <v>0</v>
      </c>
      <c r="E62" s="14">
        <v>0</v>
      </c>
      <c r="F62" s="422">
        <v>0</v>
      </c>
      <c r="G62" s="73">
        <v>280</v>
      </c>
      <c r="H62" s="73">
        <v>280</v>
      </c>
      <c r="I62" s="73">
        <v>0</v>
      </c>
      <c r="J62" s="73">
        <v>0</v>
      </c>
      <c r="K62" s="73">
        <v>0</v>
      </c>
      <c r="L62" s="1"/>
    </row>
    <row r="63" spans="1:12" ht="15.75" thickBot="1" x14ac:dyDescent="0.3">
      <c r="A63" s="74">
        <v>312</v>
      </c>
      <c r="B63" s="82" t="s">
        <v>54</v>
      </c>
      <c r="C63" s="375">
        <v>0</v>
      </c>
      <c r="D63" s="430">
        <v>0</v>
      </c>
      <c r="E63" s="375">
        <v>30</v>
      </c>
      <c r="F63" s="424">
        <v>33</v>
      </c>
      <c r="G63" s="75">
        <v>1540</v>
      </c>
      <c r="H63" s="75">
        <v>1540</v>
      </c>
      <c r="I63" s="75">
        <v>40</v>
      </c>
      <c r="J63" s="75">
        <v>40</v>
      </c>
      <c r="K63" s="75">
        <v>40</v>
      </c>
      <c r="L63" s="27"/>
    </row>
    <row r="64" spans="1:12" ht="15.75" thickBot="1" x14ac:dyDescent="0.3">
      <c r="A64" s="349">
        <v>312</v>
      </c>
      <c r="B64" s="361" t="s">
        <v>222</v>
      </c>
      <c r="C64" s="373">
        <v>0</v>
      </c>
      <c r="D64" s="386">
        <v>0</v>
      </c>
      <c r="E64" s="373">
        <v>0</v>
      </c>
      <c r="F64" s="423">
        <v>4439</v>
      </c>
      <c r="G64" s="350">
        <v>0</v>
      </c>
      <c r="H64" s="350">
        <v>4030</v>
      </c>
      <c r="I64" s="350">
        <v>4100</v>
      </c>
      <c r="J64" s="350">
        <v>4100</v>
      </c>
      <c r="K64" s="350">
        <v>4100</v>
      </c>
      <c r="L64" s="27"/>
    </row>
    <row r="65" spans="1:13" x14ac:dyDescent="0.25">
      <c r="A65" s="71">
        <v>312</v>
      </c>
      <c r="B65" s="85" t="s">
        <v>55</v>
      </c>
      <c r="C65" s="372">
        <v>12616</v>
      </c>
      <c r="D65" s="366">
        <v>16521</v>
      </c>
      <c r="E65" s="371">
        <v>19278</v>
      </c>
      <c r="F65" s="16">
        <v>14249</v>
      </c>
      <c r="G65" s="16">
        <v>24400</v>
      </c>
      <c r="H65" s="16">
        <v>24400</v>
      </c>
      <c r="I65" s="16">
        <v>19100</v>
      </c>
      <c r="J65" s="16">
        <v>19100</v>
      </c>
      <c r="K65" s="16">
        <v>19100</v>
      </c>
      <c r="L65" s="1"/>
    </row>
    <row r="66" spans="1:13" x14ac:dyDescent="0.25">
      <c r="A66" s="71">
        <v>312</v>
      </c>
      <c r="B66" s="118" t="s">
        <v>56</v>
      </c>
      <c r="C66" s="372">
        <v>22490</v>
      </c>
      <c r="D66" s="366">
        <v>18300</v>
      </c>
      <c r="E66" s="371">
        <v>8700</v>
      </c>
      <c r="F66" s="15">
        <v>10200</v>
      </c>
      <c r="G66" s="15">
        <v>10200</v>
      </c>
      <c r="H66" s="16">
        <v>10200</v>
      </c>
      <c r="I66" s="16">
        <v>11000</v>
      </c>
      <c r="J66" s="16">
        <v>11000</v>
      </c>
      <c r="K66" s="16">
        <v>11000</v>
      </c>
      <c r="L66" s="1"/>
    </row>
    <row r="67" spans="1:13" ht="15.75" thickBot="1" x14ac:dyDescent="0.3">
      <c r="A67" s="77">
        <v>312</v>
      </c>
      <c r="B67" s="165" t="s">
        <v>57</v>
      </c>
      <c r="C67" s="374">
        <v>7511</v>
      </c>
      <c r="D67" s="387">
        <v>7851</v>
      </c>
      <c r="E67" s="392">
        <v>8430</v>
      </c>
      <c r="F67" s="79">
        <v>9770</v>
      </c>
      <c r="G67" s="79">
        <v>11800</v>
      </c>
      <c r="H67" s="79">
        <v>12300</v>
      </c>
      <c r="I67" s="79">
        <v>8600</v>
      </c>
      <c r="J67" s="79">
        <v>8600</v>
      </c>
      <c r="K67" s="79">
        <v>8600</v>
      </c>
      <c r="L67" s="27"/>
      <c r="M67" s="464"/>
    </row>
    <row r="68" spans="1:13" x14ac:dyDescent="0.25">
      <c r="A68" s="71">
        <v>312</v>
      </c>
      <c r="B68" s="85" t="s">
        <v>237</v>
      </c>
      <c r="C68" s="372">
        <v>2100</v>
      </c>
      <c r="D68" s="388">
        <v>2000</v>
      </c>
      <c r="E68" s="371">
        <v>3500</v>
      </c>
      <c r="F68" s="421">
        <v>0</v>
      </c>
      <c r="G68" s="16">
        <v>12000</v>
      </c>
      <c r="H68" s="16">
        <v>0</v>
      </c>
      <c r="I68" s="16"/>
      <c r="J68" s="16"/>
      <c r="K68" s="16"/>
      <c r="L68" s="1"/>
    </row>
    <row r="69" spans="1:13" x14ac:dyDescent="0.25">
      <c r="A69" s="71">
        <v>312</v>
      </c>
      <c r="B69" s="85" t="s">
        <v>58</v>
      </c>
      <c r="C69" s="372">
        <v>10000</v>
      </c>
      <c r="D69" s="389">
        <v>10000</v>
      </c>
      <c r="E69" s="371">
        <v>0</v>
      </c>
      <c r="F69" s="421">
        <v>0</v>
      </c>
      <c r="G69" s="16">
        <v>0</v>
      </c>
      <c r="H69" s="16">
        <v>0</v>
      </c>
      <c r="I69" s="16"/>
      <c r="J69" s="16"/>
      <c r="K69" s="16"/>
      <c r="L69" s="1"/>
    </row>
    <row r="70" spans="1:13" x14ac:dyDescent="0.25">
      <c r="A70" s="71">
        <v>312</v>
      </c>
      <c r="B70" s="118" t="s">
        <v>59</v>
      </c>
      <c r="C70" s="372">
        <v>1400</v>
      </c>
      <c r="D70" s="390">
        <v>1400</v>
      </c>
      <c r="E70" s="371">
        <v>3000</v>
      </c>
      <c r="F70" s="421">
        <v>0</v>
      </c>
      <c r="G70" s="16">
        <v>3000</v>
      </c>
      <c r="H70" s="16">
        <v>0</v>
      </c>
      <c r="I70" s="16"/>
      <c r="J70" s="16"/>
      <c r="K70" s="16"/>
      <c r="L70" s="1"/>
    </row>
    <row r="71" spans="1:13" ht="15.75" thickBot="1" x14ac:dyDescent="0.3">
      <c r="A71" s="74">
        <v>312</v>
      </c>
      <c r="B71" s="82" t="s">
        <v>60</v>
      </c>
      <c r="C71" s="375">
        <v>8000</v>
      </c>
      <c r="D71" s="365">
        <v>11300</v>
      </c>
      <c r="E71" s="375">
        <v>13785</v>
      </c>
      <c r="F71" s="424">
        <v>0</v>
      </c>
      <c r="G71" s="75">
        <v>0</v>
      </c>
      <c r="H71" s="75">
        <v>7000</v>
      </c>
      <c r="I71" s="75">
        <v>0</v>
      </c>
      <c r="J71" s="75">
        <v>0</v>
      </c>
      <c r="K71" s="75">
        <v>0</v>
      </c>
      <c r="L71" s="27"/>
    </row>
    <row r="72" spans="1:13" x14ac:dyDescent="0.25">
      <c r="A72" s="71">
        <v>312</v>
      </c>
      <c r="B72" s="352" t="s">
        <v>61</v>
      </c>
      <c r="C72" s="371">
        <v>3966</v>
      </c>
      <c r="D72" s="385">
        <v>4139</v>
      </c>
      <c r="E72" s="393">
        <v>4569</v>
      </c>
      <c r="F72" s="83">
        <v>4904</v>
      </c>
      <c r="G72" s="83">
        <v>4980</v>
      </c>
      <c r="H72" s="83">
        <v>4980</v>
      </c>
      <c r="I72" s="83">
        <v>5000</v>
      </c>
      <c r="J72" s="83">
        <v>5000</v>
      </c>
      <c r="K72" s="83">
        <v>5000</v>
      </c>
      <c r="L72" s="1"/>
    </row>
    <row r="73" spans="1:13" x14ac:dyDescent="0.25">
      <c r="A73" s="84">
        <v>312</v>
      </c>
      <c r="B73" s="362" t="s">
        <v>62</v>
      </c>
      <c r="C73" s="376">
        <v>3018</v>
      </c>
      <c r="D73" s="389">
        <v>3476</v>
      </c>
      <c r="E73" s="376">
        <v>3771</v>
      </c>
      <c r="F73" s="21">
        <v>4169</v>
      </c>
      <c r="G73" s="21">
        <v>4200</v>
      </c>
      <c r="H73" s="21">
        <v>3700</v>
      </c>
      <c r="I73" s="21">
        <v>3700</v>
      </c>
      <c r="J73" s="21">
        <v>3700</v>
      </c>
      <c r="K73" s="21">
        <v>3700</v>
      </c>
      <c r="L73" s="1"/>
    </row>
    <row r="74" spans="1:13" x14ac:dyDescent="0.25">
      <c r="A74" s="84">
        <v>312</v>
      </c>
      <c r="B74" s="363" t="s">
        <v>320</v>
      </c>
      <c r="C74" s="377">
        <v>2774</v>
      </c>
      <c r="D74" s="390">
        <v>2919</v>
      </c>
      <c r="E74" s="394">
        <v>2837</v>
      </c>
      <c r="F74" s="33">
        <v>3186</v>
      </c>
      <c r="G74" s="33">
        <v>3000</v>
      </c>
      <c r="H74" s="33">
        <v>5559</v>
      </c>
      <c r="I74" s="33">
        <v>3000</v>
      </c>
      <c r="J74" s="33">
        <v>3000</v>
      </c>
      <c r="K74" s="33">
        <v>3000</v>
      </c>
      <c r="L74" s="1"/>
    </row>
    <row r="75" spans="1:13" x14ac:dyDescent="0.25">
      <c r="A75" s="71">
        <v>312</v>
      </c>
      <c r="B75" s="118" t="s">
        <v>63</v>
      </c>
      <c r="C75" s="372">
        <v>12162</v>
      </c>
      <c r="D75" s="366">
        <v>12162</v>
      </c>
      <c r="E75" s="395">
        <v>50858</v>
      </c>
      <c r="F75" s="16">
        <v>84215</v>
      </c>
      <c r="G75" s="16">
        <v>46400</v>
      </c>
      <c r="H75" s="16">
        <v>46400</v>
      </c>
      <c r="I75" s="16">
        <f>89800-64300</f>
        <v>25500</v>
      </c>
      <c r="J75" s="16">
        <v>89800</v>
      </c>
      <c r="K75" s="16">
        <v>89800</v>
      </c>
      <c r="L75" s="1"/>
    </row>
    <row r="76" spans="1:13" x14ac:dyDescent="0.25">
      <c r="A76" s="71">
        <v>312</v>
      </c>
      <c r="B76" s="352" t="s">
        <v>223</v>
      </c>
      <c r="C76" s="372">
        <v>0</v>
      </c>
      <c r="D76" s="366">
        <v>0</v>
      </c>
      <c r="E76" s="395">
        <v>0</v>
      </c>
      <c r="F76" s="83">
        <v>4640</v>
      </c>
      <c r="G76" s="16">
        <v>5200</v>
      </c>
      <c r="H76" s="16">
        <v>5210</v>
      </c>
      <c r="I76" s="16">
        <v>0</v>
      </c>
      <c r="J76" s="16">
        <v>0</v>
      </c>
      <c r="K76" s="16">
        <v>0</v>
      </c>
      <c r="L76" s="1"/>
    </row>
    <row r="77" spans="1:13" ht="15.75" thickBot="1" x14ac:dyDescent="0.3">
      <c r="A77" s="77">
        <v>312</v>
      </c>
      <c r="B77" s="165" t="s">
        <v>64</v>
      </c>
      <c r="C77" s="374">
        <v>0</v>
      </c>
      <c r="D77" s="519"/>
      <c r="E77" s="520">
        <v>31104</v>
      </c>
      <c r="F77" s="79">
        <v>33696</v>
      </c>
      <c r="G77" s="79">
        <v>20000</v>
      </c>
      <c r="H77" s="79">
        <v>40390</v>
      </c>
      <c r="I77" s="79">
        <v>46400</v>
      </c>
      <c r="J77" s="79">
        <v>46400</v>
      </c>
      <c r="K77" s="79">
        <v>46400</v>
      </c>
      <c r="L77" s="27"/>
    </row>
    <row r="78" spans="1:13" x14ac:dyDescent="0.25">
      <c r="A78" s="71">
        <v>315</v>
      </c>
      <c r="B78" s="76" t="s">
        <v>59</v>
      </c>
      <c r="C78" s="372"/>
      <c r="D78" s="367">
        <v>0</v>
      </c>
      <c r="E78" s="395">
        <v>0</v>
      </c>
      <c r="F78" s="425">
        <v>3000</v>
      </c>
      <c r="G78" s="16">
        <v>0</v>
      </c>
      <c r="H78" s="16">
        <v>3000</v>
      </c>
      <c r="I78" s="16">
        <v>3000</v>
      </c>
      <c r="J78" s="16">
        <v>3000</v>
      </c>
      <c r="K78" s="16">
        <v>3000</v>
      </c>
      <c r="L78" s="27"/>
    </row>
    <row r="79" spans="1:13" ht="15.75" thickBot="1" x14ac:dyDescent="0.3">
      <c r="A79" s="77">
        <v>315</v>
      </c>
      <c r="B79" s="78" t="s">
        <v>319</v>
      </c>
      <c r="C79" s="374"/>
      <c r="D79" s="519">
        <v>0</v>
      </c>
      <c r="E79" s="520">
        <v>0</v>
      </c>
      <c r="F79" s="527">
        <v>0</v>
      </c>
      <c r="G79" s="79">
        <v>0</v>
      </c>
      <c r="H79" s="79">
        <v>100</v>
      </c>
      <c r="I79" s="79">
        <v>200</v>
      </c>
      <c r="J79" s="79">
        <v>0</v>
      </c>
      <c r="K79" s="79">
        <v>0</v>
      </c>
      <c r="L79" s="27"/>
    </row>
    <row r="80" spans="1:13" ht="15.75" x14ac:dyDescent="0.25">
      <c r="A80" s="521">
        <v>312</v>
      </c>
      <c r="B80" s="522" t="s">
        <v>254</v>
      </c>
      <c r="C80" s="372"/>
      <c r="D80" s="523">
        <v>0</v>
      </c>
      <c r="E80" s="524">
        <v>0</v>
      </c>
      <c r="F80" s="525">
        <v>38</v>
      </c>
      <c r="G80" s="526">
        <v>0</v>
      </c>
      <c r="H80" s="526">
        <v>0</v>
      </c>
      <c r="I80" s="526">
        <v>0</v>
      </c>
      <c r="J80" s="526">
        <v>0</v>
      </c>
      <c r="K80" s="526">
        <v>0</v>
      </c>
      <c r="L80" s="27"/>
    </row>
    <row r="81" spans="1:19" ht="16.5" thickBot="1" x14ac:dyDescent="0.3">
      <c r="A81" s="86">
        <v>312</v>
      </c>
      <c r="B81" s="87" t="s">
        <v>65</v>
      </c>
      <c r="C81" s="378">
        <v>438144</v>
      </c>
      <c r="D81" s="368">
        <v>446556</v>
      </c>
      <c r="E81" s="378">
        <v>486612</v>
      </c>
      <c r="F81" s="426">
        <v>549196</v>
      </c>
      <c r="G81" s="88">
        <v>556500</v>
      </c>
      <c r="H81" s="88">
        <v>554086</v>
      </c>
      <c r="I81" s="88">
        <v>534950</v>
      </c>
      <c r="J81" s="88">
        <v>534950</v>
      </c>
      <c r="K81" s="88">
        <v>534950</v>
      </c>
      <c r="L81" s="27">
        <f>SUM(I72:I81)</f>
        <v>621750</v>
      </c>
    </row>
    <row r="82" spans="1:19" ht="16.5" thickBot="1" x14ac:dyDescent="0.3">
      <c r="A82" s="89" t="s">
        <v>66</v>
      </c>
      <c r="B82" s="364"/>
      <c r="C82" s="379">
        <f t="shared" ref="C82:K82" si="13">SUM(C3+C11+C35+C37+C45)</f>
        <v>1774628</v>
      </c>
      <c r="D82" s="391">
        <f t="shared" si="13"/>
        <v>1904852</v>
      </c>
      <c r="E82" s="379">
        <f t="shared" si="13"/>
        <v>2103111</v>
      </c>
      <c r="F82" s="379">
        <f t="shared" si="13"/>
        <v>2201436</v>
      </c>
      <c r="G82" s="90">
        <f t="shared" si="13"/>
        <v>2218489</v>
      </c>
      <c r="H82" s="90">
        <f t="shared" si="13"/>
        <v>2326213</v>
      </c>
      <c r="I82" s="90">
        <f t="shared" si="13"/>
        <v>2231928</v>
      </c>
      <c r="J82" s="90">
        <f t="shared" si="13"/>
        <v>2304978</v>
      </c>
      <c r="K82" s="90">
        <f t="shared" si="13"/>
        <v>2339978</v>
      </c>
      <c r="L82" s="1"/>
    </row>
    <row r="83" spans="1:19" x14ac:dyDescent="0.25">
      <c r="A83" s="91" t="s">
        <v>67</v>
      </c>
      <c r="B83" s="92" t="s">
        <v>68</v>
      </c>
      <c r="C83" s="93">
        <v>5446</v>
      </c>
      <c r="D83" s="93">
        <v>7593</v>
      </c>
      <c r="E83" s="93">
        <v>7551</v>
      </c>
      <c r="F83" s="93">
        <v>355</v>
      </c>
      <c r="G83" s="93">
        <v>1450</v>
      </c>
      <c r="H83" s="93">
        <v>2364</v>
      </c>
      <c r="I83" s="93">
        <v>2450</v>
      </c>
      <c r="J83" s="93">
        <v>2450</v>
      </c>
      <c r="K83" s="93">
        <v>2450</v>
      </c>
      <c r="L83" s="1"/>
    </row>
    <row r="84" spans="1:19" x14ac:dyDescent="0.25">
      <c r="A84" s="94" t="s">
        <v>67</v>
      </c>
      <c r="B84" s="92" t="s">
        <v>69</v>
      </c>
      <c r="C84" s="95">
        <v>1300</v>
      </c>
      <c r="D84" s="95">
        <v>1300</v>
      </c>
      <c r="E84" s="95">
        <v>1308</v>
      </c>
      <c r="F84" s="95">
        <v>1250</v>
      </c>
      <c r="G84" s="95">
        <v>2000</v>
      </c>
      <c r="H84" s="95">
        <v>2000</v>
      </c>
      <c r="I84" s="95">
        <v>2000</v>
      </c>
      <c r="J84" s="95">
        <v>2000</v>
      </c>
      <c r="K84" s="95">
        <v>2000</v>
      </c>
      <c r="L84" s="1"/>
      <c r="M84" s="464">
        <f>SUM(E83:E84)</f>
        <v>8859</v>
      </c>
      <c r="N84" s="464">
        <f t="shared" ref="N84:R84" si="14">SUM(F83:F84)</f>
        <v>1605</v>
      </c>
      <c r="O84" s="464">
        <f t="shared" si="14"/>
        <v>3450</v>
      </c>
      <c r="P84" s="464">
        <f t="shared" si="14"/>
        <v>4364</v>
      </c>
      <c r="Q84" s="464">
        <f t="shared" si="14"/>
        <v>4450</v>
      </c>
      <c r="R84" s="464">
        <f t="shared" si="14"/>
        <v>4450</v>
      </c>
      <c r="S84" s="464">
        <f>SUM(K83:K84)</f>
        <v>4450</v>
      </c>
    </row>
    <row r="85" spans="1:19" ht="15.75" thickBot="1" x14ac:dyDescent="0.3">
      <c r="A85" s="96" t="s">
        <v>67</v>
      </c>
      <c r="B85" s="97" t="s">
        <v>70</v>
      </c>
      <c r="C85" s="98">
        <v>0</v>
      </c>
      <c r="D85" s="98">
        <v>0</v>
      </c>
      <c r="E85" s="98">
        <v>50402</v>
      </c>
      <c r="F85" s="98">
        <v>28608</v>
      </c>
      <c r="G85" s="98">
        <v>27000</v>
      </c>
      <c r="H85" s="98">
        <v>18903</v>
      </c>
      <c r="I85" s="98">
        <v>0</v>
      </c>
      <c r="J85" s="98">
        <v>0</v>
      </c>
      <c r="K85" s="98">
        <v>0</v>
      </c>
      <c r="L85" s="1"/>
    </row>
    <row r="86" spans="1:19" ht="15.75" thickBot="1" x14ac:dyDescent="0.3">
      <c r="A86" s="813" t="s">
        <v>71</v>
      </c>
      <c r="B86" s="814"/>
      <c r="C86" s="99">
        <f t="shared" ref="C86:D86" si="15">SUM(C83:C85)</f>
        <v>6746</v>
      </c>
      <c r="D86" s="99">
        <f t="shared" si="15"/>
        <v>8893</v>
      </c>
      <c r="E86" s="99">
        <f t="shared" ref="E86:K86" si="16">SUM(E83:E85)</f>
        <v>59261</v>
      </c>
      <c r="F86" s="99">
        <f t="shared" si="16"/>
        <v>30213</v>
      </c>
      <c r="G86" s="99">
        <f t="shared" si="16"/>
        <v>30450</v>
      </c>
      <c r="H86" s="99">
        <f t="shared" si="16"/>
        <v>23267</v>
      </c>
      <c r="I86" s="99">
        <f t="shared" si="16"/>
        <v>4450</v>
      </c>
      <c r="J86" s="99">
        <f t="shared" ref="J86" si="17">SUM(J83:J85)</f>
        <v>4450</v>
      </c>
      <c r="K86" s="99">
        <f t="shared" si="16"/>
        <v>4450</v>
      </c>
      <c r="L86" s="1"/>
    </row>
    <row r="87" spans="1:19" x14ac:dyDescent="0.25">
      <c r="A87" s="452" t="s">
        <v>67</v>
      </c>
      <c r="B87" s="244" t="s">
        <v>274</v>
      </c>
      <c r="C87" s="453"/>
      <c r="D87" s="247">
        <v>0</v>
      </c>
      <c r="E87" s="247">
        <v>0</v>
      </c>
      <c r="F87" s="247">
        <v>0</v>
      </c>
      <c r="G87" s="247">
        <v>0</v>
      </c>
      <c r="H87" s="247">
        <v>35982</v>
      </c>
      <c r="I87" s="247">
        <v>0</v>
      </c>
      <c r="J87" s="247">
        <v>0</v>
      </c>
      <c r="K87" s="247">
        <v>0</v>
      </c>
      <c r="L87" s="1"/>
    </row>
    <row r="88" spans="1:19" ht="15.75" thickBot="1" x14ac:dyDescent="0.3">
      <c r="A88" s="100" t="s">
        <v>67</v>
      </c>
      <c r="B88" s="101" t="s">
        <v>72</v>
      </c>
      <c r="C88" s="102">
        <v>4930</v>
      </c>
      <c r="D88" s="454">
        <v>10244</v>
      </c>
      <c r="E88" s="455">
        <v>11710</v>
      </c>
      <c r="F88" s="455">
        <v>11266</v>
      </c>
      <c r="G88" s="455">
        <v>13690</v>
      </c>
      <c r="H88" s="455">
        <v>11470</v>
      </c>
      <c r="I88" s="455">
        <v>11470</v>
      </c>
      <c r="J88" s="455">
        <v>11470</v>
      </c>
      <c r="K88" s="455">
        <v>11470</v>
      </c>
      <c r="L88" s="1"/>
    </row>
    <row r="89" spans="1:19" ht="15.75" thickBot="1" x14ac:dyDescent="0.3">
      <c r="A89" s="813" t="s">
        <v>275</v>
      </c>
      <c r="B89" s="814"/>
      <c r="C89" s="102"/>
      <c r="D89" s="451">
        <f>SUM(D87:D88)</f>
        <v>10244</v>
      </c>
      <c r="E89" s="451">
        <f t="shared" ref="E89:K89" si="18">SUM(E87:E88)</f>
        <v>11710</v>
      </c>
      <c r="F89" s="451">
        <f t="shared" si="18"/>
        <v>11266</v>
      </c>
      <c r="G89" s="451">
        <f t="shared" si="18"/>
        <v>13690</v>
      </c>
      <c r="H89" s="451">
        <f t="shared" si="18"/>
        <v>47452</v>
      </c>
      <c r="I89" s="451">
        <f t="shared" si="18"/>
        <v>11470</v>
      </c>
      <c r="J89" s="451">
        <f t="shared" si="18"/>
        <v>11470</v>
      </c>
      <c r="K89" s="451">
        <f t="shared" si="18"/>
        <v>11470</v>
      </c>
      <c r="L89" s="1"/>
    </row>
    <row r="90" spans="1:19" ht="16.5" thickBot="1" x14ac:dyDescent="0.3">
      <c r="A90" s="815" t="s">
        <v>73</v>
      </c>
      <c r="B90" s="816"/>
      <c r="C90" s="103">
        <f t="shared" ref="C90" si="19">C86+C88</f>
        <v>11676</v>
      </c>
      <c r="D90" s="103">
        <f>D86+D89</f>
        <v>19137</v>
      </c>
      <c r="E90" s="103">
        <f t="shared" ref="E90:K90" si="20">E86+E89</f>
        <v>70971</v>
      </c>
      <c r="F90" s="103">
        <f t="shared" si="20"/>
        <v>41479</v>
      </c>
      <c r="G90" s="103">
        <f t="shared" si="20"/>
        <v>44140</v>
      </c>
      <c r="H90" s="103">
        <f t="shared" si="20"/>
        <v>70719</v>
      </c>
      <c r="I90" s="103">
        <f t="shared" si="20"/>
        <v>15920</v>
      </c>
      <c r="J90" s="103">
        <f t="shared" si="20"/>
        <v>15920</v>
      </c>
      <c r="K90" s="103">
        <f t="shared" si="20"/>
        <v>15920</v>
      </c>
      <c r="L90" s="1"/>
    </row>
    <row r="91" spans="1:19" ht="16.5" thickBot="1" x14ac:dyDescent="0.3">
      <c r="A91" s="89" t="s">
        <v>74</v>
      </c>
      <c r="B91" s="66"/>
      <c r="C91" s="90">
        <f t="shared" ref="C91:K91" si="21">C82+C90</f>
        <v>1786304</v>
      </c>
      <c r="D91" s="90">
        <f t="shared" si="21"/>
        <v>1923989</v>
      </c>
      <c r="E91" s="90">
        <f t="shared" si="21"/>
        <v>2174082</v>
      </c>
      <c r="F91" s="90">
        <f t="shared" ref="F91" si="22">F82+F90</f>
        <v>2242915</v>
      </c>
      <c r="G91" s="90">
        <f t="shared" si="21"/>
        <v>2262629</v>
      </c>
      <c r="H91" s="90">
        <f t="shared" si="21"/>
        <v>2396932</v>
      </c>
      <c r="I91" s="90">
        <f t="shared" si="21"/>
        <v>2247848</v>
      </c>
      <c r="J91" s="90">
        <f t="shared" si="21"/>
        <v>2320898</v>
      </c>
      <c r="K91" s="90">
        <f t="shared" si="21"/>
        <v>2355898</v>
      </c>
      <c r="L91" s="1"/>
    </row>
    <row r="92" spans="1:19" x14ac:dyDescent="0.25">
      <c r="A92" s="1"/>
      <c r="B92" s="1"/>
      <c r="C92" s="1"/>
      <c r="D92" s="1"/>
      <c r="E92" s="104"/>
      <c r="F92" s="104"/>
      <c r="G92" s="104"/>
      <c r="H92" s="104"/>
      <c r="I92" s="104"/>
      <c r="J92" s="104"/>
      <c r="K92" s="104"/>
      <c r="L92" s="104"/>
    </row>
    <row r="93" spans="1:19" ht="15.75" x14ac:dyDescent="0.25">
      <c r="A93" s="105"/>
      <c r="B93" s="106"/>
      <c r="C93" s="106"/>
      <c r="D93" s="106"/>
      <c r="E93" s="107"/>
      <c r="F93" s="107"/>
      <c r="G93" s="107"/>
      <c r="H93" s="107"/>
      <c r="I93" s="107"/>
      <c r="J93" s="107"/>
      <c r="K93" s="107"/>
      <c r="L93" s="107"/>
    </row>
    <row r="94" spans="1:19" ht="18.75" thickBot="1" x14ac:dyDescent="0.3">
      <c r="A94" s="817" t="s">
        <v>75</v>
      </c>
      <c r="B94" s="818"/>
      <c r="C94" s="818"/>
      <c r="D94" s="818"/>
      <c r="E94" s="818"/>
      <c r="F94" s="818"/>
      <c r="G94" s="818"/>
      <c r="H94" s="818"/>
      <c r="I94" s="818"/>
      <c r="J94" s="818"/>
      <c r="K94" s="818"/>
      <c r="L94" s="1"/>
    </row>
    <row r="95" spans="1:19" ht="35.25" customHeight="1" thickBot="1" x14ac:dyDescent="0.3">
      <c r="A95" s="838" t="s">
        <v>1</v>
      </c>
      <c r="B95" s="844"/>
      <c r="C95" s="418" t="s">
        <v>2</v>
      </c>
      <c r="D95" s="417" t="s">
        <v>3</v>
      </c>
      <c r="E95" s="417" t="s">
        <v>219</v>
      </c>
      <c r="F95" s="417" t="s">
        <v>249</v>
      </c>
      <c r="G95" s="417" t="s">
        <v>250</v>
      </c>
      <c r="H95" s="417" t="s">
        <v>251</v>
      </c>
      <c r="I95" s="416">
        <v>2022</v>
      </c>
      <c r="J95" s="416">
        <v>2023</v>
      </c>
      <c r="K95" s="416">
        <v>2024</v>
      </c>
      <c r="L95" s="1"/>
    </row>
    <row r="96" spans="1:19" ht="15.75" thickBot="1" x14ac:dyDescent="0.3">
      <c r="A96" s="108" t="s">
        <v>76</v>
      </c>
      <c r="B96" s="109"/>
      <c r="C96" s="110">
        <f t="shared" ref="C96:K96" si="23">SUM(C97:C101)</f>
        <v>156377</v>
      </c>
      <c r="D96" s="111">
        <f t="shared" si="23"/>
        <v>174936</v>
      </c>
      <c r="E96" s="110">
        <f t="shared" si="23"/>
        <v>231640</v>
      </c>
      <c r="F96" s="112">
        <f t="shared" si="23"/>
        <v>231049</v>
      </c>
      <c r="G96" s="112">
        <f t="shared" si="23"/>
        <v>264930</v>
      </c>
      <c r="H96" s="112">
        <f t="shared" si="23"/>
        <v>267890</v>
      </c>
      <c r="I96" s="112">
        <f t="shared" si="23"/>
        <v>290310</v>
      </c>
      <c r="J96" s="112">
        <f t="shared" ref="J96" si="24">SUM(J97:J101)</f>
        <v>273670</v>
      </c>
      <c r="K96" s="112">
        <f t="shared" si="23"/>
        <v>280360</v>
      </c>
      <c r="L96" s="1"/>
    </row>
    <row r="97" spans="1:12" x14ac:dyDescent="0.25">
      <c r="A97" s="113" t="s">
        <v>77</v>
      </c>
      <c r="B97" s="85" t="s">
        <v>78</v>
      </c>
      <c r="C97" s="114">
        <v>80991</v>
      </c>
      <c r="D97" s="115">
        <v>85746</v>
      </c>
      <c r="E97" s="116">
        <v>107957</v>
      </c>
      <c r="F97" s="56">
        <v>109255</v>
      </c>
      <c r="G97" s="56">
        <v>115400</v>
      </c>
      <c r="H97" s="56">
        <v>122350</v>
      </c>
      <c r="I97" s="56">
        <f>143650</f>
        <v>143650</v>
      </c>
      <c r="J97" s="56">
        <v>134550</v>
      </c>
      <c r="K97" s="56">
        <v>133250</v>
      </c>
      <c r="L97" s="1"/>
    </row>
    <row r="98" spans="1:12" x14ac:dyDescent="0.25">
      <c r="A98" s="117" t="s">
        <v>79</v>
      </c>
      <c r="B98" s="118" t="s">
        <v>80</v>
      </c>
      <c r="C98" s="62">
        <v>43743</v>
      </c>
      <c r="D98" s="119">
        <v>51946</v>
      </c>
      <c r="E98" s="120">
        <v>68901</v>
      </c>
      <c r="F98" s="61">
        <v>68993</v>
      </c>
      <c r="G98" s="61">
        <f>78530-1000+5500</f>
        <v>83030</v>
      </c>
      <c r="H98" s="61">
        <v>83030</v>
      </c>
      <c r="I98" s="61">
        <v>83740</v>
      </c>
      <c r="J98" s="61">
        <v>83200</v>
      </c>
      <c r="K98" s="61">
        <v>83190</v>
      </c>
      <c r="L98" s="1"/>
    </row>
    <row r="99" spans="1:12" x14ac:dyDescent="0.25">
      <c r="A99" s="117" t="s">
        <v>81</v>
      </c>
      <c r="B99" s="118" t="s">
        <v>82</v>
      </c>
      <c r="C99" s="62">
        <v>1742</v>
      </c>
      <c r="D99" s="119">
        <v>3680</v>
      </c>
      <c r="E99" s="120">
        <v>4907</v>
      </c>
      <c r="F99" s="61">
        <v>538</v>
      </c>
      <c r="G99" s="61">
        <f>3700+1000</f>
        <v>4700</v>
      </c>
      <c r="H99" s="61">
        <v>4700</v>
      </c>
      <c r="I99" s="61">
        <f>4000-1000</f>
        <v>3000</v>
      </c>
      <c r="J99" s="61">
        <v>4000</v>
      </c>
      <c r="K99" s="61">
        <v>4000</v>
      </c>
      <c r="L99" s="1"/>
    </row>
    <row r="100" spans="1:12" x14ac:dyDescent="0.25">
      <c r="A100" s="121" t="s">
        <v>83</v>
      </c>
      <c r="B100" s="118" t="s">
        <v>84</v>
      </c>
      <c r="C100" s="59">
        <v>27812</v>
      </c>
      <c r="D100" s="122">
        <v>31492</v>
      </c>
      <c r="E100" s="120">
        <v>43664</v>
      </c>
      <c r="F100" s="61">
        <v>44203</v>
      </c>
      <c r="G100" s="61">
        <f>52600</f>
        <v>52600</v>
      </c>
      <c r="H100" s="61">
        <f>52600</f>
        <v>52600</v>
      </c>
      <c r="I100" s="61">
        <v>55920</v>
      </c>
      <c r="J100" s="61">
        <v>51920</v>
      </c>
      <c r="K100" s="61">
        <v>51920</v>
      </c>
      <c r="L100" s="1"/>
    </row>
    <row r="101" spans="1:12" ht="15.75" thickBot="1" x14ac:dyDescent="0.3">
      <c r="A101" s="123" t="s">
        <v>85</v>
      </c>
      <c r="B101" s="124" t="s">
        <v>236</v>
      </c>
      <c r="C101" s="125">
        <v>2089</v>
      </c>
      <c r="D101" s="126">
        <v>2072</v>
      </c>
      <c r="E101" s="127">
        <v>6211</v>
      </c>
      <c r="F101" s="128">
        <v>8060</v>
      </c>
      <c r="G101" s="128">
        <f>6100+3100</f>
        <v>9200</v>
      </c>
      <c r="H101" s="128">
        <f>9200-4000+10</f>
        <v>5210</v>
      </c>
      <c r="I101" s="128">
        <v>4000</v>
      </c>
      <c r="J101" s="128">
        <v>0</v>
      </c>
      <c r="K101" s="128">
        <v>8000</v>
      </c>
      <c r="L101" s="1"/>
    </row>
    <row r="102" spans="1:12" ht="15.75" thickBot="1" x14ac:dyDescent="0.3">
      <c r="A102" s="129" t="s">
        <v>86</v>
      </c>
      <c r="B102" s="130"/>
      <c r="C102" s="110">
        <f t="shared" ref="C102:K102" si="25">SUM(C103)</f>
        <v>1395</v>
      </c>
      <c r="D102" s="111">
        <f t="shared" si="25"/>
        <v>1431</v>
      </c>
      <c r="E102" s="110">
        <f t="shared" si="25"/>
        <v>1635</v>
      </c>
      <c r="F102" s="112">
        <f t="shared" ref="F102" si="26">SUM(F103)</f>
        <v>15024.4</v>
      </c>
      <c r="G102" s="112">
        <f t="shared" ref="G102:H102" si="27">SUM(G103)</f>
        <v>11300</v>
      </c>
      <c r="H102" s="112">
        <f t="shared" si="27"/>
        <v>31701</v>
      </c>
      <c r="I102" s="112">
        <f t="shared" si="25"/>
        <v>14610</v>
      </c>
      <c r="J102" s="112">
        <f t="shared" si="25"/>
        <v>6560</v>
      </c>
      <c r="K102" s="112">
        <f t="shared" si="25"/>
        <v>6560</v>
      </c>
      <c r="L102" s="1"/>
    </row>
    <row r="103" spans="1:12" ht="15.75" thickBot="1" x14ac:dyDescent="0.3">
      <c r="A103" s="131" t="s">
        <v>87</v>
      </c>
      <c r="B103" s="106" t="s">
        <v>281</v>
      </c>
      <c r="C103" s="132">
        <v>1395</v>
      </c>
      <c r="D103" s="133">
        <v>1431</v>
      </c>
      <c r="E103" s="132">
        <v>1635</v>
      </c>
      <c r="F103" s="134">
        <v>15024.4</v>
      </c>
      <c r="G103" s="134">
        <f>11300</f>
        <v>11300</v>
      </c>
      <c r="H103" s="134">
        <v>31701</v>
      </c>
      <c r="I103" s="134">
        <v>14610</v>
      </c>
      <c r="J103" s="134">
        <v>6560</v>
      </c>
      <c r="K103" s="134">
        <v>6560</v>
      </c>
      <c r="L103" s="1"/>
    </row>
    <row r="104" spans="1:12" ht="15.75" thickBot="1" x14ac:dyDescent="0.3">
      <c r="A104" s="129" t="s">
        <v>88</v>
      </c>
      <c r="B104" s="130"/>
      <c r="C104" s="110">
        <f t="shared" ref="C104:K104" si="28">SUM(C105:C106)</f>
        <v>9689</v>
      </c>
      <c r="D104" s="111">
        <f t="shared" si="28"/>
        <v>8988</v>
      </c>
      <c r="E104" s="110">
        <f t="shared" si="28"/>
        <v>11263</v>
      </c>
      <c r="F104" s="112">
        <f t="shared" ref="F104" si="29">SUM(F105:F106)</f>
        <v>11779</v>
      </c>
      <c r="G104" s="112">
        <f t="shared" ref="G104" si="30">SUM(G105:G106)</f>
        <v>15200</v>
      </c>
      <c r="H104" s="112">
        <f t="shared" ref="H104" si="31">SUM(H105:H106)</f>
        <v>14700</v>
      </c>
      <c r="I104" s="112">
        <f t="shared" si="28"/>
        <v>16500</v>
      </c>
      <c r="J104" s="112">
        <f t="shared" ref="J104" si="32">SUM(J105:J106)</f>
        <v>15300</v>
      </c>
      <c r="K104" s="112">
        <f t="shared" si="28"/>
        <v>15300</v>
      </c>
      <c r="L104" s="1"/>
    </row>
    <row r="105" spans="1:12" x14ac:dyDescent="0.25">
      <c r="A105" s="135" t="s">
        <v>89</v>
      </c>
      <c r="B105" s="136" t="s">
        <v>90</v>
      </c>
      <c r="C105" s="137">
        <v>8907</v>
      </c>
      <c r="D105" s="138">
        <v>8297</v>
      </c>
      <c r="E105" s="137">
        <v>10063</v>
      </c>
      <c r="F105" s="139">
        <v>10579</v>
      </c>
      <c r="G105" s="139">
        <v>13600</v>
      </c>
      <c r="H105" s="139">
        <f t="shared" ref="H105" si="33">13600-1000</f>
        <v>12600</v>
      </c>
      <c r="I105" s="139">
        <v>14900</v>
      </c>
      <c r="J105" s="139">
        <v>13400</v>
      </c>
      <c r="K105" s="139">
        <v>13400</v>
      </c>
      <c r="L105" s="1"/>
    </row>
    <row r="106" spans="1:12" ht="15.75" thickBot="1" x14ac:dyDescent="0.3">
      <c r="A106" s="140" t="s">
        <v>91</v>
      </c>
      <c r="B106" s="141" t="s">
        <v>92</v>
      </c>
      <c r="C106" s="142">
        <v>782</v>
      </c>
      <c r="D106" s="143">
        <v>691</v>
      </c>
      <c r="E106" s="142">
        <v>1200</v>
      </c>
      <c r="F106" s="128">
        <v>1200</v>
      </c>
      <c r="G106" s="128">
        <v>1600</v>
      </c>
      <c r="H106" s="128">
        <f t="shared" ref="H106" si="34">1600+500</f>
        <v>2100</v>
      </c>
      <c r="I106" s="128">
        <v>1600</v>
      </c>
      <c r="J106" s="128">
        <v>1900</v>
      </c>
      <c r="K106" s="128">
        <v>1900</v>
      </c>
      <c r="L106" s="1"/>
    </row>
    <row r="107" spans="1:12" ht="15.75" thickBot="1" x14ac:dyDescent="0.3">
      <c r="A107" s="108" t="s">
        <v>93</v>
      </c>
      <c r="B107" s="144"/>
      <c r="C107" s="110">
        <f t="shared" ref="C107:K107" si="35">SUM(C108:C110)</f>
        <v>56288</v>
      </c>
      <c r="D107" s="111">
        <f t="shared" si="35"/>
        <v>63855</v>
      </c>
      <c r="E107" s="110">
        <f t="shared" si="35"/>
        <v>56565</v>
      </c>
      <c r="F107" s="112">
        <f t="shared" ref="F107" si="36">SUM(F108:F110)</f>
        <v>56275</v>
      </c>
      <c r="G107" s="112">
        <f t="shared" ref="G107:H107" si="37">SUM(G108:G110)</f>
        <v>95600</v>
      </c>
      <c r="H107" s="112">
        <f t="shared" si="37"/>
        <v>140300</v>
      </c>
      <c r="I107" s="112">
        <f t="shared" si="35"/>
        <v>71400</v>
      </c>
      <c r="J107" s="112">
        <f t="shared" si="35"/>
        <v>91500</v>
      </c>
      <c r="K107" s="112">
        <f t="shared" si="35"/>
        <v>91500</v>
      </c>
      <c r="L107" s="1"/>
    </row>
    <row r="108" spans="1:12" x14ac:dyDescent="0.25">
      <c r="A108" s="145" t="s">
        <v>94</v>
      </c>
      <c r="B108" s="146" t="s">
        <v>95</v>
      </c>
      <c r="C108" s="54">
        <v>19779</v>
      </c>
      <c r="D108" s="147">
        <v>23803</v>
      </c>
      <c r="E108" s="148">
        <v>22533</v>
      </c>
      <c r="F108" s="55">
        <v>17512</v>
      </c>
      <c r="G108" s="55">
        <f>26800-700</f>
        <v>26100</v>
      </c>
      <c r="H108" s="55">
        <v>24500</v>
      </c>
      <c r="I108" s="55">
        <v>25300</v>
      </c>
      <c r="J108" s="55">
        <v>25200</v>
      </c>
      <c r="K108" s="55">
        <v>25200</v>
      </c>
      <c r="L108" s="1"/>
    </row>
    <row r="109" spans="1:12" x14ac:dyDescent="0.25">
      <c r="A109" s="121" t="s">
        <v>96</v>
      </c>
      <c r="B109" s="118" t="s">
        <v>97</v>
      </c>
      <c r="C109" s="62">
        <v>17838</v>
      </c>
      <c r="D109" s="149">
        <v>18459</v>
      </c>
      <c r="E109" s="150">
        <v>23593</v>
      </c>
      <c r="F109" s="60">
        <v>24873</v>
      </c>
      <c r="G109" s="60">
        <f>35000-3000+2000</f>
        <v>34000</v>
      </c>
      <c r="H109" s="60">
        <f>34000+200-200+1000</f>
        <v>35000</v>
      </c>
      <c r="I109" s="60">
        <v>24300</v>
      </c>
      <c r="J109" s="60">
        <v>30000</v>
      </c>
      <c r="K109" s="60">
        <v>30000</v>
      </c>
      <c r="L109" s="1"/>
    </row>
    <row r="110" spans="1:12" ht="15.75" thickBot="1" x14ac:dyDescent="0.3">
      <c r="A110" s="121" t="s">
        <v>98</v>
      </c>
      <c r="B110" s="118" t="s">
        <v>99</v>
      </c>
      <c r="C110" s="59">
        <v>18671</v>
      </c>
      <c r="D110" s="151">
        <v>21593</v>
      </c>
      <c r="E110" s="152">
        <v>10439</v>
      </c>
      <c r="F110" s="60">
        <v>13890</v>
      </c>
      <c r="G110" s="60">
        <f>17000+20000-1500</f>
        <v>35500</v>
      </c>
      <c r="H110" s="60">
        <v>80800</v>
      </c>
      <c r="I110" s="60">
        <v>21800</v>
      </c>
      <c r="J110" s="60">
        <v>36300</v>
      </c>
      <c r="K110" s="60">
        <v>36300</v>
      </c>
      <c r="L110" s="1"/>
    </row>
    <row r="111" spans="1:12" ht="15.75" thickBot="1" x14ac:dyDescent="0.3">
      <c r="A111" s="821" t="s">
        <v>100</v>
      </c>
      <c r="B111" s="822"/>
      <c r="C111" s="110">
        <f t="shared" ref="C111:K111" si="38">SUM(C112:C115)</f>
        <v>78137</v>
      </c>
      <c r="D111" s="111">
        <f t="shared" si="38"/>
        <v>81463</v>
      </c>
      <c r="E111" s="110">
        <f t="shared" si="38"/>
        <v>90857</v>
      </c>
      <c r="F111" s="112">
        <f t="shared" ref="F111" si="39">SUM(F112:F115)</f>
        <v>85176</v>
      </c>
      <c r="G111" s="112">
        <f t="shared" ref="G111" si="40">SUM(G112:G115)</f>
        <v>118000</v>
      </c>
      <c r="H111" s="112">
        <f t="shared" ref="H111" si="41">SUM(H112:H115)</f>
        <v>116430</v>
      </c>
      <c r="I111" s="112">
        <f t="shared" si="38"/>
        <v>124900</v>
      </c>
      <c r="J111" s="112">
        <f t="shared" ref="J111" si="42">SUM(J112:J115)</f>
        <v>124000</v>
      </c>
      <c r="K111" s="112">
        <f t="shared" si="38"/>
        <v>122200</v>
      </c>
      <c r="L111" s="1"/>
    </row>
    <row r="112" spans="1:12" x14ac:dyDescent="0.25">
      <c r="A112" s="153" t="s">
        <v>101</v>
      </c>
      <c r="B112" s="154" t="s">
        <v>102</v>
      </c>
      <c r="C112" s="155">
        <v>41225</v>
      </c>
      <c r="D112" s="156">
        <v>46871</v>
      </c>
      <c r="E112" s="157">
        <v>55351</v>
      </c>
      <c r="F112" s="139">
        <v>53221</v>
      </c>
      <c r="G112" s="139">
        <v>76900</v>
      </c>
      <c r="H112" s="139">
        <f>76900-12000+4030</f>
        <v>68930</v>
      </c>
      <c r="I112" s="139">
        <v>76800</v>
      </c>
      <c r="J112" s="139">
        <v>77900</v>
      </c>
      <c r="K112" s="139">
        <v>77500</v>
      </c>
      <c r="L112" s="1"/>
    </row>
    <row r="113" spans="1:12" x14ac:dyDescent="0.25">
      <c r="A113" s="121" t="s">
        <v>103</v>
      </c>
      <c r="B113" s="118" t="s">
        <v>104</v>
      </c>
      <c r="C113" s="158">
        <v>33622</v>
      </c>
      <c r="D113" s="149">
        <v>29509</v>
      </c>
      <c r="E113" s="150">
        <v>30304</v>
      </c>
      <c r="F113" s="152">
        <v>27431</v>
      </c>
      <c r="G113" s="60">
        <v>32500</v>
      </c>
      <c r="H113" s="152">
        <f>32500-1000+2000+4900</f>
        <v>38400</v>
      </c>
      <c r="I113" s="152">
        <v>36500</v>
      </c>
      <c r="J113" s="152">
        <v>37100</v>
      </c>
      <c r="K113" s="152">
        <v>35700</v>
      </c>
      <c r="L113" s="1"/>
    </row>
    <row r="114" spans="1:12" x14ac:dyDescent="0.25">
      <c r="A114" s="131" t="s">
        <v>105</v>
      </c>
      <c r="B114" s="159" t="s">
        <v>106</v>
      </c>
      <c r="C114" s="160">
        <v>746</v>
      </c>
      <c r="D114" s="161">
        <v>1245</v>
      </c>
      <c r="E114" s="162">
        <v>1073</v>
      </c>
      <c r="F114" s="163">
        <v>1299</v>
      </c>
      <c r="G114" s="437">
        <v>1500</v>
      </c>
      <c r="H114" s="163">
        <v>1500</v>
      </c>
      <c r="I114" s="163">
        <v>1500</v>
      </c>
      <c r="J114" s="163">
        <v>1500</v>
      </c>
      <c r="K114" s="163">
        <v>1500</v>
      </c>
      <c r="L114" s="1"/>
    </row>
    <row r="115" spans="1:12" ht="15.75" thickBot="1" x14ac:dyDescent="0.3">
      <c r="A115" s="164" t="s">
        <v>107</v>
      </c>
      <c r="B115" s="165" t="s">
        <v>108</v>
      </c>
      <c r="C115" s="166">
        <v>2544</v>
      </c>
      <c r="D115" s="167">
        <v>3838</v>
      </c>
      <c r="E115" s="168">
        <v>4129</v>
      </c>
      <c r="F115" s="168">
        <v>3225</v>
      </c>
      <c r="G115" s="438">
        <v>7100</v>
      </c>
      <c r="H115" s="174">
        <v>7600</v>
      </c>
      <c r="I115" s="168">
        <v>10100</v>
      </c>
      <c r="J115" s="168">
        <v>7500</v>
      </c>
      <c r="K115" s="168">
        <v>7500</v>
      </c>
      <c r="L115" s="1"/>
    </row>
    <row r="116" spans="1:12" ht="15.75" thickBot="1" x14ac:dyDescent="0.3">
      <c r="A116" s="108" t="s">
        <v>109</v>
      </c>
      <c r="B116" s="144"/>
      <c r="C116" s="110">
        <f t="shared" ref="C116:K116" si="43">SUM(C117:C119)</f>
        <v>107398</v>
      </c>
      <c r="D116" s="111">
        <f t="shared" si="43"/>
        <v>124762</v>
      </c>
      <c r="E116" s="110">
        <f t="shared" si="43"/>
        <v>130822</v>
      </c>
      <c r="F116" s="110">
        <f t="shared" ref="F116" si="44">SUM(F117:F119)</f>
        <v>125647</v>
      </c>
      <c r="G116" s="112">
        <f t="shared" ref="G116" si="45">SUM(G117:G119)</f>
        <v>168579</v>
      </c>
      <c r="H116" s="110">
        <f t="shared" ref="H116" si="46">SUM(H117:H119)</f>
        <v>156079</v>
      </c>
      <c r="I116" s="110">
        <f t="shared" si="43"/>
        <v>204648</v>
      </c>
      <c r="J116" s="110">
        <f t="shared" ref="J116" si="47">SUM(J117:J119)</f>
        <v>205518</v>
      </c>
      <c r="K116" s="110">
        <f t="shared" si="43"/>
        <v>210358</v>
      </c>
      <c r="L116" s="1"/>
    </row>
    <row r="117" spans="1:12" x14ac:dyDescent="0.25">
      <c r="A117" s="145" t="s">
        <v>110</v>
      </c>
      <c r="B117" s="85" t="s">
        <v>111</v>
      </c>
      <c r="C117" s="114">
        <v>78470</v>
      </c>
      <c r="D117" s="115">
        <v>88196</v>
      </c>
      <c r="E117" s="169">
        <v>96103</v>
      </c>
      <c r="F117" s="116">
        <v>81828</v>
      </c>
      <c r="G117" s="56">
        <f>139479-10000</f>
        <v>129479</v>
      </c>
      <c r="H117" s="116">
        <f>129479-600+1000-4000-4900</f>
        <v>120979</v>
      </c>
      <c r="I117" s="116">
        <v>156748</v>
      </c>
      <c r="J117" s="116">
        <v>158118</v>
      </c>
      <c r="K117" s="116">
        <v>162958</v>
      </c>
      <c r="L117" s="1"/>
    </row>
    <row r="118" spans="1:12" x14ac:dyDescent="0.25">
      <c r="A118" s="170" t="s">
        <v>112</v>
      </c>
      <c r="B118" s="118" t="s">
        <v>113</v>
      </c>
      <c r="C118" s="62">
        <v>18042</v>
      </c>
      <c r="D118" s="149">
        <v>16953</v>
      </c>
      <c r="E118" s="150">
        <v>17218</v>
      </c>
      <c r="F118" s="152">
        <v>27299</v>
      </c>
      <c r="G118" s="60">
        <f>20500+300+300</f>
        <v>21100</v>
      </c>
      <c r="H118" s="152">
        <v>19100</v>
      </c>
      <c r="I118" s="152">
        <v>29700</v>
      </c>
      <c r="J118" s="152">
        <v>29200</v>
      </c>
      <c r="K118" s="152">
        <v>29200</v>
      </c>
      <c r="L118" s="1"/>
    </row>
    <row r="119" spans="1:12" ht="15.75" thickBot="1" x14ac:dyDescent="0.3">
      <c r="A119" s="171" t="s">
        <v>114</v>
      </c>
      <c r="B119" s="165" t="s">
        <v>115</v>
      </c>
      <c r="C119" s="172">
        <v>10886</v>
      </c>
      <c r="D119" s="173">
        <v>19613</v>
      </c>
      <c r="E119" s="174">
        <v>17501</v>
      </c>
      <c r="F119" s="174">
        <v>16520</v>
      </c>
      <c r="G119" s="186">
        <v>18000</v>
      </c>
      <c r="H119" s="174">
        <f t="shared" ref="H119" si="48">18000-1000-1000</f>
        <v>16000</v>
      </c>
      <c r="I119" s="174">
        <v>18200</v>
      </c>
      <c r="J119" s="174">
        <v>18200</v>
      </c>
      <c r="K119" s="174">
        <v>18200</v>
      </c>
      <c r="L119" s="1"/>
    </row>
    <row r="120" spans="1:12" ht="15.75" thickBot="1" x14ac:dyDescent="0.3">
      <c r="A120" s="175" t="s">
        <v>116</v>
      </c>
      <c r="B120" s="176"/>
      <c r="C120" s="177">
        <f t="shared" ref="C120:I120" si="49">SUM(C121:C124)</f>
        <v>462</v>
      </c>
      <c r="D120" s="178">
        <f t="shared" si="49"/>
        <v>115</v>
      </c>
      <c r="E120" s="177">
        <f t="shared" si="49"/>
        <v>855</v>
      </c>
      <c r="F120" s="177">
        <f t="shared" ref="F120" si="50">SUM(F121:F124)</f>
        <v>216</v>
      </c>
      <c r="G120" s="439">
        <f>SUM(G121:G124)</f>
        <v>630</v>
      </c>
      <c r="H120" s="439">
        <f t="shared" ref="H120" si="51">SUM(H121:H124)</f>
        <v>94865</v>
      </c>
      <c r="I120" s="177">
        <f t="shared" si="49"/>
        <v>4850</v>
      </c>
      <c r="J120" s="177">
        <f t="shared" ref="J120:K120" si="52">SUM(J121:J124)</f>
        <v>750</v>
      </c>
      <c r="K120" s="177">
        <f t="shared" si="52"/>
        <v>600</v>
      </c>
      <c r="L120" s="1"/>
    </row>
    <row r="121" spans="1:12" x14ac:dyDescent="0.25">
      <c r="A121" s="135" t="s">
        <v>117</v>
      </c>
      <c r="B121" s="154" t="s">
        <v>118</v>
      </c>
      <c r="C121" s="179">
        <v>50</v>
      </c>
      <c r="D121" s="180">
        <v>0</v>
      </c>
      <c r="E121" s="157">
        <v>40</v>
      </c>
      <c r="F121" s="181">
        <v>0</v>
      </c>
      <c r="G121" s="181">
        <v>50</v>
      </c>
      <c r="H121" s="181">
        <v>50</v>
      </c>
      <c r="I121" s="181">
        <v>50</v>
      </c>
      <c r="J121" s="181">
        <v>50</v>
      </c>
      <c r="K121" s="181">
        <v>50</v>
      </c>
      <c r="L121" s="1"/>
    </row>
    <row r="122" spans="1:12" x14ac:dyDescent="0.25">
      <c r="A122" s="170" t="s">
        <v>119</v>
      </c>
      <c r="B122" s="118" t="s">
        <v>120</v>
      </c>
      <c r="C122" s="62">
        <v>84</v>
      </c>
      <c r="D122" s="182">
        <v>3</v>
      </c>
      <c r="E122" s="183">
        <v>28</v>
      </c>
      <c r="F122" s="184">
        <v>76</v>
      </c>
      <c r="G122" s="184">
        <v>50</v>
      </c>
      <c r="H122" s="184">
        <v>50</v>
      </c>
      <c r="I122" s="184">
        <v>50</v>
      </c>
      <c r="J122" s="184">
        <v>50</v>
      </c>
      <c r="K122" s="184">
        <v>50</v>
      </c>
      <c r="L122" s="1"/>
    </row>
    <row r="123" spans="1:12" x14ac:dyDescent="0.25">
      <c r="A123" s="170" t="s">
        <v>121</v>
      </c>
      <c r="B123" s="118" t="s">
        <v>122</v>
      </c>
      <c r="C123" s="62">
        <v>328</v>
      </c>
      <c r="D123" s="182">
        <v>112</v>
      </c>
      <c r="E123" s="150">
        <v>487</v>
      </c>
      <c r="F123" s="60">
        <v>140</v>
      </c>
      <c r="G123" s="152">
        <f>330+200</f>
        <v>530</v>
      </c>
      <c r="H123" s="60">
        <v>530</v>
      </c>
      <c r="I123" s="60">
        <v>750</v>
      </c>
      <c r="J123" s="60">
        <v>650</v>
      </c>
      <c r="K123" s="60">
        <v>500</v>
      </c>
      <c r="L123" s="1"/>
    </row>
    <row r="124" spans="1:12" ht="15.75" thickBot="1" x14ac:dyDescent="0.3">
      <c r="A124" s="187" t="s">
        <v>123</v>
      </c>
      <c r="B124" s="188" t="s">
        <v>260</v>
      </c>
      <c r="C124" s="189">
        <v>0</v>
      </c>
      <c r="D124" s="190">
        <v>0</v>
      </c>
      <c r="E124" s="127">
        <v>300</v>
      </c>
      <c r="F124" s="191">
        <v>0</v>
      </c>
      <c r="G124" s="128">
        <v>0</v>
      </c>
      <c r="H124" s="427">
        <f>18000+14000+1000+20000+11000+1235+20000+20000-11000</f>
        <v>94235</v>
      </c>
      <c r="I124" s="191">
        <v>4000</v>
      </c>
      <c r="J124" s="191">
        <v>0</v>
      </c>
      <c r="K124" s="191">
        <v>0</v>
      </c>
      <c r="L124" s="1"/>
    </row>
    <row r="125" spans="1:12" ht="15.75" thickBot="1" x14ac:dyDescent="0.3">
      <c r="A125" s="192" t="s">
        <v>124</v>
      </c>
      <c r="B125" s="193"/>
      <c r="C125" s="194">
        <f t="shared" ref="C125:K125" si="53">SUM(C126:C130)</f>
        <v>113224</v>
      </c>
      <c r="D125" s="195">
        <f t="shared" si="53"/>
        <v>129064</v>
      </c>
      <c r="E125" s="194">
        <f t="shared" si="53"/>
        <v>134379</v>
      </c>
      <c r="F125" s="194">
        <f t="shared" ref="F125" si="54">SUM(F126:F130)</f>
        <v>84983</v>
      </c>
      <c r="G125" s="440">
        <f t="shared" ref="G125" si="55">SUM(G126:G130)</f>
        <v>103440</v>
      </c>
      <c r="H125" s="194">
        <f t="shared" si="53"/>
        <v>89663</v>
      </c>
      <c r="I125" s="194">
        <f t="shared" si="53"/>
        <v>109550</v>
      </c>
      <c r="J125" s="194">
        <f t="shared" ref="J125" si="56">SUM(J126:J130)</f>
        <v>92600</v>
      </c>
      <c r="K125" s="194">
        <f t="shared" si="53"/>
        <v>92600</v>
      </c>
      <c r="L125" s="1"/>
    </row>
    <row r="126" spans="1:12" x14ac:dyDescent="0.25">
      <c r="A126" s="153" t="s">
        <v>125</v>
      </c>
      <c r="B126" s="154" t="s">
        <v>126</v>
      </c>
      <c r="C126" s="179">
        <v>14818</v>
      </c>
      <c r="D126" s="156">
        <v>21592</v>
      </c>
      <c r="E126" s="137">
        <v>16936</v>
      </c>
      <c r="F126" s="139">
        <v>11627</v>
      </c>
      <c r="G126" s="139">
        <f>19700-5000</f>
        <v>14700</v>
      </c>
      <c r="H126" s="139">
        <v>14700</v>
      </c>
      <c r="I126" s="139">
        <v>24000</v>
      </c>
      <c r="J126" s="139">
        <v>19500</v>
      </c>
      <c r="K126" s="139">
        <v>19500</v>
      </c>
      <c r="L126" s="1"/>
    </row>
    <row r="127" spans="1:12" x14ac:dyDescent="0.25">
      <c r="A127" s="196" t="s">
        <v>127</v>
      </c>
      <c r="B127" s="197" t="s">
        <v>128</v>
      </c>
      <c r="C127" s="54">
        <v>77935</v>
      </c>
      <c r="D127" s="198">
        <v>86797</v>
      </c>
      <c r="E127" s="148">
        <v>80713</v>
      </c>
      <c r="F127" s="55">
        <v>14925</v>
      </c>
      <c r="G127" s="55">
        <f>23300+1000+1000+10000+5000+1500+15000</f>
        <v>56800</v>
      </c>
      <c r="H127" s="55">
        <v>36850</v>
      </c>
      <c r="I127" s="55">
        <v>53650</v>
      </c>
      <c r="J127" s="55">
        <v>47400</v>
      </c>
      <c r="K127" s="55">
        <v>47400</v>
      </c>
      <c r="L127" s="1"/>
    </row>
    <row r="128" spans="1:12" x14ac:dyDescent="0.25">
      <c r="A128" s="196" t="s">
        <v>129</v>
      </c>
      <c r="B128" s="85" t="s">
        <v>130</v>
      </c>
      <c r="C128" s="114">
        <v>3135</v>
      </c>
      <c r="D128" s="199">
        <v>2921</v>
      </c>
      <c r="E128" s="148">
        <v>3189</v>
      </c>
      <c r="F128" s="55">
        <v>8792</v>
      </c>
      <c r="G128" s="55">
        <f>3800+500+240</f>
        <v>4540</v>
      </c>
      <c r="H128" s="55">
        <v>4540</v>
      </c>
      <c r="I128" s="55">
        <v>5100</v>
      </c>
      <c r="J128" s="55">
        <v>4400</v>
      </c>
      <c r="K128" s="55">
        <v>4400</v>
      </c>
      <c r="L128" s="1"/>
    </row>
    <row r="129" spans="1:17" x14ac:dyDescent="0.25">
      <c r="A129" s="196" t="s">
        <v>131</v>
      </c>
      <c r="B129" s="85" t="s">
        <v>132</v>
      </c>
      <c r="C129" s="114">
        <v>8294</v>
      </c>
      <c r="D129" s="199">
        <v>9794</v>
      </c>
      <c r="E129" s="148">
        <v>11638</v>
      </c>
      <c r="F129" s="55">
        <v>44656</v>
      </c>
      <c r="G129" s="55">
        <f>27500-8000+2000+500</f>
        <v>22000</v>
      </c>
      <c r="H129" s="55">
        <v>22000</v>
      </c>
      <c r="I129" s="55">
        <v>15600</v>
      </c>
      <c r="J129" s="55">
        <v>15100</v>
      </c>
      <c r="K129" s="55">
        <v>15100</v>
      </c>
      <c r="L129" s="1"/>
    </row>
    <row r="130" spans="1:17" ht="15.75" thickBot="1" x14ac:dyDescent="0.3">
      <c r="A130" s="164" t="s">
        <v>133</v>
      </c>
      <c r="B130" s="165" t="s">
        <v>134</v>
      </c>
      <c r="C130" s="185">
        <v>9042</v>
      </c>
      <c r="D130" s="167">
        <v>7960</v>
      </c>
      <c r="E130" s="174">
        <v>21903</v>
      </c>
      <c r="F130" s="186">
        <v>4983</v>
      </c>
      <c r="G130" s="186">
        <f>8400-3000</f>
        <v>5400</v>
      </c>
      <c r="H130" s="186">
        <v>11573</v>
      </c>
      <c r="I130" s="186">
        <v>11200</v>
      </c>
      <c r="J130" s="186">
        <v>6200</v>
      </c>
      <c r="K130" s="186">
        <v>6200</v>
      </c>
      <c r="L130" s="1"/>
    </row>
    <row r="131" spans="1:17" ht="15.75" thickBot="1" x14ac:dyDescent="0.3">
      <c r="A131" s="129" t="s">
        <v>135</v>
      </c>
      <c r="B131" s="130"/>
      <c r="C131" s="110">
        <f t="shared" ref="C131:K131" si="57">SUM(C132:C140)</f>
        <v>308051</v>
      </c>
      <c r="D131" s="441">
        <f t="shared" si="57"/>
        <v>238428</v>
      </c>
      <c r="E131" s="110">
        <f t="shared" si="57"/>
        <v>295704</v>
      </c>
      <c r="F131" s="111">
        <f t="shared" si="57"/>
        <v>290046</v>
      </c>
      <c r="G131" s="110">
        <f t="shared" si="57"/>
        <v>366640</v>
      </c>
      <c r="H131" s="111">
        <f t="shared" si="57"/>
        <v>385999</v>
      </c>
      <c r="I131" s="110">
        <f t="shared" si="57"/>
        <v>380850</v>
      </c>
      <c r="J131" s="111">
        <f t="shared" si="57"/>
        <v>378550</v>
      </c>
      <c r="K131" s="110">
        <f t="shared" si="57"/>
        <v>377050</v>
      </c>
      <c r="L131" s="1"/>
    </row>
    <row r="132" spans="1:17" x14ac:dyDescent="0.25">
      <c r="A132" s="200" t="s">
        <v>136</v>
      </c>
      <c r="B132" s="201" t="s">
        <v>137</v>
      </c>
      <c r="C132" s="202">
        <v>104500</v>
      </c>
      <c r="D132" s="203">
        <v>108303</v>
      </c>
      <c r="E132" s="204">
        <v>140876</v>
      </c>
      <c r="F132" s="205">
        <v>135336</v>
      </c>
      <c r="G132" s="205">
        <v>161600</v>
      </c>
      <c r="H132" s="205">
        <v>164259</v>
      </c>
      <c r="I132" s="205">
        <f>163900</f>
        <v>163900</v>
      </c>
      <c r="J132" s="205">
        <v>180000</v>
      </c>
      <c r="K132" s="205">
        <v>180200</v>
      </c>
      <c r="L132" s="1"/>
    </row>
    <row r="133" spans="1:17" x14ac:dyDescent="0.25">
      <c r="A133" s="206" t="s">
        <v>138</v>
      </c>
      <c r="B133" s="146" t="s">
        <v>139</v>
      </c>
      <c r="C133" s="207">
        <v>0</v>
      </c>
      <c r="D133" s="208">
        <v>0</v>
      </c>
      <c r="E133" s="116">
        <v>885</v>
      </c>
      <c r="F133" s="56">
        <v>0</v>
      </c>
      <c r="G133" s="61">
        <v>0</v>
      </c>
      <c r="H133" s="56">
        <v>0</v>
      </c>
      <c r="I133" s="56">
        <v>0</v>
      </c>
      <c r="J133" s="56">
        <v>0</v>
      </c>
      <c r="K133" s="56">
        <v>0</v>
      </c>
      <c r="L133" s="1"/>
    </row>
    <row r="134" spans="1:17" x14ac:dyDescent="0.25">
      <c r="A134" s="206" t="s">
        <v>140</v>
      </c>
      <c r="B134" s="146" t="s">
        <v>141</v>
      </c>
      <c r="C134" s="207">
        <v>0</v>
      </c>
      <c r="D134" s="208">
        <v>0</v>
      </c>
      <c r="E134" s="116">
        <v>885</v>
      </c>
      <c r="F134" s="56">
        <v>0</v>
      </c>
      <c r="G134" s="61">
        <v>0</v>
      </c>
      <c r="H134" s="56">
        <v>0</v>
      </c>
      <c r="I134" s="56">
        <v>0</v>
      </c>
      <c r="J134" s="56">
        <v>0</v>
      </c>
      <c r="K134" s="56">
        <v>0</v>
      </c>
      <c r="L134" s="1"/>
    </row>
    <row r="135" spans="1:17" x14ac:dyDescent="0.25">
      <c r="A135" s="209" t="s">
        <v>142</v>
      </c>
      <c r="B135" s="210" t="s">
        <v>143</v>
      </c>
      <c r="C135" s="59">
        <v>119829</v>
      </c>
      <c r="D135" s="151">
        <v>1639</v>
      </c>
      <c r="E135" s="120">
        <v>2223</v>
      </c>
      <c r="F135" s="61">
        <v>583</v>
      </c>
      <c r="G135" s="60">
        <v>1700</v>
      </c>
      <c r="H135" s="61">
        <v>1700</v>
      </c>
      <c r="I135" s="61">
        <v>3600</v>
      </c>
      <c r="J135" s="61">
        <v>2500</v>
      </c>
      <c r="K135" s="61">
        <v>2500</v>
      </c>
      <c r="L135" s="1"/>
    </row>
    <row r="136" spans="1:17" x14ac:dyDescent="0.25">
      <c r="A136" s="209" t="s">
        <v>144</v>
      </c>
      <c r="B136" s="210" t="s">
        <v>145</v>
      </c>
      <c r="C136" s="59">
        <v>10957</v>
      </c>
      <c r="D136" s="151">
        <v>20690</v>
      </c>
      <c r="E136" s="120">
        <v>26156</v>
      </c>
      <c r="F136" s="61">
        <v>21780</v>
      </c>
      <c r="G136" s="60">
        <v>31230</v>
      </c>
      <c r="H136" s="61">
        <v>31470</v>
      </c>
      <c r="I136" s="61">
        <v>32330</v>
      </c>
      <c r="J136" s="61">
        <v>32330</v>
      </c>
      <c r="K136" s="61">
        <v>32330</v>
      </c>
      <c r="L136" s="1"/>
    </row>
    <row r="137" spans="1:17" x14ac:dyDescent="0.25">
      <c r="A137" s="209" t="s">
        <v>146</v>
      </c>
      <c r="B137" s="210" t="s">
        <v>147</v>
      </c>
      <c r="C137" s="59">
        <v>16441</v>
      </c>
      <c r="D137" s="151">
        <v>31538</v>
      </c>
      <c r="E137" s="152">
        <v>34790</v>
      </c>
      <c r="F137" s="60">
        <v>22889</v>
      </c>
      <c r="G137" s="215">
        <v>32210</v>
      </c>
      <c r="H137" s="60">
        <v>33950</v>
      </c>
      <c r="I137" s="60">
        <v>31830</v>
      </c>
      <c r="J137" s="60">
        <v>31830</v>
      </c>
      <c r="K137" s="60">
        <v>31830</v>
      </c>
      <c r="L137" s="1"/>
    </row>
    <row r="138" spans="1:17" x14ac:dyDescent="0.25">
      <c r="A138" s="209" t="s">
        <v>148</v>
      </c>
      <c r="B138" s="210" t="s">
        <v>233</v>
      </c>
      <c r="C138" s="59">
        <v>16441</v>
      </c>
      <c r="D138" s="151">
        <v>31538</v>
      </c>
      <c r="E138" s="152">
        <v>41280</v>
      </c>
      <c r="F138" s="60">
        <v>95466</v>
      </c>
      <c r="G138" s="215">
        <v>125450</v>
      </c>
      <c r="H138" s="60">
        <v>138070</v>
      </c>
      <c r="I138" s="60">
        <v>131840</v>
      </c>
      <c r="J138" s="60">
        <v>114540</v>
      </c>
      <c r="K138" s="60">
        <v>112840</v>
      </c>
      <c r="L138" s="27">
        <f>SUM(I136:I138)</f>
        <v>196000</v>
      </c>
    </row>
    <row r="139" spans="1:17" x14ac:dyDescent="0.25">
      <c r="A139" s="211" t="s">
        <v>149</v>
      </c>
      <c r="B139" s="210" t="s">
        <v>234</v>
      </c>
      <c r="C139" s="212">
        <v>37289</v>
      </c>
      <c r="D139" s="213">
        <v>42027</v>
      </c>
      <c r="E139" s="214">
        <v>45408</v>
      </c>
      <c r="F139" s="215">
        <v>10455</v>
      </c>
      <c r="G139" s="215">
        <v>10500</v>
      </c>
      <c r="H139" s="215">
        <v>10500</v>
      </c>
      <c r="I139" s="215">
        <v>11300</v>
      </c>
      <c r="J139" s="215">
        <v>11300</v>
      </c>
      <c r="K139" s="215">
        <v>11300</v>
      </c>
      <c r="L139" s="1"/>
    </row>
    <row r="140" spans="1:17" ht="15.75" thickBot="1" x14ac:dyDescent="0.3">
      <c r="A140" s="209" t="s">
        <v>150</v>
      </c>
      <c r="B140" s="210" t="s">
        <v>261</v>
      </c>
      <c r="C140" s="212">
        <v>2594</v>
      </c>
      <c r="D140" s="213">
        <v>2693</v>
      </c>
      <c r="E140" s="214">
        <v>3201</v>
      </c>
      <c r="F140" s="215">
        <v>3537</v>
      </c>
      <c r="G140" s="215">
        <v>3950</v>
      </c>
      <c r="H140" s="215">
        <v>6050</v>
      </c>
      <c r="I140" s="215">
        <v>6050</v>
      </c>
      <c r="J140" s="215">
        <v>6050</v>
      </c>
      <c r="K140" s="215">
        <v>6050</v>
      </c>
      <c r="L140" s="1"/>
    </row>
    <row r="141" spans="1:17" ht="15.75" thickBot="1" x14ac:dyDescent="0.3">
      <c r="A141" s="108" t="s">
        <v>151</v>
      </c>
      <c r="B141" s="109"/>
      <c r="C141" s="110">
        <f t="shared" ref="C141:K141" si="58">SUM(C142:C146)</f>
        <v>144398</v>
      </c>
      <c r="D141" s="111">
        <f t="shared" si="58"/>
        <v>164319</v>
      </c>
      <c r="E141" s="110">
        <f t="shared" si="58"/>
        <v>208490</v>
      </c>
      <c r="F141" s="112">
        <f t="shared" ref="F141" si="59">SUM(F142:F146)</f>
        <v>225543</v>
      </c>
      <c r="G141" s="112">
        <f t="shared" ref="G141" si="60">SUM(G142:G146)</f>
        <v>264480</v>
      </c>
      <c r="H141" s="112">
        <f t="shared" si="58"/>
        <v>309670</v>
      </c>
      <c r="I141" s="112">
        <f t="shared" si="58"/>
        <v>286950</v>
      </c>
      <c r="J141" s="112">
        <f t="shared" ref="J141" si="61">SUM(J142:J146)</f>
        <v>294950</v>
      </c>
      <c r="K141" s="112">
        <f t="shared" si="58"/>
        <v>305750</v>
      </c>
      <c r="L141" s="1"/>
    </row>
    <row r="142" spans="1:17" ht="15.75" thickBot="1" x14ac:dyDescent="0.3">
      <c r="A142" s="196" t="s">
        <v>152</v>
      </c>
      <c r="B142" s="85" t="s">
        <v>282</v>
      </c>
      <c r="C142" s="114">
        <v>110782</v>
      </c>
      <c r="D142" s="199">
        <v>133003</v>
      </c>
      <c r="E142" s="148">
        <v>192284</v>
      </c>
      <c r="F142" s="55">
        <v>211686</v>
      </c>
      <c r="G142" s="55">
        <f>264400-20540</f>
        <v>243860</v>
      </c>
      <c r="H142" s="55">
        <v>287050</v>
      </c>
      <c r="I142" s="55">
        <f>268900</f>
        <v>268900</v>
      </c>
      <c r="J142" s="55">
        <v>276900</v>
      </c>
      <c r="K142" s="55">
        <v>287700</v>
      </c>
      <c r="L142" s="1">
        <v>85500</v>
      </c>
      <c r="M142" s="407">
        <v>24400</v>
      </c>
      <c r="N142" s="407">
        <v>89800</v>
      </c>
      <c r="O142">
        <f>63800</f>
        <v>63800</v>
      </c>
      <c r="P142">
        <v>5400</v>
      </c>
      <c r="Q142" s="465">
        <f>SUM(L142:P142)</f>
        <v>268900</v>
      </c>
    </row>
    <row r="143" spans="1:17" x14ac:dyDescent="0.25">
      <c r="A143" s="196" t="s">
        <v>153</v>
      </c>
      <c r="B143" s="85" t="s">
        <v>154</v>
      </c>
      <c r="C143" s="114">
        <v>6436</v>
      </c>
      <c r="D143" s="199">
        <v>3638</v>
      </c>
      <c r="E143" s="148">
        <v>3241</v>
      </c>
      <c r="F143" s="55">
        <v>490</v>
      </c>
      <c r="G143" s="55">
        <v>620</v>
      </c>
      <c r="H143" s="55">
        <v>620</v>
      </c>
      <c r="I143" s="55">
        <v>450</v>
      </c>
      <c r="J143" s="55">
        <v>450</v>
      </c>
      <c r="K143" s="55">
        <v>450</v>
      </c>
      <c r="L143" s="1"/>
      <c r="M143" s="407"/>
      <c r="N143" s="407"/>
    </row>
    <row r="144" spans="1:17" x14ac:dyDescent="0.25">
      <c r="A144" s="121" t="s">
        <v>155</v>
      </c>
      <c r="B144" s="118" t="s">
        <v>156</v>
      </c>
      <c r="C144" s="62">
        <v>27180</v>
      </c>
      <c r="D144" s="149">
        <v>27678</v>
      </c>
      <c r="E144" s="150">
        <v>12665</v>
      </c>
      <c r="F144" s="60">
        <v>13300</v>
      </c>
      <c r="G144" s="60">
        <v>19000</v>
      </c>
      <c r="H144" s="60">
        <v>21000</v>
      </c>
      <c r="I144" s="60">
        <v>16600</v>
      </c>
      <c r="J144" s="60">
        <v>16600</v>
      </c>
      <c r="K144" s="60">
        <v>16600</v>
      </c>
      <c r="L144" s="1"/>
    </row>
    <row r="145" spans="1:14" x14ac:dyDescent="0.25">
      <c r="A145" s="121" t="s">
        <v>157</v>
      </c>
      <c r="B145" s="118" t="s">
        <v>158</v>
      </c>
      <c r="C145" s="62">
        <v>0</v>
      </c>
      <c r="D145" s="149">
        <v>0</v>
      </c>
      <c r="E145" s="150">
        <v>0</v>
      </c>
      <c r="F145" s="60">
        <v>67</v>
      </c>
      <c r="G145" s="60">
        <v>500</v>
      </c>
      <c r="H145" s="60">
        <v>500</v>
      </c>
      <c r="I145" s="60">
        <v>500</v>
      </c>
      <c r="J145" s="60">
        <v>500</v>
      </c>
      <c r="K145" s="60">
        <v>500</v>
      </c>
      <c r="L145" s="1"/>
    </row>
    <row r="146" spans="1:14" ht="15.75" thickBot="1" x14ac:dyDescent="0.3">
      <c r="A146" s="164" t="s">
        <v>159</v>
      </c>
      <c r="B146" s="165" t="s">
        <v>160</v>
      </c>
      <c r="C146" s="185">
        <v>0</v>
      </c>
      <c r="D146" s="167">
        <v>0</v>
      </c>
      <c r="E146" s="168">
        <v>300</v>
      </c>
      <c r="F146" s="186">
        <v>0</v>
      </c>
      <c r="G146" s="186">
        <v>500</v>
      </c>
      <c r="H146" s="186">
        <v>500</v>
      </c>
      <c r="I146" s="186">
        <v>500</v>
      </c>
      <c r="J146" s="186">
        <v>500</v>
      </c>
      <c r="K146" s="186">
        <v>500</v>
      </c>
      <c r="L146" s="1"/>
    </row>
    <row r="147" spans="1:14" ht="16.5" thickBot="1" x14ac:dyDescent="0.3">
      <c r="A147" s="216" t="s">
        <v>161</v>
      </c>
      <c r="B147" s="176"/>
      <c r="C147" s="217">
        <f t="shared" ref="C147:K147" si="62">SUM(C96+C102+C104+C107+C111+C116+C120+C125+C131+C141)</f>
        <v>975419</v>
      </c>
      <c r="D147" s="218">
        <f t="shared" si="62"/>
        <v>987361</v>
      </c>
      <c r="E147" s="217">
        <f t="shared" si="62"/>
        <v>1162210</v>
      </c>
      <c r="F147" s="217">
        <f t="shared" si="62"/>
        <v>1125738.3999999999</v>
      </c>
      <c r="G147" s="219">
        <f t="shared" si="62"/>
        <v>1408799</v>
      </c>
      <c r="H147" s="219">
        <f t="shared" si="62"/>
        <v>1607297</v>
      </c>
      <c r="I147" s="219">
        <f t="shared" si="62"/>
        <v>1504568</v>
      </c>
      <c r="J147" s="219">
        <f t="shared" si="62"/>
        <v>1483398</v>
      </c>
      <c r="K147" s="219">
        <f t="shared" si="62"/>
        <v>1502278</v>
      </c>
      <c r="L147" s="1"/>
    </row>
    <row r="148" spans="1:14" x14ac:dyDescent="0.25">
      <c r="A148" s="220" t="s">
        <v>162</v>
      </c>
      <c r="B148" s="221" t="s">
        <v>163</v>
      </c>
      <c r="C148" s="222">
        <f t="shared" ref="C148:K148" si="63">C81</f>
        <v>438144</v>
      </c>
      <c r="D148" s="223">
        <f t="shared" si="63"/>
        <v>446556</v>
      </c>
      <c r="E148" s="396">
        <f t="shared" si="63"/>
        <v>486612</v>
      </c>
      <c r="F148" s="396">
        <f t="shared" si="63"/>
        <v>549196</v>
      </c>
      <c r="G148" s="222">
        <f t="shared" si="63"/>
        <v>556500</v>
      </c>
      <c r="H148" s="224">
        <f t="shared" si="63"/>
        <v>554086</v>
      </c>
      <c r="I148" s="224">
        <f t="shared" si="63"/>
        <v>534950</v>
      </c>
      <c r="J148" s="224">
        <f t="shared" si="63"/>
        <v>534950</v>
      </c>
      <c r="K148" s="224">
        <f t="shared" si="63"/>
        <v>534950</v>
      </c>
      <c r="L148" s="1"/>
    </row>
    <row r="149" spans="1:14" x14ac:dyDescent="0.25">
      <c r="A149" s="225" t="s">
        <v>162</v>
      </c>
      <c r="B149" s="226" t="s">
        <v>164</v>
      </c>
      <c r="C149" s="227">
        <f>C83</f>
        <v>5446</v>
      </c>
      <c r="D149" s="228">
        <f>D83+100</f>
        <v>7693</v>
      </c>
      <c r="E149" s="397">
        <f t="shared" ref="E149:K149" si="64">E83</f>
        <v>7551</v>
      </c>
      <c r="F149" s="397">
        <f t="shared" si="64"/>
        <v>355</v>
      </c>
      <c r="G149" s="227">
        <f t="shared" si="64"/>
        <v>1450</v>
      </c>
      <c r="H149" s="229">
        <f t="shared" si="64"/>
        <v>2364</v>
      </c>
      <c r="I149" s="229">
        <f t="shared" si="64"/>
        <v>2450</v>
      </c>
      <c r="J149" s="229">
        <f t="shared" si="64"/>
        <v>2450</v>
      </c>
      <c r="K149" s="229">
        <f t="shared" si="64"/>
        <v>2450</v>
      </c>
      <c r="L149" s="1"/>
    </row>
    <row r="150" spans="1:14" x14ac:dyDescent="0.25">
      <c r="A150" s="225" t="s">
        <v>162</v>
      </c>
      <c r="B150" s="226" t="s">
        <v>165</v>
      </c>
      <c r="C150" s="227">
        <v>0</v>
      </c>
      <c r="D150" s="228">
        <v>0</v>
      </c>
      <c r="E150" s="397">
        <v>50402</v>
      </c>
      <c r="F150" s="397">
        <v>28608</v>
      </c>
      <c r="G150" s="227">
        <f>G85</f>
        <v>27000</v>
      </c>
      <c r="H150" s="229">
        <v>27000</v>
      </c>
      <c r="I150" s="229">
        <f>I85</f>
        <v>0</v>
      </c>
      <c r="J150" s="229">
        <f>J85</f>
        <v>0</v>
      </c>
      <c r="K150" s="229">
        <f>K85</f>
        <v>0</v>
      </c>
      <c r="L150" s="1"/>
    </row>
    <row r="151" spans="1:14" ht="15.75" thickBot="1" x14ac:dyDescent="0.3">
      <c r="A151" s="230" t="s">
        <v>162</v>
      </c>
      <c r="B151" s="231" t="s">
        <v>166</v>
      </c>
      <c r="C151" s="232">
        <v>0</v>
      </c>
      <c r="D151" s="233">
        <v>0</v>
      </c>
      <c r="E151" s="398">
        <v>2702</v>
      </c>
      <c r="F151" s="398">
        <v>1605</v>
      </c>
      <c r="G151" s="232">
        <v>250</v>
      </c>
      <c r="H151" s="234">
        <v>1572</v>
      </c>
      <c r="I151" s="234">
        <v>0</v>
      </c>
      <c r="J151" s="234">
        <v>0</v>
      </c>
      <c r="K151" s="234">
        <v>0</v>
      </c>
      <c r="L151" s="27">
        <f>SUM(I148:I151)</f>
        <v>537400</v>
      </c>
      <c r="M151" s="27">
        <f t="shared" ref="M151:N151" si="65">SUM(J148:J151)</f>
        <v>537400</v>
      </c>
      <c r="N151" s="27">
        <f t="shared" si="65"/>
        <v>537400</v>
      </c>
    </row>
    <row r="152" spans="1:14" x14ac:dyDescent="0.25">
      <c r="A152" s="235" t="s">
        <v>142</v>
      </c>
      <c r="B152" s="236" t="s">
        <v>167</v>
      </c>
      <c r="C152" s="237">
        <v>19000</v>
      </c>
      <c r="D152" s="238">
        <f>22500-2500</f>
        <v>20000</v>
      </c>
      <c r="E152" s="399">
        <v>22500</v>
      </c>
      <c r="F152" s="399">
        <v>32600</v>
      </c>
      <c r="G152" s="237">
        <v>32600</v>
      </c>
      <c r="H152" s="239">
        <v>32600</v>
      </c>
      <c r="I152" s="239">
        <v>32600</v>
      </c>
      <c r="J152" s="239">
        <v>32600</v>
      </c>
      <c r="K152" s="239">
        <v>32600</v>
      </c>
      <c r="L152" s="27"/>
      <c r="M152" s="27"/>
      <c r="N152" s="27"/>
    </row>
    <row r="153" spans="1:14" ht="15.75" thickBot="1" x14ac:dyDescent="0.3">
      <c r="A153" s="225" t="s">
        <v>142</v>
      </c>
      <c r="B153" s="226" t="s">
        <v>168</v>
      </c>
      <c r="C153" s="227">
        <f t="shared" ref="C153:K153" si="66">C84</f>
        <v>1300</v>
      </c>
      <c r="D153" s="228">
        <f t="shared" si="66"/>
        <v>1300</v>
      </c>
      <c r="E153" s="397">
        <f t="shared" si="66"/>
        <v>1308</v>
      </c>
      <c r="F153" s="397">
        <f t="shared" si="66"/>
        <v>1250</v>
      </c>
      <c r="G153" s="227">
        <f t="shared" si="66"/>
        <v>2000</v>
      </c>
      <c r="H153" s="229">
        <f t="shared" si="66"/>
        <v>2000</v>
      </c>
      <c r="I153" s="229">
        <f t="shared" si="66"/>
        <v>2000</v>
      </c>
      <c r="J153" s="229">
        <f t="shared" si="66"/>
        <v>2000</v>
      </c>
      <c r="K153" s="229">
        <f t="shared" si="66"/>
        <v>2000</v>
      </c>
      <c r="L153" s="27">
        <f>SUM(I152:I153)</f>
        <v>34600</v>
      </c>
      <c r="M153" s="27">
        <f t="shared" ref="M153:N153" si="67">SUM(J152:J153)</f>
        <v>34600</v>
      </c>
      <c r="N153" s="27">
        <f t="shared" si="67"/>
        <v>34600</v>
      </c>
    </row>
    <row r="154" spans="1:14" ht="15.75" thickBot="1" x14ac:dyDescent="0.3">
      <c r="A154" s="823" t="s">
        <v>169</v>
      </c>
      <c r="B154" s="824"/>
      <c r="C154" s="240">
        <f t="shared" ref="C154:K154" si="68">SUM(C148:C153)</f>
        <v>463890</v>
      </c>
      <c r="D154" s="241">
        <f t="shared" si="68"/>
        <v>475549</v>
      </c>
      <c r="E154" s="400">
        <f t="shared" si="68"/>
        <v>571075</v>
      </c>
      <c r="F154" s="400">
        <f t="shared" si="68"/>
        <v>613614</v>
      </c>
      <c r="G154" s="240">
        <f t="shared" si="68"/>
        <v>619800</v>
      </c>
      <c r="H154" s="242">
        <f t="shared" si="68"/>
        <v>619622</v>
      </c>
      <c r="I154" s="242">
        <f t="shared" si="68"/>
        <v>572000</v>
      </c>
      <c r="J154" s="242">
        <f t="shared" ref="J154" si="69">SUM(J148:J153)</f>
        <v>572000</v>
      </c>
      <c r="K154" s="242">
        <f t="shared" si="68"/>
        <v>572000</v>
      </c>
      <c r="L154" s="1"/>
    </row>
    <row r="155" spans="1:14" x14ac:dyDescent="0.25">
      <c r="A155" s="243" t="s">
        <v>142</v>
      </c>
      <c r="B155" s="244" t="s">
        <v>170</v>
      </c>
      <c r="C155" s="245">
        <f>69000-4930</f>
        <v>64070</v>
      </c>
      <c r="D155" s="246">
        <f>190500+13510-9254</f>
        <v>194756</v>
      </c>
      <c r="E155" s="245">
        <f t="shared" ref="E155" si="70">190500+13510</f>
        <v>204010</v>
      </c>
      <c r="F155" s="428">
        <v>247438</v>
      </c>
      <c r="G155" s="247">
        <v>245810</v>
      </c>
      <c r="H155" s="247">
        <v>217828</v>
      </c>
      <c r="I155" s="247">
        <f>264110-I157</f>
        <v>252640</v>
      </c>
      <c r="J155" s="247">
        <v>257530</v>
      </c>
      <c r="K155" s="247">
        <v>257530</v>
      </c>
      <c r="L155" s="27">
        <f>I152+I155</f>
        <v>285240</v>
      </c>
      <c r="M155" s="27">
        <f t="shared" ref="M155:N155" si="71">J152+J155</f>
        <v>290130</v>
      </c>
      <c r="N155" s="27">
        <f t="shared" si="71"/>
        <v>290130</v>
      </c>
    </row>
    <row r="156" spans="1:14" x14ac:dyDescent="0.25">
      <c r="A156" s="248" t="s">
        <v>142</v>
      </c>
      <c r="B156" s="249" t="s">
        <v>276</v>
      </c>
      <c r="C156" s="250"/>
      <c r="D156" s="251">
        <v>0</v>
      </c>
      <c r="E156" s="250">
        <v>0</v>
      </c>
      <c r="F156" s="429">
        <v>0</v>
      </c>
      <c r="G156" s="93">
        <v>0</v>
      </c>
      <c r="H156" s="93">
        <v>35982</v>
      </c>
      <c r="I156" s="93">
        <v>0</v>
      </c>
      <c r="J156" s="93">
        <v>0</v>
      </c>
      <c r="K156" s="93">
        <v>0</v>
      </c>
      <c r="L156" s="1"/>
    </row>
    <row r="157" spans="1:14" ht="15.75" thickBot="1" x14ac:dyDescent="0.3">
      <c r="A157" s="248" t="s">
        <v>142</v>
      </c>
      <c r="B157" s="249" t="s">
        <v>171</v>
      </c>
      <c r="C157" s="250">
        <f>C88</f>
        <v>4930</v>
      </c>
      <c r="D157" s="251">
        <f>D88</f>
        <v>10244</v>
      </c>
      <c r="E157" s="250">
        <f>E88</f>
        <v>11710</v>
      </c>
      <c r="F157" s="429">
        <v>11266</v>
      </c>
      <c r="G157" s="93">
        <f>G88</f>
        <v>13690</v>
      </c>
      <c r="H157" s="93">
        <f>H88</f>
        <v>11470</v>
      </c>
      <c r="I157" s="93">
        <f>I88</f>
        <v>11470</v>
      </c>
      <c r="J157" s="93">
        <f>J88</f>
        <v>11470</v>
      </c>
      <c r="K157" s="93">
        <f>K88</f>
        <v>11470</v>
      </c>
      <c r="L157" s="1"/>
    </row>
    <row r="158" spans="1:14" ht="15.75" thickBot="1" x14ac:dyDescent="0.3">
      <c r="A158" s="805" t="s">
        <v>172</v>
      </c>
      <c r="B158" s="806"/>
      <c r="C158" s="252">
        <f t="shared" ref="C158:D158" si="72">SUM(C155:C157)</f>
        <v>69000</v>
      </c>
      <c r="D158" s="253">
        <f t="shared" si="72"/>
        <v>205000</v>
      </c>
      <c r="E158" s="252">
        <f t="shared" ref="E158:K158" si="73">SUM(E155:E157)</f>
        <v>215720</v>
      </c>
      <c r="F158" s="252">
        <f t="shared" ref="F158" si="74">SUM(F155:F157)</f>
        <v>258704</v>
      </c>
      <c r="G158" s="254">
        <f t="shared" si="73"/>
        <v>259500</v>
      </c>
      <c r="H158" s="254">
        <f t="shared" si="73"/>
        <v>265280</v>
      </c>
      <c r="I158" s="254">
        <f t="shared" si="73"/>
        <v>264110</v>
      </c>
      <c r="J158" s="254">
        <f t="shared" ref="J158" si="75">SUM(J155:J157)</f>
        <v>269000</v>
      </c>
      <c r="K158" s="254">
        <f t="shared" si="73"/>
        <v>269000</v>
      </c>
      <c r="L158" s="1"/>
    </row>
    <row r="159" spans="1:14" ht="15.75" thickBot="1" x14ac:dyDescent="0.3">
      <c r="A159" s="827" t="s">
        <v>173</v>
      </c>
      <c r="B159" s="828"/>
      <c r="C159" s="255">
        <f t="shared" ref="C159:K159" si="76">C154+C158</f>
        <v>532890</v>
      </c>
      <c r="D159" s="256">
        <f t="shared" si="76"/>
        <v>680549</v>
      </c>
      <c r="E159" s="255">
        <f t="shared" si="76"/>
        <v>786795</v>
      </c>
      <c r="F159" s="255">
        <f t="shared" ref="F159" si="77">F154+F158</f>
        <v>872318</v>
      </c>
      <c r="G159" s="257">
        <f t="shared" si="76"/>
        <v>879300</v>
      </c>
      <c r="H159" s="257">
        <f t="shared" si="76"/>
        <v>884902</v>
      </c>
      <c r="I159" s="257">
        <f t="shared" si="76"/>
        <v>836110</v>
      </c>
      <c r="J159" s="257">
        <f t="shared" ref="J159" si="78">J154+J158</f>
        <v>841000</v>
      </c>
      <c r="K159" s="257">
        <f t="shared" si="76"/>
        <v>841000</v>
      </c>
      <c r="L159" s="1"/>
    </row>
    <row r="160" spans="1:14" ht="16.5" thickBot="1" x14ac:dyDescent="0.3">
      <c r="A160" s="258" t="s">
        <v>174</v>
      </c>
      <c r="B160" s="144"/>
      <c r="C160" s="259">
        <f t="shared" ref="C160:K160" si="79">C147+C159</f>
        <v>1508309</v>
      </c>
      <c r="D160" s="260">
        <f t="shared" si="79"/>
        <v>1667910</v>
      </c>
      <c r="E160" s="259">
        <f t="shared" si="79"/>
        <v>1949005</v>
      </c>
      <c r="F160" s="259">
        <f t="shared" ref="F160" si="80">F147+F159</f>
        <v>1998056.4</v>
      </c>
      <c r="G160" s="261">
        <f t="shared" si="79"/>
        <v>2288099</v>
      </c>
      <c r="H160" s="261">
        <f t="shared" si="79"/>
        <v>2492199</v>
      </c>
      <c r="I160" s="261">
        <f t="shared" si="79"/>
        <v>2340678</v>
      </c>
      <c r="J160" s="261">
        <f t="shared" ref="J160" si="81">J147+J159</f>
        <v>2324398</v>
      </c>
      <c r="K160" s="261">
        <f t="shared" si="79"/>
        <v>2343278</v>
      </c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.75" thickBot="1" x14ac:dyDescent="0.3">
      <c r="A163" s="829" t="s">
        <v>175</v>
      </c>
      <c r="B163" s="830"/>
      <c r="C163" s="830"/>
      <c r="D163" s="830"/>
      <c r="E163" s="830"/>
      <c r="F163" s="830"/>
      <c r="G163" s="830"/>
      <c r="H163" s="830"/>
      <c r="I163" s="830"/>
      <c r="J163" s="830"/>
      <c r="K163" s="830"/>
      <c r="L163" s="1"/>
    </row>
    <row r="164" spans="1:12" ht="36.75" customHeight="1" thickBot="1" x14ac:dyDescent="0.3">
      <c r="A164" s="838" t="s">
        <v>1</v>
      </c>
      <c r="B164" s="839"/>
      <c r="C164" s="417" t="s">
        <v>2</v>
      </c>
      <c r="D164" s="417" t="s">
        <v>3</v>
      </c>
      <c r="E164" s="417" t="s">
        <v>219</v>
      </c>
      <c r="F164" s="417" t="s">
        <v>249</v>
      </c>
      <c r="G164" s="417" t="s">
        <v>250</v>
      </c>
      <c r="H164" s="417" t="s">
        <v>251</v>
      </c>
      <c r="I164" s="416">
        <v>2022</v>
      </c>
      <c r="J164" s="416">
        <v>2023</v>
      </c>
      <c r="K164" s="416">
        <v>2024</v>
      </c>
      <c r="L164" s="1"/>
    </row>
    <row r="165" spans="1:12" ht="16.5" thickBot="1" x14ac:dyDescent="0.3">
      <c r="A165" s="832" t="s">
        <v>176</v>
      </c>
      <c r="B165" s="833"/>
      <c r="C165" s="262">
        <f t="shared" ref="C165:K165" si="82">SUM(C166:C177)</f>
        <v>5251</v>
      </c>
      <c r="D165" s="262">
        <f t="shared" si="82"/>
        <v>60445</v>
      </c>
      <c r="E165" s="262">
        <f t="shared" si="82"/>
        <v>312996</v>
      </c>
      <c r="F165" s="262">
        <f t="shared" si="82"/>
        <v>118970</v>
      </c>
      <c r="G165" s="262">
        <f t="shared" si="82"/>
        <v>744900</v>
      </c>
      <c r="H165" s="262">
        <f t="shared" si="82"/>
        <v>749900</v>
      </c>
      <c r="I165" s="262">
        <f t="shared" si="82"/>
        <v>774720</v>
      </c>
      <c r="J165" s="262">
        <f t="shared" si="82"/>
        <v>3000</v>
      </c>
      <c r="K165" s="262">
        <f t="shared" si="82"/>
        <v>3000</v>
      </c>
      <c r="L165" s="1"/>
    </row>
    <row r="166" spans="1:12" ht="15.75" thickBot="1" x14ac:dyDescent="0.3">
      <c r="A166" s="77">
        <v>233</v>
      </c>
      <c r="B166" s="78" t="s">
        <v>177</v>
      </c>
      <c r="C166" s="263">
        <v>5251</v>
      </c>
      <c r="D166" s="263">
        <v>445</v>
      </c>
      <c r="E166" s="263">
        <v>3091</v>
      </c>
      <c r="F166" s="263">
        <v>56</v>
      </c>
      <c r="G166" s="264">
        <f>1000+2000</f>
        <v>3000</v>
      </c>
      <c r="H166" s="264">
        <v>3000</v>
      </c>
      <c r="I166" s="264">
        <v>3000</v>
      </c>
      <c r="J166" s="264">
        <v>3000</v>
      </c>
      <c r="K166" s="264">
        <v>3000</v>
      </c>
      <c r="L166" s="1"/>
    </row>
    <row r="167" spans="1:12" ht="15.75" thickBot="1" x14ac:dyDescent="0.3">
      <c r="A167" s="442">
        <v>321</v>
      </c>
      <c r="B167" s="443" t="s">
        <v>262</v>
      </c>
      <c r="C167" s="266"/>
      <c r="D167" s="457">
        <v>0</v>
      </c>
      <c r="E167" s="457">
        <v>0</v>
      </c>
      <c r="F167" s="457">
        <v>0</v>
      </c>
      <c r="G167" s="458">
        <v>0</v>
      </c>
      <c r="H167" s="458">
        <v>5000</v>
      </c>
      <c r="I167" s="458">
        <v>5000</v>
      </c>
      <c r="J167" s="458">
        <v>0</v>
      </c>
      <c r="K167" s="458">
        <v>0</v>
      </c>
      <c r="L167" s="27">
        <f>SUM(I166:I167)</f>
        <v>8000</v>
      </c>
    </row>
    <row r="168" spans="1:12" x14ac:dyDescent="0.25">
      <c r="A168" s="265">
        <v>322</v>
      </c>
      <c r="B168" s="292" t="s">
        <v>255</v>
      </c>
      <c r="C168" s="266"/>
      <c r="D168" s="456"/>
      <c r="E168" s="456"/>
      <c r="F168" s="456">
        <v>0</v>
      </c>
      <c r="G168" s="412">
        <v>131100</v>
      </c>
      <c r="H168" s="412">
        <v>131100</v>
      </c>
      <c r="I168" s="412"/>
      <c r="J168" s="412"/>
      <c r="K168" s="412"/>
      <c r="L168" s="1"/>
    </row>
    <row r="169" spans="1:12" x14ac:dyDescent="0.25">
      <c r="A169" s="268">
        <v>322</v>
      </c>
      <c r="B169" s="72" t="s">
        <v>181</v>
      </c>
      <c r="C169" s="269"/>
      <c r="D169" s="269"/>
      <c r="E169" s="269">
        <v>193252</v>
      </c>
      <c r="F169" s="269"/>
      <c r="G169" s="270">
        <v>300000</v>
      </c>
      <c r="H169" s="270">
        <v>300000</v>
      </c>
      <c r="I169" s="270">
        <v>300000</v>
      </c>
      <c r="J169" s="270"/>
      <c r="K169" s="270"/>
      <c r="L169" s="1"/>
    </row>
    <row r="170" spans="1:12" x14ac:dyDescent="0.25">
      <c r="A170" s="265">
        <v>322</v>
      </c>
      <c r="B170" s="72" t="s">
        <v>263</v>
      </c>
      <c r="C170" s="266"/>
      <c r="D170" s="269"/>
      <c r="E170" s="269"/>
      <c r="F170" s="269"/>
      <c r="G170" s="270">
        <v>15000</v>
      </c>
      <c r="H170" s="270">
        <v>15000</v>
      </c>
      <c r="I170" s="270">
        <v>15000</v>
      </c>
      <c r="J170" s="267"/>
      <c r="K170" s="267"/>
      <c r="L170" s="1"/>
    </row>
    <row r="171" spans="1:12" x14ac:dyDescent="0.25">
      <c r="A171" s="271">
        <v>322</v>
      </c>
      <c r="B171" s="274" t="s">
        <v>248</v>
      </c>
      <c r="C171" s="272"/>
      <c r="D171" s="272"/>
      <c r="E171" s="272"/>
      <c r="F171" s="272"/>
      <c r="G171" s="273">
        <v>19000</v>
      </c>
      <c r="H171" s="273">
        <v>19000</v>
      </c>
      <c r="I171" s="273">
        <v>19000</v>
      </c>
      <c r="J171" s="270"/>
      <c r="K171" s="267"/>
      <c r="L171" s="1"/>
    </row>
    <row r="172" spans="1:12" x14ac:dyDescent="0.25">
      <c r="A172" s="271">
        <v>322</v>
      </c>
      <c r="B172" s="76" t="s">
        <v>242</v>
      </c>
      <c r="C172" s="272"/>
      <c r="D172" s="272"/>
      <c r="E172" s="272"/>
      <c r="F172" s="272"/>
      <c r="G172" s="273">
        <v>110000</v>
      </c>
      <c r="H172" s="273">
        <v>110000</v>
      </c>
      <c r="I172" s="273">
        <v>355220</v>
      </c>
      <c r="J172" s="273"/>
      <c r="K172" s="267"/>
      <c r="L172" s="1"/>
    </row>
    <row r="173" spans="1:12" x14ac:dyDescent="0.25">
      <c r="A173" s="268">
        <v>322</v>
      </c>
      <c r="B173" s="72" t="s">
        <v>243</v>
      </c>
      <c r="C173" s="269"/>
      <c r="D173" s="269"/>
      <c r="E173" s="269">
        <v>0</v>
      </c>
      <c r="F173" s="269"/>
      <c r="G173" s="270">
        <v>166800</v>
      </c>
      <c r="H173" s="270">
        <v>166800</v>
      </c>
      <c r="I173" s="270">
        <f>166800-89300</f>
        <v>77500</v>
      </c>
      <c r="J173" s="412"/>
      <c r="K173" s="267"/>
      <c r="L173" s="1"/>
    </row>
    <row r="174" spans="1:12" x14ac:dyDescent="0.25">
      <c r="A174" s="265">
        <v>322</v>
      </c>
      <c r="B174" s="80" t="s">
        <v>178</v>
      </c>
      <c r="C174" s="266"/>
      <c r="D174" s="266">
        <v>60000</v>
      </c>
      <c r="E174" s="266"/>
      <c r="F174" s="266"/>
      <c r="G174" s="267">
        <v>0</v>
      </c>
      <c r="H174" s="267">
        <v>0</v>
      </c>
      <c r="I174" s="267"/>
      <c r="J174" s="267"/>
      <c r="K174" s="267"/>
      <c r="L174" s="1"/>
    </row>
    <row r="175" spans="1:12" x14ac:dyDescent="0.25">
      <c r="A175" s="268">
        <v>322</v>
      </c>
      <c r="B175" s="72" t="s">
        <v>179</v>
      </c>
      <c r="C175" s="269"/>
      <c r="D175" s="269"/>
      <c r="E175" s="269"/>
      <c r="F175" s="269"/>
      <c r="G175" s="270">
        <v>0</v>
      </c>
      <c r="H175" s="270">
        <v>0</v>
      </c>
      <c r="I175" s="270"/>
      <c r="J175" s="270"/>
      <c r="K175" s="270"/>
      <c r="L175" s="1"/>
    </row>
    <row r="176" spans="1:12" x14ac:dyDescent="0.25">
      <c r="A176" s="271">
        <v>322</v>
      </c>
      <c r="B176" s="76" t="s">
        <v>180</v>
      </c>
      <c r="C176" s="272"/>
      <c r="D176" s="272"/>
      <c r="E176" s="272">
        <v>0</v>
      </c>
      <c r="F176" s="272">
        <v>118914</v>
      </c>
      <c r="G176" s="273">
        <v>0</v>
      </c>
      <c r="H176" s="273">
        <v>0</v>
      </c>
      <c r="I176" s="273"/>
      <c r="J176" s="273"/>
      <c r="K176" s="273"/>
      <c r="L176" s="1"/>
    </row>
    <row r="177" spans="1:23" ht="15.75" thickBot="1" x14ac:dyDescent="0.3">
      <c r="A177" s="268">
        <v>322</v>
      </c>
      <c r="B177" s="275" t="s">
        <v>244</v>
      </c>
      <c r="C177" s="269"/>
      <c r="D177" s="269"/>
      <c r="E177" s="269">
        <v>116653</v>
      </c>
      <c r="F177" s="269">
        <v>0</v>
      </c>
      <c r="G177" s="270">
        <v>0</v>
      </c>
      <c r="H177" s="270">
        <v>0</v>
      </c>
      <c r="I177" s="270"/>
      <c r="J177" s="270"/>
      <c r="K177" s="270"/>
      <c r="L177" s="27">
        <f>SUM(I168:I177)</f>
        <v>766720</v>
      </c>
      <c r="U177" s="464"/>
    </row>
    <row r="178" spans="1:23" ht="16.5" thickBot="1" x14ac:dyDescent="0.3">
      <c r="A178" s="832" t="s">
        <v>182</v>
      </c>
      <c r="B178" s="833"/>
      <c r="C178" s="262">
        <f>SUM(C179:C215)</f>
        <v>171050</v>
      </c>
      <c r="D178" s="262">
        <f>SUM(D179:D215)</f>
        <v>199887</v>
      </c>
      <c r="E178" s="262">
        <f>SUM(E179:E215)</f>
        <v>452163</v>
      </c>
      <c r="F178" s="262">
        <f t="shared" ref="F178:K178" si="83">SUM(F179:F215)</f>
        <v>211426</v>
      </c>
      <c r="G178" s="262">
        <f t="shared" si="83"/>
        <v>1317070</v>
      </c>
      <c r="H178" s="262">
        <f t="shared" si="83"/>
        <v>1288370</v>
      </c>
      <c r="I178" s="262">
        <f t="shared" si="83"/>
        <v>1267700</v>
      </c>
      <c r="J178" s="262">
        <f t="shared" si="83"/>
        <v>208000</v>
      </c>
      <c r="K178" s="262">
        <f t="shared" si="83"/>
        <v>23000</v>
      </c>
      <c r="L178" s="27">
        <f>I178-I165</f>
        <v>492980</v>
      </c>
      <c r="M178" s="27">
        <f t="shared" ref="M178:N178" si="84">J178-J165</f>
        <v>205000</v>
      </c>
      <c r="N178" s="27">
        <f t="shared" si="84"/>
        <v>20000</v>
      </c>
      <c r="U178" s="464"/>
      <c r="V178" s="464"/>
      <c r="W178" s="464"/>
    </row>
    <row r="179" spans="1:23" x14ac:dyDescent="0.25">
      <c r="A179" s="276" t="s">
        <v>77</v>
      </c>
      <c r="B179" s="277" t="s">
        <v>183</v>
      </c>
      <c r="C179" s="278"/>
      <c r="D179" s="278"/>
      <c r="E179" s="278">
        <v>0</v>
      </c>
      <c r="F179" s="278">
        <v>131248</v>
      </c>
      <c r="G179" s="278"/>
      <c r="H179" s="278"/>
      <c r="I179" s="278"/>
      <c r="J179" s="278"/>
      <c r="K179" s="278"/>
      <c r="L179" s="1"/>
    </row>
    <row r="180" spans="1:23" x14ac:dyDescent="0.25">
      <c r="A180" s="279" t="s">
        <v>77</v>
      </c>
      <c r="B180" s="280" t="s">
        <v>184</v>
      </c>
      <c r="C180" s="281"/>
      <c r="D180" s="281"/>
      <c r="E180" s="281">
        <v>24255</v>
      </c>
      <c r="F180" s="281">
        <v>0</v>
      </c>
      <c r="G180" s="281"/>
      <c r="H180" s="281"/>
      <c r="I180" s="281"/>
      <c r="J180" s="281"/>
      <c r="K180" s="281"/>
      <c r="L180" s="1"/>
    </row>
    <row r="181" spans="1:23" ht="15.75" thickBot="1" x14ac:dyDescent="0.3">
      <c r="A181" s="282" t="s">
        <v>77</v>
      </c>
      <c r="B181" s="283" t="s">
        <v>225</v>
      </c>
      <c r="C181" s="284"/>
      <c r="D181" s="284"/>
      <c r="E181" s="284">
        <v>26434</v>
      </c>
      <c r="F181" s="284">
        <v>3587</v>
      </c>
      <c r="G181" s="284"/>
      <c r="H181" s="284"/>
      <c r="I181" s="284"/>
      <c r="J181" s="284"/>
      <c r="K181" s="284"/>
      <c r="L181" s="1"/>
    </row>
    <row r="182" spans="1:23" ht="15.75" thickBot="1" x14ac:dyDescent="0.3">
      <c r="A182" s="409" t="s">
        <v>89</v>
      </c>
      <c r="B182" s="410" t="s">
        <v>185</v>
      </c>
      <c r="C182" s="411"/>
      <c r="D182" s="411">
        <v>76359</v>
      </c>
      <c r="E182" s="411">
        <v>0</v>
      </c>
      <c r="F182" s="411">
        <v>0</v>
      </c>
      <c r="G182" s="411"/>
      <c r="H182" s="411"/>
      <c r="I182" s="411"/>
      <c r="J182" s="411"/>
      <c r="K182" s="411"/>
      <c r="L182" s="1"/>
    </row>
    <row r="183" spans="1:23" x14ac:dyDescent="0.25">
      <c r="A183" s="286" t="s">
        <v>96</v>
      </c>
      <c r="B183" s="275" t="s">
        <v>186</v>
      </c>
      <c r="C183" s="287"/>
      <c r="D183" s="287"/>
      <c r="E183" s="287">
        <v>0</v>
      </c>
      <c r="F183" s="287">
        <v>0</v>
      </c>
      <c r="G183" s="287">
        <v>6870</v>
      </c>
      <c r="H183" s="287">
        <v>6870</v>
      </c>
      <c r="I183" s="287">
        <v>1500</v>
      </c>
      <c r="J183" s="287"/>
      <c r="K183" s="287"/>
      <c r="L183" s="1"/>
    </row>
    <row r="184" spans="1:23" x14ac:dyDescent="0.25">
      <c r="A184" s="288" t="s">
        <v>98</v>
      </c>
      <c r="B184" s="289" t="s">
        <v>187</v>
      </c>
      <c r="C184" s="290"/>
      <c r="D184" s="290">
        <f>21840+3926+35385</f>
        <v>61151</v>
      </c>
      <c r="E184" s="290">
        <v>0</v>
      </c>
      <c r="F184" s="290"/>
      <c r="G184" s="290"/>
      <c r="H184" s="290"/>
      <c r="I184" s="290"/>
      <c r="J184" s="290"/>
      <c r="K184" s="290"/>
      <c r="L184" s="1"/>
    </row>
    <row r="185" spans="1:23" ht="15.75" thickBot="1" x14ac:dyDescent="0.3">
      <c r="A185" s="282" t="s">
        <v>98</v>
      </c>
      <c r="B185" s="408" t="s">
        <v>245</v>
      </c>
      <c r="C185" s="284"/>
      <c r="D185" s="284"/>
      <c r="E185" s="284">
        <v>0</v>
      </c>
      <c r="F185" s="284">
        <v>6813</v>
      </c>
      <c r="G185" s="284">
        <v>10200</v>
      </c>
      <c r="H185" s="284">
        <v>20600</v>
      </c>
      <c r="I185" s="284">
        <v>20600</v>
      </c>
      <c r="J185" s="284"/>
      <c r="K185" s="284"/>
      <c r="L185" s="27">
        <f>SUM(I183:I185)</f>
        <v>22100</v>
      </c>
    </row>
    <row r="186" spans="1:23" x14ac:dyDescent="0.25">
      <c r="A186" s="291" t="s">
        <v>101</v>
      </c>
      <c r="B186" s="289" t="s">
        <v>188</v>
      </c>
      <c r="C186" s="293"/>
      <c r="D186" s="293">
        <v>2305</v>
      </c>
      <c r="E186" s="293"/>
      <c r="F186" s="293"/>
      <c r="G186" s="293"/>
      <c r="H186" s="293"/>
      <c r="I186" s="293"/>
      <c r="J186" s="293"/>
      <c r="K186" s="293"/>
      <c r="L186" s="1"/>
    </row>
    <row r="187" spans="1:23" x14ac:dyDescent="0.25">
      <c r="A187" s="291" t="s">
        <v>101</v>
      </c>
      <c r="B187" s="292" t="s">
        <v>246</v>
      </c>
      <c r="C187" s="293"/>
      <c r="D187" s="293"/>
      <c r="E187" s="293"/>
      <c r="F187" s="293"/>
      <c r="G187" s="293">
        <v>138000</v>
      </c>
      <c r="H187" s="293">
        <v>138000</v>
      </c>
      <c r="I187" s="293"/>
      <c r="J187" s="293"/>
      <c r="K187" s="293"/>
      <c r="L187" s="1"/>
    </row>
    <row r="188" spans="1:23" x14ac:dyDescent="0.25">
      <c r="A188" s="291" t="s">
        <v>103</v>
      </c>
      <c r="B188" s="292" t="s">
        <v>264</v>
      </c>
      <c r="C188" s="293"/>
      <c r="D188" s="293"/>
      <c r="E188" s="293"/>
      <c r="F188" s="293"/>
      <c r="G188" s="293">
        <v>10000</v>
      </c>
      <c r="H188" s="293">
        <v>15200</v>
      </c>
      <c r="I188" s="293"/>
      <c r="J188" s="293"/>
      <c r="K188" s="293"/>
      <c r="L188" s="1"/>
    </row>
    <row r="189" spans="1:23" x14ac:dyDescent="0.25">
      <c r="A189" s="279" t="s">
        <v>103</v>
      </c>
      <c r="B189" s="294" t="s">
        <v>241</v>
      </c>
      <c r="C189" s="281"/>
      <c r="D189" s="281"/>
      <c r="E189" s="281">
        <v>213721</v>
      </c>
      <c r="F189" s="281"/>
      <c r="G189" s="281">
        <v>350000</v>
      </c>
      <c r="H189" s="281">
        <v>335200</v>
      </c>
      <c r="I189" s="281">
        <v>325000</v>
      </c>
      <c r="J189" s="281"/>
      <c r="K189" s="281"/>
      <c r="L189" s="1"/>
    </row>
    <row r="190" spans="1:23" x14ac:dyDescent="0.25">
      <c r="A190" s="291" t="s">
        <v>103</v>
      </c>
      <c r="B190" s="292" t="s">
        <v>265</v>
      </c>
      <c r="C190" s="290"/>
      <c r="D190" s="281"/>
      <c r="E190" s="281"/>
      <c r="F190" s="281"/>
      <c r="G190" s="281">
        <v>0</v>
      </c>
      <c r="H190" s="281">
        <v>38900</v>
      </c>
      <c r="I190" s="281"/>
      <c r="J190" s="281"/>
      <c r="K190" s="281"/>
      <c r="L190" s="1"/>
    </row>
    <row r="191" spans="1:23" x14ac:dyDescent="0.25">
      <c r="A191" s="444" t="s">
        <v>107</v>
      </c>
      <c r="B191" s="431" t="s">
        <v>266</v>
      </c>
      <c r="C191" s="290"/>
      <c r="D191" s="281"/>
      <c r="E191" s="281"/>
      <c r="F191" s="281"/>
      <c r="G191" s="281">
        <v>0</v>
      </c>
      <c r="H191" s="281">
        <v>3600</v>
      </c>
      <c r="I191" s="281"/>
      <c r="J191" s="281"/>
      <c r="K191" s="281"/>
      <c r="L191" s="1"/>
    </row>
    <row r="192" spans="1:23" ht="15.75" thickBot="1" x14ac:dyDescent="0.3">
      <c r="A192" s="295" t="s">
        <v>107</v>
      </c>
      <c r="B192" s="296" t="s">
        <v>189</v>
      </c>
      <c r="C192" s="285"/>
      <c r="D192" s="285">
        <v>7773</v>
      </c>
      <c r="E192" s="285">
        <v>0</v>
      </c>
      <c r="F192" s="285"/>
      <c r="G192" s="285">
        <v>0</v>
      </c>
      <c r="H192" s="285">
        <v>0</v>
      </c>
      <c r="I192" s="285"/>
      <c r="J192" s="285"/>
      <c r="K192" s="285"/>
      <c r="L192" s="1"/>
    </row>
    <row r="193" spans="1:12" x14ac:dyDescent="0.25">
      <c r="A193" s="288" t="s">
        <v>190</v>
      </c>
      <c r="B193" s="289" t="s">
        <v>191</v>
      </c>
      <c r="C193" s="290">
        <v>2107</v>
      </c>
      <c r="D193" s="290">
        <v>114</v>
      </c>
      <c r="E193" s="290">
        <v>0</v>
      </c>
      <c r="F193" s="290">
        <v>0</v>
      </c>
      <c r="G193" s="290">
        <v>75000</v>
      </c>
      <c r="H193" s="290">
        <v>25100</v>
      </c>
      <c r="I193" s="290">
        <v>43000</v>
      </c>
      <c r="J193" s="290">
        <v>3000</v>
      </c>
      <c r="K193" s="290">
        <v>3000</v>
      </c>
      <c r="L193" s="1"/>
    </row>
    <row r="194" spans="1:12" x14ac:dyDescent="0.25">
      <c r="A194" s="297" t="s">
        <v>190</v>
      </c>
      <c r="B194" s="294" t="s">
        <v>247</v>
      </c>
      <c r="C194" s="281">
        <v>49262</v>
      </c>
      <c r="D194" s="281">
        <v>19728</v>
      </c>
      <c r="E194" s="281">
        <v>10645</v>
      </c>
      <c r="F194" s="281">
        <v>20733</v>
      </c>
      <c r="G194" s="281">
        <v>60000</v>
      </c>
      <c r="H194" s="281">
        <v>50000</v>
      </c>
      <c r="I194" s="281">
        <v>29000</v>
      </c>
      <c r="J194" s="281">
        <v>20000</v>
      </c>
      <c r="K194" s="281">
        <v>20000</v>
      </c>
      <c r="L194" s="27"/>
    </row>
    <row r="195" spans="1:12" x14ac:dyDescent="0.25">
      <c r="A195" s="297" t="s">
        <v>110</v>
      </c>
      <c r="B195" s="431" t="s">
        <v>230</v>
      </c>
      <c r="C195" s="281"/>
      <c r="D195" s="281"/>
      <c r="E195" s="281"/>
      <c r="F195" s="281"/>
      <c r="G195" s="281">
        <v>15800</v>
      </c>
      <c r="H195" s="281">
        <v>15800</v>
      </c>
      <c r="I195" s="281">
        <v>15800</v>
      </c>
      <c r="J195" s="281"/>
      <c r="K195" s="281"/>
      <c r="L195" s="27"/>
    </row>
    <row r="196" spans="1:12" x14ac:dyDescent="0.25">
      <c r="A196" s="300" t="s">
        <v>110</v>
      </c>
      <c r="B196" s="298" t="s">
        <v>256</v>
      </c>
      <c r="C196" s="281"/>
      <c r="D196" s="281">
        <v>2600</v>
      </c>
      <c r="E196" s="281">
        <v>0</v>
      </c>
      <c r="F196" s="281">
        <v>35581</v>
      </c>
      <c r="G196" s="281">
        <v>10000</v>
      </c>
      <c r="H196" s="281">
        <v>12000</v>
      </c>
      <c r="I196" s="281"/>
      <c r="J196" s="281"/>
      <c r="K196" s="281"/>
      <c r="L196" s="1"/>
    </row>
    <row r="197" spans="1:12" x14ac:dyDescent="0.25">
      <c r="A197" s="301" t="s">
        <v>110</v>
      </c>
      <c r="B197" s="459" t="s">
        <v>277</v>
      </c>
      <c r="C197" s="281"/>
      <c r="D197" s="281"/>
      <c r="E197" s="281"/>
      <c r="F197" s="281"/>
      <c r="G197" s="281">
        <v>0</v>
      </c>
      <c r="H197" s="281">
        <v>2200</v>
      </c>
      <c r="I197" s="281"/>
      <c r="J197" s="281"/>
      <c r="K197" s="281"/>
      <c r="L197" s="1"/>
    </row>
    <row r="198" spans="1:12" x14ac:dyDescent="0.25">
      <c r="A198" s="297" t="s">
        <v>110</v>
      </c>
      <c r="B198" s="294" t="s">
        <v>220</v>
      </c>
      <c r="C198" s="281"/>
      <c r="D198" s="281"/>
      <c r="E198" s="281">
        <v>36425</v>
      </c>
      <c r="F198" s="281">
        <v>0</v>
      </c>
      <c r="G198" s="281">
        <v>0</v>
      </c>
      <c r="H198" s="281">
        <v>0</v>
      </c>
      <c r="I198" s="281"/>
      <c r="J198" s="281"/>
      <c r="K198" s="281"/>
      <c r="L198" s="1"/>
    </row>
    <row r="199" spans="1:12" ht="15.75" thickBot="1" x14ac:dyDescent="0.3">
      <c r="A199" s="299" t="s">
        <v>110</v>
      </c>
      <c r="B199" s="445" t="s">
        <v>239</v>
      </c>
      <c r="C199" s="284"/>
      <c r="D199" s="284"/>
      <c r="E199" s="284"/>
      <c r="F199" s="284">
        <v>0</v>
      </c>
      <c r="G199" s="284">
        <v>35000</v>
      </c>
      <c r="H199" s="284">
        <v>31900</v>
      </c>
      <c r="I199" s="284">
        <v>30000</v>
      </c>
      <c r="J199" s="284"/>
      <c r="K199" s="284"/>
      <c r="L199" s="27">
        <f>SUM(I193:I199)</f>
        <v>117800</v>
      </c>
    </row>
    <row r="200" spans="1:12" x14ac:dyDescent="0.25">
      <c r="A200" s="300" t="s">
        <v>125</v>
      </c>
      <c r="B200" s="298" t="s">
        <v>192</v>
      </c>
      <c r="C200" s="287"/>
      <c r="D200" s="287"/>
      <c r="E200" s="287">
        <v>0</v>
      </c>
      <c r="F200" s="287">
        <v>0</v>
      </c>
      <c r="G200" s="287">
        <v>32000</v>
      </c>
      <c r="H200" s="287">
        <v>41100</v>
      </c>
      <c r="I200" s="287"/>
      <c r="J200" s="287"/>
      <c r="K200" s="287"/>
      <c r="L200" s="27"/>
    </row>
    <row r="201" spans="1:12" x14ac:dyDescent="0.25">
      <c r="A201" s="301" t="s">
        <v>125</v>
      </c>
      <c r="B201" s="302" t="s">
        <v>193</v>
      </c>
      <c r="C201" s="290">
        <f>51725+9953+44705</f>
        <v>106383</v>
      </c>
      <c r="D201" s="290">
        <v>3568</v>
      </c>
      <c r="E201" s="290">
        <v>0</v>
      </c>
      <c r="F201" s="290"/>
      <c r="G201" s="290">
        <v>0</v>
      </c>
      <c r="H201" s="290">
        <v>0</v>
      </c>
      <c r="I201" s="290"/>
      <c r="J201" s="290"/>
      <c r="K201" s="290"/>
      <c r="L201" s="27"/>
    </row>
    <row r="202" spans="1:12" x14ac:dyDescent="0.25">
      <c r="A202" s="303" t="s">
        <v>125</v>
      </c>
      <c r="B202" s="304" t="s">
        <v>195</v>
      </c>
      <c r="C202" s="293"/>
      <c r="D202" s="293"/>
      <c r="E202" s="293">
        <v>0</v>
      </c>
      <c r="F202" s="293">
        <v>0</v>
      </c>
      <c r="G202" s="293">
        <v>21000</v>
      </c>
      <c r="H202" s="293">
        <v>21000</v>
      </c>
      <c r="I202" s="293">
        <v>21000</v>
      </c>
      <c r="J202" s="293"/>
      <c r="K202" s="290"/>
      <c r="L202" s="27"/>
    </row>
    <row r="203" spans="1:12" x14ac:dyDescent="0.25">
      <c r="A203" s="303" t="s">
        <v>125</v>
      </c>
      <c r="B203" s="304" t="s">
        <v>240</v>
      </c>
      <c r="C203" s="293"/>
      <c r="D203" s="293"/>
      <c r="E203" s="293">
        <v>0</v>
      </c>
      <c r="F203" s="293"/>
      <c r="G203" s="293">
        <v>8000</v>
      </c>
      <c r="H203" s="293">
        <v>8000</v>
      </c>
      <c r="I203" s="293">
        <v>8000</v>
      </c>
      <c r="J203" s="293"/>
      <c r="K203" s="293"/>
      <c r="L203" s="1"/>
    </row>
    <row r="204" spans="1:12" x14ac:dyDescent="0.25">
      <c r="A204" s="303" t="s">
        <v>125</v>
      </c>
      <c r="B204" s="304" t="s">
        <v>194</v>
      </c>
      <c r="C204" s="293"/>
      <c r="D204" s="293"/>
      <c r="E204" s="293">
        <v>3300</v>
      </c>
      <c r="F204" s="293"/>
      <c r="G204" s="293"/>
      <c r="H204" s="293"/>
      <c r="I204" s="293"/>
      <c r="J204" s="293"/>
      <c r="K204" s="293"/>
      <c r="L204" s="1"/>
    </row>
    <row r="205" spans="1:12" x14ac:dyDescent="0.25">
      <c r="A205" s="303" t="s">
        <v>127</v>
      </c>
      <c r="B205" s="294" t="s">
        <v>267</v>
      </c>
      <c r="C205" s="293"/>
      <c r="D205" s="293"/>
      <c r="E205" s="293"/>
      <c r="F205" s="293"/>
      <c r="G205" s="293">
        <v>200000</v>
      </c>
      <c r="H205" s="293">
        <v>200000</v>
      </c>
      <c r="I205" s="293">
        <v>200000</v>
      </c>
      <c r="J205" s="293">
        <v>185000</v>
      </c>
      <c r="K205" s="293"/>
      <c r="L205" s="1"/>
    </row>
    <row r="206" spans="1:12" x14ac:dyDescent="0.25">
      <c r="A206" s="303" t="s">
        <v>127</v>
      </c>
      <c r="B206" s="304" t="s">
        <v>238</v>
      </c>
      <c r="C206" s="293">
        <v>2698</v>
      </c>
      <c r="D206" s="293"/>
      <c r="E206" s="293">
        <v>0</v>
      </c>
      <c r="F206" s="293"/>
      <c r="G206" s="293">
        <v>50000</v>
      </c>
      <c r="H206" s="293">
        <v>10000</v>
      </c>
      <c r="I206" s="293">
        <v>100000</v>
      </c>
      <c r="J206" s="293"/>
      <c r="K206" s="293"/>
      <c r="L206" s="1"/>
    </row>
    <row r="207" spans="1:12" ht="15.75" thickBot="1" x14ac:dyDescent="0.3">
      <c r="A207" s="305" t="s">
        <v>131</v>
      </c>
      <c r="B207" s="280" t="s">
        <v>226</v>
      </c>
      <c r="C207" s="281"/>
      <c r="D207" s="281">
        <v>3847</v>
      </c>
      <c r="E207" s="281">
        <v>0</v>
      </c>
      <c r="F207" s="281">
        <v>0</v>
      </c>
      <c r="G207" s="281"/>
      <c r="H207" s="281">
        <v>3000</v>
      </c>
      <c r="I207" s="281"/>
      <c r="J207" s="281"/>
      <c r="K207" s="281"/>
      <c r="L207" s="27">
        <f>SUM(I200:I207)</f>
        <v>329000</v>
      </c>
    </row>
    <row r="208" spans="1:12" x14ac:dyDescent="0.25">
      <c r="A208" s="307" t="s">
        <v>136</v>
      </c>
      <c r="B208" s="277" t="s">
        <v>196</v>
      </c>
      <c r="C208" s="278"/>
      <c r="D208" s="278"/>
      <c r="E208" s="278">
        <v>125059</v>
      </c>
      <c r="F208" s="278"/>
      <c r="G208" s="278"/>
      <c r="H208" s="278"/>
      <c r="I208" s="278"/>
      <c r="J208" s="278"/>
      <c r="K208" s="278"/>
      <c r="L208" s="1"/>
    </row>
    <row r="209" spans="1:23" x14ac:dyDescent="0.25">
      <c r="A209" s="305" t="s">
        <v>136</v>
      </c>
      <c r="B209" s="280" t="s">
        <v>268</v>
      </c>
      <c r="C209" s="281"/>
      <c r="D209" s="281">
        <v>2984</v>
      </c>
      <c r="E209" s="281"/>
      <c r="F209" s="281">
        <v>0</v>
      </c>
      <c r="G209" s="281"/>
      <c r="H209" s="281"/>
      <c r="I209" s="281"/>
      <c r="J209" s="281"/>
      <c r="K209" s="281"/>
      <c r="L209" s="1"/>
    </row>
    <row r="210" spans="1:23" x14ac:dyDescent="0.25">
      <c r="A210" s="305" t="s">
        <v>136</v>
      </c>
      <c r="B210" s="280" t="s">
        <v>269</v>
      </c>
      <c r="C210" s="287"/>
      <c r="D210" s="287"/>
      <c r="E210" s="287"/>
      <c r="F210" s="287"/>
      <c r="G210" s="287">
        <v>120000</v>
      </c>
      <c r="H210" s="287">
        <v>120000</v>
      </c>
      <c r="I210" s="287">
        <v>381000</v>
      </c>
      <c r="J210" s="287"/>
      <c r="K210" s="287"/>
      <c r="L210" s="1"/>
    </row>
    <row r="211" spans="1:23" ht="15" customHeight="1" x14ac:dyDescent="0.25">
      <c r="A211" s="308" t="s">
        <v>140</v>
      </c>
      <c r="B211" s="275" t="s">
        <v>227</v>
      </c>
      <c r="C211" s="287"/>
      <c r="D211" s="287">
        <v>16897</v>
      </c>
      <c r="E211" s="287">
        <v>9936</v>
      </c>
      <c r="F211" s="287"/>
      <c r="G211" s="287"/>
      <c r="H211" s="287"/>
      <c r="I211" s="287"/>
      <c r="J211" s="287"/>
      <c r="K211" s="287"/>
      <c r="L211" s="1"/>
    </row>
    <row r="212" spans="1:23" ht="15" customHeight="1" x14ac:dyDescent="0.25">
      <c r="A212" s="303" t="s">
        <v>140</v>
      </c>
      <c r="B212" s="432" t="s">
        <v>257</v>
      </c>
      <c r="C212" s="290"/>
      <c r="D212" s="281"/>
      <c r="E212" s="281"/>
      <c r="F212" s="281">
        <v>2220</v>
      </c>
      <c r="G212" s="281">
        <v>0</v>
      </c>
      <c r="H212" s="281">
        <v>3100</v>
      </c>
      <c r="I212" s="281"/>
      <c r="J212" s="281"/>
      <c r="K212" s="281"/>
      <c r="L212" s="1"/>
    </row>
    <row r="213" spans="1:23" ht="15" customHeight="1" x14ac:dyDescent="0.25">
      <c r="A213" s="433" t="s">
        <v>140</v>
      </c>
      <c r="B213" s="434" t="s">
        <v>258</v>
      </c>
      <c r="C213" s="290"/>
      <c r="D213" s="281"/>
      <c r="E213" s="281"/>
      <c r="F213" s="281">
        <v>11244</v>
      </c>
      <c r="G213" s="281"/>
      <c r="H213" s="281"/>
      <c r="I213" s="281"/>
      <c r="J213" s="281"/>
      <c r="K213" s="281"/>
      <c r="L213" s="1"/>
    </row>
    <row r="214" spans="1:23" ht="15.75" thickBot="1" x14ac:dyDescent="0.3">
      <c r="A214" s="306" t="s">
        <v>149</v>
      </c>
      <c r="B214" s="309" t="s">
        <v>259</v>
      </c>
      <c r="C214" s="285">
        <v>10600</v>
      </c>
      <c r="D214" s="285">
        <v>2561</v>
      </c>
      <c r="E214" s="285">
        <v>2388</v>
      </c>
      <c r="F214" s="285">
        <v>0</v>
      </c>
      <c r="G214" s="285"/>
      <c r="H214" s="285"/>
      <c r="I214" s="285"/>
      <c r="J214" s="285"/>
      <c r="K214" s="285"/>
      <c r="L214" s="27">
        <f>SUM(I208:I214)</f>
        <v>381000</v>
      </c>
    </row>
    <row r="215" spans="1:23" ht="15.75" thickBot="1" x14ac:dyDescent="0.3">
      <c r="A215" s="310" t="s">
        <v>152</v>
      </c>
      <c r="B215" s="446" t="s">
        <v>270</v>
      </c>
      <c r="C215" s="284"/>
      <c r="D215" s="284"/>
      <c r="E215" s="284">
        <v>0</v>
      </c>
      <c r="F215" s="284">
        <v>0</v>
      </c>
      <c r="G215" s="284">
        <v>175200</v>
      </c>
      <c r="H215" s="284">
        <v>186800</v>
      </c>
      <c r="I215" s="284">
        <f>186800-94000</f>
        <v>92800</v>
      </c>
      <c r="J215" s="284"/>
      <c r="K215" s="284"/>
      <c r="L215" s="1"/>
    </row>
    <row r="216" spans="1:23" x14ac:dyDescent="0.25">
      <c r="A216" s="311"/>
      <c r="B216" s="312"/>
      <c r="C216" s="312"/>
      <c r="D216" s="312"/>
      <c r="E216" s="313"/>
      <c r="F216" s="313"/>
      <c r="G216" s="313"/>
      <c r="H216" s="313"/>
      <c r="I216" s="313"/>
      <c r="J216" s="313"/>
      <c r="K216" s="313"/>
      <c r="L216" s="313"/>
    </row>
    <row r="217" spans="1:23" x14ac:dyDescent="0.25">
      <c r="A217" s="314"/>
      <c r="B217" s="315"/>
      <c r="C217" s="315"/>
      <c r="D217" s="315"/>
      <c r="E217" s="316"/>
      <c r="F217" s="316"/>
      <c r="G217" s="316"/>
      <c r="H217" s="316"/>
      <c r="I217" s="316"/>
      <c r="J217" s="316"/>
      <c r="K217" s="316"/>
      <c r="L217" s="316"/>
    </row>
    <row r="218" spans="1:23" ht="18.75" thickBot="1" x14ac:dyDescent="0.3">
      <c r="A218" s="834" t="s">
        <v>197</v>
      </c>
      <c r="B218" s="835"/>
      <c r="C218" s="835"/>
      <c r="D218" s="835"/>
      <c r="E218" s="835"/>
      <c r="F218" s="835"/>
      <c r="G218" s="835"/>
      <c r="H218" s="835"/>
      <c r="I218" s="835"/>
      <c r="J218" s="835"/>
      <c r="K218" s="835"/>
      <c r="L218" s="1"/>
    </row>
    <row r="219" spans="1:23" ht="32.25" customHeight="1" thickBot="1" x14ac:dyDescent="0.3">
      <c r="A219" s="838" t="s">
        <v>1</v>
      </c>
      <c r="B219" s="839"/>
      <c r="C219" s="417" t="s">
        <v>2</v>
      </c>
      <c r="D219" s="417" t="s">
        <v>3</v>
      </c>
      <c r="E219" s="417" t="s">
        <v>219</v>
      </c>
      <c r="F219" s="417" t="s">
        <v>249</v>
      </c>
      <c r="G219" s="417" t="s">
        <v>250</v>
      </c>
      <c r="H219" s="417" t="s">
        <v>251</v>
      </c>
      <c r="I219" s="416">
        <v>2022</v>
      </c>
      <c r="J219" s="416">
        <v>2023</v>
      </c>
      <c r="K219" s="416">
        <v>2024</v>
      </c>
      <c r="L219" s="1"/>
    </row>
    <row r="220" spans="1:23" ht="16.5" thickBot="1" x14ac:dyDescent="0.3">
      <c r="A220" s="447" t="s">
        <v>198</v>
      </c>
      <c r="B220" s="448"/>
      <c r="C220" s="449">
        <f>SUM(C224:C229)</f>
        <v>85625</v>
      </c>
      <c r="D220" s="449">
        <f t="shared" ref="D220:K220" si="85">SUM(D221:D230)</f>
        <v>129336</v>
      </c>
      <c r="E220" s="449">
        <f t="shared" si="85"/>
        <v>137207</v>
      </c>
      <c r="F220" s="449">
        <f t="shared" si="85"/>
        <v>174149</v>
      </c>
      <c r="G220" s="449">
        <f t="shared" si="85"/>
        <v>598670</v>
      </c>
      <c r="H220" s="449">
        <f t="shared" si="85"/>
        <v>639767</v>
      </c>
      <c r="I220" s="449">
        <f t="shared" si="85"/>
        <v>586880</v>
      </c>
      <c r="J220" s="449">
        <f t="shared" si="85"/>
        <v>209600</v>
      </c>
      <c r="K220" s="449">
        <f t="shared" si="85"/>
        <v>24600</v>
      </c>
      <c r="L220" s="27"/>
    </row>
    <row r="221" spans="1:23" x14ac:dyDescent="0.25">
      <c r="A221" s="317">
        <v>453</v>
      </c>
      <c r="B221" s="318" t="s">
        <v>199</v>
      </c>
      <c r="C221" s="319">
        <v>709</v>
      </c>
      <c r="D221" s="319"/>
      <c r="E221" s="319">
        <v>480</v>
      </c>
      <c r="F221" s="319">
        <v>2009</v>
      </c>
      <c r="G221" s="319">
        <v>1000</v>
      </c>
      <c r="H221" s="319">
        <v>1000</v>
      </c>
      <c r="I221" s="319">
        <v>1500</v>
      </c>
      <c r="J221" s="319">
        <v>1500</v>
      </c>
      <c r="K221" s="319">
        <v>1500</v>
      </c>
      <c r="L221" s="1"/>
    </row>
    <row r="222" spans="1:23" x14ac:dyDescent="0.25">
      <c r="A222" s="435">
        <v>453</v>
      </c>
      <c r="B222" s="436" t="s">
        <v>318</v>
      </c>
      <c r="C222" s="64">
        <v>997</v>
      </c>
      <c r="D222" s="64">
        <v>561</v>
      </c>
      <c r="E222" s="64">
        <v>834</v>
      </c>
      <c r="F222" s="64">
        <v>10439</v>
      </c>
      <c r="G222" s="64">
        <v>9000</v>
      </c>
      <c r="H222" s="64">
        <v>19400</v>
      </c>
      <c r="I222" s="64">
        <f>3000+19000</f>
        <v>22000</v>
      </c>
      <c r="J222" s="64">
        <v>3000</v>
      </c>
      <c r="K222" s="64">
        <v>3000</v>
      </c>
      <c r="L222" s="27"/>
    </row>
    <row r="223" spans="1:23" x14ac:dyDescent="0.25">
      <c r="A223" s="317">
        <v>453</v>
      </c>
      <c r="B223" s="436" t="s">
        <v>324</v>
      </c>
      <c r="C223" s="319"/>
      <c r="D223" s="319">
        <v>0</v>
      </c>
      <c r="E223" s="319">
        <v>0</v>
      </c>
      <c r="F223" s="319">
        <v>0</v>
      </c>
      <c r="G223" s="319">
        <v>0</v>
      </c>
      <c r="H223" s="319">
        <v>0</v>
      </c>
      <c r="I223" s="319">
        <v>64300</v>
      </c>
      <c r="J223" s="319">
        <v>0</v>
      </c>
      <c r="K223" s="319">
        <v>0</v>
      </c>
      <c r="L223" s="27"/>
    </row>
    <row r="224" spans="1:23" ht="15.75" thickBot="1" x14ac:dyDescent="0.3">
      <c r="A224" s="320">
        <v>453</v>
      </c>
      <c r="B224" s="321" t="s">
        <v>317</v>
      </c>
      <c r="C224" s="322">
        <v>0</v>
      </c>
      <c r="D224" s="322"/>
      <c r="E224" s="322">
        <v>0</v>
      </c>
      <c r="F224" s="322">
        <v>4901</v>
      </c>
      <c r="G224" s="322">
        <v>2400</v>
      </c>
      <c r="H224" s="322">
        <v>2400</v>
      </c>
      <c r="I224" s="322">
        <v>6000</v>
      </c>
      <c r="J224" s="322">
        <v>0</v>
      </c>
      <c r="K224" s="322">
        <v>0</v>
      </c>
      <c r="L224" s="27">
        <f>SUM(I221:I224)</f>
        <v>93800</v>
      </c>
      <c r="M224" s="27">
        <f>SUM(J221:J224)</f>
        <v>4500</v>
      </c>
      <c r="N224" s="27">
        <f>SUM(K221:K224)</f>
        <v>4500</v>
      </c>
      <c r="U224" s="464"/>
      <c r="V224" s="464"/>
      <c r="W224" s="464"/>
    </row>
    <row r="225" spans="1:15" x14ac:dyDescent="0.25">
      <c r="A225" s="402">
        <v>454</v>
      </c>
      <c r="B225" s="401" t="s">
        <v>200</v>
      </c>
      <c r="C225" s="403">
        <v>85625</v>
      </c>
      <c r="D225" s="403">
        <v>128713</v>
      </c>
      <c r="E225" s="403">
        <v>135867</v>
      </c>
      <c r="F225" s="403">
        <v>92456</v>
      </c>
      <c r="G225" s="403">
        <v>572170</v>
      </c>
      <c r="H225" s="403">
        <v>543470</v>
      </c>
      <c r="I225" s="403">
        <v>492980</v>
      </c>
      <c r="J225" s="403">
        <v>20000</v>
      </c>
      <c r="K225" s="403">
        <v>20000</v>
      </c>
      <c r="L225" s="1"/>
    </row>
    <row r="226" spans="1:15" x14ac:dyDescent="0.25">
      <c r="A226" s="317">
        <v>454</v>
      </c>
      <c r="B226" s="401" t="s">
        <v>228</v>
      </c>
      <c r="C226" s="319"/>
      <c r="D226" s="319"/>
      <c r="E226" s="319"/>
      <c r="F226" s="319">
        <v>0</v>
      </c>
      <c r="G226" s="319">
        <v>14000</v>
      </c>
      <c r="H226" s="319">
        <v>65300</v>
      </c>
      <c r="I226" s="319">
        <v>0</v>
      </c>
      <c r="J226" s="319"/>
      <c r="K226" s="319"/>
      <c r="L226" s="1"/>
    </row>
    <row r="227" spans="1:15" ht="15.75" thickBot="1" x14ac:dyDescent="0.3">
      <c r="A227" s="320">
        <v>456</v>
      </c>
      <c r="B227" s="321" t="s">
        <v>201</v>
      </c>
      <c r="C227" s="322">
        <v>0</v>
      </c>
      <c r="D227" s="322">
        <v>62</v>
      </c>
      <c r="E227" s="322">
        <v>26</v>
      </c>
      <c r="F227" s="322">
        <v>28</v>
      </c>
      <c r="G227" s="322">
        <v>100</v>
      </c>
      <c r="H227" s="322">
        <v>100</v>
      </c>
      <c r="I227" s="322">
        <v>100</v>
      </c>
      <c r="J227" s="322">
        <v>100</v>
      </c>
      <c r="K227" s="322">
        <v>100</v>
      </c>
      <c r="L227" s="27">
        <f>SUM(H221:H227)</f>
        <v>631670</v>
      </c>
      <c r="M227" s="464">
        <f>SUM(I221:I227)</f>
        <v>586880</v>
      </c>
      <c r="N227" s="464">
        <f>SUM(J221:J227)</f>
        <v>24600</v>
      </c>
      <c r="O227" s="464">
        <f>SUM(K221:K227)</f>
        <v>24600</v>
      </c>
    </row>
    <row r="228" spans="1:15" x14ac:dyDescent="0.25">
      <c r="A228" s="404">
        <v>513</v>
      </c>
      <c r="B228" s="405" t="s">
        <v>202</v>
      </c>
      <c r="C228" s="406">
        <v>0</v>
      </c>
      <c r="D228" s="406"/>
      <c r="E228" s="406">
        <v>0</v>
      </c>
      <c r="F228" s="406">
        <v>0</v>
      </c>
      <c r="G228" s="406">
        <v>0</v>
      </c>
      <c r="H228" s="406">
        <v>0</v>
      </c>
      <c r="I228" s="406">
        <v>0</v>
      </c>
      <c r="J228" s="406">
        <v>185000</v>
      </c>
      <c r="K228" s="406">
        <v>0</v>
      </c>
      <c r="L228" s="27">
        <f>I225+I228</f>
        <v>492980</v>
      </c>
      <c r="M228" s="27">
        <f t="shared" ref="M228:N228" si="86">J225+J228</f>
        <v>205000</v>
      </c>
      <c r="N228" s="27">
        <f t="shared" si="86"/>
        <v>20000</v>
      </c>
    </row>
    <row r="229" spans="1:15" ht="15.75" thickBot="1" x14ac:dyDescent="0.3">
      <c r="A229" s="320">
        <v>514</v>
      </c>
      <c r="B229" s="463" t="s">
        <v>229</v>
      </c>
      <c r="C229" s="322">
        <v>0</v>
      </c>
      <c r="D229" s="322"/>
      <c r="E229" s="322">
        <v>0</v>
      </c>
      <c r="F229" s="322">
        <v>64316</v>
      </c>
      <c r="G229" s="322">
        <v>0</v>
      </c>
      <c r="H229" s="322">
        <v>0</v>
      </c>
      <c r="I229" s="322">
        <v>0</v>
      </c>
      <c r="J229" s="322">
        <v>0</v>
      </c>
      <c r="K229" s="322"/>
      <c r="L229" s="27"/>
    </row>
    <row r="230" spans="1:15" ht="15.75" thickBot="1" x14ac:dyDescent="0.3">
      <c r="A230" s="460">
        <v>453</v>
      </c>
      <c r="B230" s="461" t="s">
        <v>278</v>
      </c>
      <c r="C230" s="462">
        <v>0</v>
      </c>
      <c r="D230" s="462">
        <v>0</v>
      </c>
      <c r="E230" s="462">
        <v>0</v>
      </c>
      <c r="F230" s="462">
        <v>0</v>
      </c>
      <c r="G230" s="462">
        <v>0</v>
      </c>
      <c r="H230" s="462">
        <v>8097</v>
      </c>
      <c r="I230" s="462">
        <v>0</v>
      </c>
      <c r="J230" s="462">
        <v>0</v>
      </c>
      <c r="K230" s="462">
        <v>0</v>
      </c>
      <c r="L230" s="27"/>
    </row>
    <row r="231" spans="1:15" ht="16.5" thickBot="1" x14ac:dyDescent="0.3">
      <c r="A231" s="447" t="s">
        <v>203</v>
      </c>
      <c r="B231" s="448"/>
      <c r="C231" s="449">
        <f t="shared" ref="C231:K231" si="87">SUM(C232:C234)</f>
        <v>789</v>
      </c>
      <c r="D231" s="449">
        <f t="shared" si="87"/>
        <v>879</v>
      </c>
      <c r="E231" s="449">
        <f t="shared" si="87"/>
        <v>882</v>
      </c>
      <c r="F231" s="449">
        <f t="shared" si="87"/>
        <v>916</v>
      </c>
      <c r="G231" s="449">
        <f t="shared" si="87"/>
        <v>1030</v>
      </c>
      <c r="H231" s="449">
        <f t="shared" si="87"/>
        <v>1030</v>
      </c>
      <c r="I231" s="449">
        <f t="shared" si="87"/>
        <v>1070</v>
      </c>
      <c r="J231" s="449">
        <f t="shared" si="87"/>
        <v>1100</v>
      </c>
      <c r="K231" s="449">
        <f t="shared" si="87"/>
        <v>17220</v>
      </c>
      <c r="L231" s="27"/>
    </row>
    <row r="232" spans="1:15" ht="15" customHeight="1" x14ac:dyDescent="0.25">
      <c r="A232" s="323">
        <v>819</v>
      </c>
      <c r="B232" s="324" t="s">
        <v>204</v>
      </c>
      <c r="C232" s="205">
        <v>0</v>
      </c>
      <c r="D232" s="205">
        <v>62</v>
      </c>
      <c r="E232" s="205">
        <v>26</v>
      </c>
      <c r="F232" s="205">
        <v>28</v>
      </c>
      <c r="G232" s="205">
        <v>100</v>
      </c>
      <c r="H232" s="205">
        <v>100</v>
      </c>
      <c r="I232" s="205">
        <v>100</v>
      </c>
      <c r="J232" s="205">
        <v>100</v>
      </c>
      <c r="K232" s="205">
        <v>100</v>
      </c>
      <c r="L232" s="1"/>
    </row>
    <row r="233" spans="1:15" x14ac:dyDescent="0.25">
      <c r="A233" s="325">
        <v>821</v>
      </c>
      <c r="B233" s="326" t="s">
        <v>280</v>
      </c>
      <c r="C233" s="56">
        <v>0</v>
      </c>
      <c r="D233" s="56">
        <v>0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16080</v>
      </c>
      <c r="L233" s="1"/>
    </row>
    <row r="234" spans="1:15" ht="15.75" thickBot="1" x14ac:dyDescent="0.3">
      <c r="A234" s="327">
        <v>821</v>
      </c>
      <c r="B234" s="328" t="s">
        <v>205</v>
      </c>
      <c r="C234" s="191">
        <v>789</v>
      </c>
      <c r="D234" s="191">
        <v>817</v>
      </c>
      <c r="E234" s="191">
        <v>856</v>
      </c>
      <c r="F234" s="191">
        <v>888</v>
      </c>
      <c r="G234" s="128">
        <v>930</v>
      </c>
      <c r="H234" s="128">
        <v>930</v>
      </c>
      <c r="I234" s="128">
        <v>970</v>
      </c>
      <c r="J234" s="128">
        <v>1000</v>
      </c>
      <c r="K234" s="128">
        <v>1040</v>
      </c>
      <c r="L234" s="1"/>
    </row>
    <row r="235" spans="1:15" x14ac:dyDescent="0.25">
      <c r="A235" s="314"/>
      <c r="B235" s="329"/>
      <c r="C235" s="329"/>
      <c r="D235" s="329"/>
      <c r="E235" s="161"/>
      <c r="F235" s="161"/>
      <c r="G235" s="161"/>
      <c r="H235" s="161"/>
      <c r="I235" s="161"/>
      <c r="J235" s="161"/>
      <c r="K235" s="161"/>
      <c r="L235" s="161"/>
    </row>
    <row r="236" spans="1:15" ht="15.75" x14ac:dyDescent="0.25">
      <c r="A236" s="105"/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</row>
    <row r="237" spans="1:15" ht="18.75" thickBot="1" x14ac:dyDescent="0.3">
      <c r="A237" s="836" t="s">
        <v>206</v>
      </c>
      <c r="B237" s="837"/>
      <c r="C237" s="837"/>
      <c r="D237" s="837"/>
      <c r="E237" s="837"/>
      <c r="F237" s="837"/>
      <c r="G237" s="837"/>
      <c r="H237" s="837"/>
      <c r="I237" s="837"/>
      <c r="J237" s="837"/>
      <c r="K237" s="837"/>
      <c r="L237" s="1"/>
    </row>
    <row r="238" spans="1:15" ht="32.25" customHeight="1" thickBot="1" x14ac:dyDescent="0.3">
      <c r="A238" s="838" t="s">
        <v>1</v>
      </c>
      <c r="B238" s="839"/>
      <c r="C238" s="417" t="s">
        <v>2</v>
      </c>
      <c r="D238" s="417" t="s">
        <v>3</v>
      </c>
      <c r="E238" s="417" t="s">
        <v>219</v>
      </c>
      <c r="F238" s="417" t="s">
        <v>249</v>
      </c>
      <c r="G238" s="417" t="s">
        <v>250</v>
      </c>
      <c r="H238" s="417" t="s">
        <v>251</v>
      </c>
      <c r="I238" s="416">
        <v>2022</v>
      </c>
      <c r="J238" s="416">
        <v>2023</v>
      </c>
      <c r="K238" s="416">
        <v>2024</v>
      </c>
      <c r="L238" s="1"/>
    </row>
    <row r="239" spans="1:15" ht="15.75" x14ac:dyDescent="0.25">
      <c r="A239" s="330" t="s">
        <v>207</v>
      </c>
      <c r="B239" s="29"/>
      <c r="C239" s="331">
        <f t="shared" ref="C239:K239" si="88">C91</f>
        <v>1786304</v>
      </c>
      <c r="D239" s="331">
        <f t="shared" si="88"/>
        <v>1923989</v>
      </c>
      <c r="E239" s="331">
        <f t="shared" si="88"/>
        <v>2174082</v>
      </c>
      <c r="F239" s="331">
        <f t="shared" si="88"/>
        <v>2242915</v>
      </c>
      <c r="G239" s="331">
        <f t="shared" si="88"/>
        <v>2262629</v>
      </c>
      <c r="H239" s="331">
        <f t="shared" si="88"/>
        <v>2396932</v>
      </c>
      <c r="I239" s="331">
        <f t="shared" si="88"/>
        <v>2247848</v>
      </c>
      <c r="J239" s="331">
        <f t="shared" si="88"/>
        <v>2320898</v>
      </c>
      <c r="K239" s="331">
        <f t="shared" si="88"/>
        <v>2355898</v>
      </c>
      <c r="L239" s="1"/>
    </row>
    <row r="240" spans="1:15" ht="15.75" x14ac:dyDescent="0.25">
      <c r="A240" s="332" t="s">
        <v>208</v>
      </c>
      <c r="B240" s="333"/>
      <c r="C240" s="334">
        <f t="shared" ref="C240:K240" si="89">C160</f>
        <v>1508309</v>
      </c>
      <c r="D240" s="334">
        <f t="shared" si="89"/>
        <v>1667910</v>
      </c>
      <c r="E240" s="334">
        <f t="shared" si="89"/>
        <v>1949005</v>
      </c>
      <c r="F240" s="334">
        <f t="shared" si="89"/>
        <v>1998056.4</v>
      </c>
      <c r="G240" s="334">
        <f t="shared" si="89"/>
        <v>2288099</v>
      </c>
      <c r="H240" s="334">
        <f t="shared" si="89"/>
        <v>2492199</v>
      </c>
      <c r="I240" s="334">
        <f t="shared" si="89"/>
        <v>2340678</v>
      </c>
      <c r="J240" s="334">
        <f t="shared" si="89"/>
        <v>2324398</v>
      </c>
      <c r="K240" s="334">
        <f t="shared" si="89"/>
        <v>2343278</v>
      </c>
      <c r="L240" s="1"/>
    </row>
    <row r="241" spans="1:13" ht="15.75" x14ac:dyDescent="0.25">
      <c r="A241" s="840" t="s">
        <v>209</v>
      </c>
      <c r="B241" s="841"/>
      <c r="C241" s="335">
        <f t="shared" ref="C241:K241" si="90">C239-C240</f>
        <v>277995</v>
      </c>
      <c r="D241" s="335">
        <f t="shared" si="90"/>
        <v>256079</v>
      </c>
      <c r="E241" s="335">
        <f t="shared" si="90"/>
        <v>225077</v>
      </c>
      <c r="F241" s="335">
        <f t="shared" ref="F241" si="91">F239-F240</f>
        <v>244858.60000000009</v>
      </c>
      <c r="G241" s="335">
        <f t="shared" si="90"/>
        <v>-25470</v>
      </c>
      <c r="H241" s="335">
        <f t="shared" si="90"/>
        <v>-95267</v>
      </c>
      <c r="I241" s="335">
        <f t="shared" si="90"/>
        <v>-92830</v>
      </c>
      <c r="J241" s="335">
        <f t="shared" ref="J241" si="92">J239-J240</f>
        <v>-3500</v>
      </c>
      <c r="K241" s="335">
        <f t="shared" si="90"/>
        <v>12620</v>
      </c>
      <c r="L241" s="1"/>
      <c r="M241" t="s">
        <v>235</v>
      </c>
    </row>
    <row r="242" spans="1:13" ht="15.75" x14ac:dyDescent="0.25">
      <c r="A242" s="332" t="s">
        <v>210</v>
      </c>
      <c r="B242" s="18"/>
      <c r="C242" s="334">
        <f t="shared" ref="C242:K242" si="93">C165</f>
        <v>5251</v>
      </c>
      <c r="D242" s="334">
        <f t="shared" si="93"/>
        <v>60445</v>
      </c>
      <c r="E242" s="334">
        <f t="shared" si="93"/>
        <v>312996</v>
      </c>
      <c r="F242" s="334">
        <f t="shared" si="93"/>
        <v>118970</v>
      </c>
      <c r="G242" s="334">
        <f t="shared" si="93"/>
        <v>744900</v>
      </c>
      <c r="H242" s="334">
        <f t="shared" si="93"/>
        <v>749900</v>
      </c>
      <c r="I242" s="334">
        <f t="shared" si="93"/>
        <v>774720</v>
      </c>
      <c r="J242" s="334">
        <f t="shared" si="93"/>
        <v>3000</v>
      </c>
      <c r="K242" s="334">
        <f t="shared" si="93"/>
        <v>3000</v>
      </c>
      <c r="L242" s="1"/>
    </row>
    <row r="243" spans="1:13" ht="15.75" x14ac:dyDescent="0.25">
      <c r="A243" s="332" t="s">
        <v>211</v>
      </c>
      <c r="B243" s="18"/>
      <c r="C243" s="20">
        <f t="shared" ref="C243:K243" si="94">C178</f>
        <v>171050</v>
      </c>
      <c r="D243" s="20">
        <f t="shared" si="94"/>
        <v>199887</v>
      </c>
      <c r="E243" s="20">
        <f t="shared" si="94"/>
        <v>452163</v>
      </c>
      <c r="F243" s="20">
        <f t="shared" si="94"/>
        <v>211426</v>
      </c>
      <c r="G243" s="20">
        <f t="shared" si="94"/>
        <v>1317070</v>
      </c>
      <c r="H243" s="20">
        <f t="shared" si="94"/>
        <v>1288370</v>
      </c>
      <c r="I243" s="20">
        <f t="shared" si="94"/>
        <v>1267700</v>
      </c>
      <c r="J243" s="20">
        <f t="shared" si="94"/>
        <v>208000</v>
      </c>
      <c r="K243" s="20">
        <f t="shared" si="94"/>
        <v>23000</v>
      </c>
      <c r="L243" s="1"/>
    </row>
    <row r="244" spans="1:13" ht="15.75" x14ac:dyDescent="0.25">
      <c r="A244" s="840" t="s">
        <v>212</v>
      </c>
      <c r="B244" s="841"/>
      <c r="C244" s="335">
        <f t="shared" ref="C244:K244" si="95">C242-C243</f>
        <v>-165799</v>
      </c>
      <c r="D244" s="335">
        <f t="shared" si="95"/>
        <v>-139442</v>
      </c>
      <c r="E244" s="335">
        <f t="shared" si="95"/>
        <v>-139167</v>
      </c>
      <c r="F244" s="335">
        <f t="shared" ref="F244" si="96">F242-F243</f>
        <v>-92456</v>
      </c>
      <c r="G244" s="335">
        <f t="shared" si="95"/>
        <v>-572170</v>
      </c>
      <c r="H244" s="335">
        <f t="shared" si="95"/>
        <v>-538470</v>
      </c>
      <c r="I244" s="335">
        <f t="shared" si="95"/>
        <v>-492980</v>
      </c>
      <c r="J244" s="335">
        <f t="shared" ref="J244" si="97">J242-J243</f>
        <v>-205000</v>
      </c>
      <c r="K244" s="335">
        <f t="shared" si="95"/>
        <v>-20000</v>
      </c>
      <c r="L244" s="1"/>
    </row>
    <row r="245" spans="1:13" ht="15.75" x14ac:dyDescent="0.25">
      <c r="A245" s="336" t="s">
        <v>213</v>
      </c>
      <c r="B245" s="337"/>
      <c r="C245" s="338">
        <f t="shared" ref="C245:K245" si="98">C220</f>
        <v>85625</v>
      </c>
      <c r="D245" s="338">
        <f t="shared" si="98"/>
        <v>129336</v>
      </c>
      <c r="E245" s="338">
        <f t="shared" si="98"/>
        <v>137207</v>
      </c>
      <c r="F245" s="338">
        <f t="shared" si="98"/>
        <v>174149</v>
      </c>
      <c r="G245" s="338">
        <f t="shared" si="98"/>
        <v>598670</v>
      </c>
      <c r="H245" s="338">
        <f t="shared" si="98"/>
        <v>639767</v>
      </c>
      <c r="I245" s="338">
        <f t="shared" si="98"/>
        <v>586880</v>
      </c>
      <c r="J245" s="338">
        <f t="shared" si="98"/>
        <v>209600</v>
      </c>
      <c r="K245" s="338">
        <f t="shared" si="98"/>
        <v>24600</v>
      </c>
      <c r="L245" s="1"/>
    </row>
    <row r="246" spans="1:13" ht="15.75" x14ac:dyDescent="0.25">
      <c r="A246" s="336" t="s">
        <v>214</v>
      </c>
      <c r="B246" s="337"/>
      <c r="C246" s="338">
        <f t="shared" ref="C246:K246" si="99">C231</f>
        <v>789</v>
      </c>
      <c r="D246" s="338">
        <f t="shared" si="99"/>
        <v>879</v>
      </c>
      <c r="E246" s="338">
        <f t="shared" si="99"/>
        <v>882</v>
      </c>
      <c r="F246" s="338">
        <f t="shared" si="99"/>
        <v>916</v>
      </c>
      <c r="G246" s="338">
        <f t="shared" si="99"/>
        <v>1030</v>
      </c>
      <c r="H246" s="338">
        <f t="shared" si="99"/>
        <v>1030</v>
      </c>
      <c r="I246" s="338">
        <f t="shared" si="99"/>
        <v>1070</v>
      </c>
      <c r="J246" s="338">
        <f t="shared" si="99"/>
        <v>1100</v>
      </c>
      <c r="K246" s="338">
        <f t="shared" si="99"/>
        <v>17220</v>
      </c>
      <c r="L246" s="1"/>
    </row>
    <row r="247" spans="1:13" ht="16.5" thickBot="1" x14ac:dyDescent="0.3">
      <c r="A247" s="825" t="s">
        <v>215</v>
      </c>
      <c r="B247" s="826"/>
      <c r="C247" s="339">
        <f t="shared" ref="C247:K247" si="100">C245-C246</f>
        <v>84836</v>
      </c>
      <c r="D247" s="339">
        <f t="shared" si="100"/>
        <v>128457</v>
      </c>
      <c r="E247" s="339">
        <f t="shared" si="100"/>
        <v>136325</v>
      </c>
      <c r="F247" s="339">
        <f t="shared" ref="F247" si="101">F245-F246</f>
        <v>173233</v>
      </c>
      <c r="G247" s="339">
        <f t="shared" si="100"/>
        <v>597640</v>
      </c>
      <c r="H247" s="339">
        <f t="shared" si="100"/>
        <v>638737</v>
      </c>
      <c r="I247" s="339">
        <f t="shared" si="100"/>
        <v>585810</v>
      </c>
      <c r="J247" s="339">
        <f t="shared" ref="J247" si="102">J245-J246</f>
        <v>208500</v>
      </c>
      <c r="K247" s="339">
        <f t="shared" si="100"/>
        <v>7380</v>
      </c>
      <c r="L247" s="1"/>
    </row>
    <row r="248" spans="1:13" ht="16.5" thickBot="1" x14ac:dyDescent="0.3">
      <c r="A248" s="340" t="s">
        <v>216</v>
      </c>
      <c r="B248" s="341"/>
      <c r="C248" s="342">
        <f t="shared" ref="C248:K248" si="103">C241+C244+C247</f>
        <v>197032</v>
      </c>
      <c r="D248" s="342">
        <f t="shared" si="103"/>
        <v>245094</v>
      </c>
      <c r="E248" s="342">
        <f t="shared" si="103"/>
        <v>222235</v>
      </c>
      <c r="F248" s="342">
        <f t="shared" ref="F248" si="104">F241+F244+F247</f>
        <v>325635.60000000009</v>
      </c>
      <c r="G248" s="342">
        <f t="shared" si="103"/>
        <v>0</v>
      </c>
      <c r="H248" s="342">
        <f t="shared" si="103"/>
        <v>5000</v>
      </c>
      <c r="I248" s="342">
        <f t="shared" si="103"/>
        <v>0</v>
      </c>
      <c r="J248" s="342">
        <f t="shared" ref="J248" si="105">J241+J244+J247</f>
        <v>0</v>
      </c>
      <c r="K248" s="342">
        <f t="shared" si="103"/>
        <v>0</v>
      </c>
      <c r="L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3" x14ac:dyDescent="0.25">
      <c r="A250" s="1"/>
      <c r="B250" s="343" t="s">
        <v>332</v>
      </c>
      <c r="C250" s="27">
        <f t="shared" ref="C250:K251" si="106">C239+C242+C245</f>
        <v>1877180</v>
      </c>
      <c r="D250" s="27">
        <f t="shared" si="106"/>
        <v>2113770</v>
      </c>
      <c r="E250" s="27">
        <f t="shared" si="106"/>
        <v>2624285</v>
      </c>
      <c r="F250" s="27">
        <f t="shared" ref="F250" si="107">F239+F242+F245</f>
        <v>2536034</v>
      </c>
      <c r="G250" s="27">
        <f t="shared" si="106"/>
        <v>3606199</v>
      </c>
      <c r="H250" s="27">
        <f t="shared" si="106"/>
        <v>3786599</v>
      </c>
      <c r="I250" s="27">
        <f t="shared" si="106"/>
        <v>3609448</v>
      </c>
      <c r="J250" s="27">
        <f t="shared" ref="J250" si="108">J239+J242+J245</f>
        <v>2533498</v>
      </c>
      <c r="K250" s="27">
        <f t="shared" si="106"/>
        <v>2383498</v>
      </c>
      <c r="L250" s="1"/>
    </row>
    <row r="251" spans="1:13" x14ac:dyDescent="0.25">
      <c r="A251" s="1"/>
      <c r="B251" s="343" t="s">
        <v>333</v>
      </c>
      <c r="C251" s="27">
        <f t="shared" si="106"/>
        <v>1680148</v>
      </c>
      <c r="D251" s="27">
        <f t="shared" si="106"/>
        <v>1868676</v>
      </c>
      <c r="E251" s="27">
        <f t="shared" si="106"/>
        <v>2402050</v>
      </c>
      <c r="F251" s="27">
        <f t="shared" ref="F251" si="109">F240+F243+F246</f>
        <v>2210398.4</v>
      </c>
      <c r="G251" s="27">
        <f t="shared" si="106"/>
        <v>3606199</v>
      </c>
      <c r="H251" s="27">
        <f t="shared" si="106"/>
        <v>3781599</v>
      </c>
      <c r="I251" s="27">
        <f t="shared" si="106"/>
        <v>3609448</v>
      </c>
      <c r="J251" s="27">
        <f t="shared" ref="J251" si="110">J240+J243+J246</f>
        <v>2533498</v>
      </c>
      <c r="K251" s="27">
        <f t="shared" si="106"/>
        <v>2383498</v>
      </c>
      <c r="L251" s="1"/>
    </row>
    <row r="252" spans="1:13" x14ac:dyDescent="0.25">
      <c r="A252" s="1"/>
      <c r="B252" s="343"/>
      <c r="C252" s="27"/>
      <c r="D252" s="27"/>
      <c r="E252" s="27"/>
      <c r="F252" s="27"/>
      <c r="G252" s="27"/>
      <c r="H252" s="27"/>
      <c r="I252" s="27"/>
      <c r="J252" s="27"/>
      <c r="K252" s="27"/>
      <c r="L252" s="1"/>
    </row>
    <row r="253" spans="1:13" x14ac:dyDescent="0.25">
      <c r="A253" s="1"/>
      <c r="B253" s="343" t="s">
        <v>334</v>
      </c>
      <c r="C253" s="27">
        <f>C250-C90</f>
        <v>1865504</v>
      </c>
      <c r="D253" s="27">
        <f>D250-D90</f>
        <v>2094633</v>
      </c>
      <c r="E253" s="27">
        <f>E250-E90</f>
        <v>2553314</v>
      </c>
      <c r="F253" s="27">
        <f>F250-F90</f>
        <v>2494555</v>
      </c>
      <c r="G253" s="27">
        <f>G250-G90</f>
        <v>3562059</v>
      </c>
      <c r="H253" s="27">
        <f>H250-H90-H230</f>
        <v>3707783</v>
      </c>
      <c r="I253" s="27">
        <f>I250-I90-I230</f>
        <v>3593528</v>
      </c>
      <c r="J253" s="27">
        <f>J250-J90-J230</f>
        <v>2517578</v>
      </c>
      <c r="K253" s="27">
        <f>K250-K90-K230</f>
        <v>2367578</v>
      </c>
      <c r="L253" s="1"/>
    </row>
    <row r="254" spans="1:13" x14ac:dyDescent="0.25">
      <c r="A254" s="1"/>
      <c r="B254" s="343" t="s">
        <v>335</v>
      </c>
      <c r="C254" s="27">
        <f t="shared" ref="C254:K254" si="111">C251-C159</f>
        <v>1147258</v>
      </c>
      <c r="D254" s="27">
        <f t="shared" si="111"/>
        <v>1188127</v>
      </c>
      <c r="E254" s="27">
        <f t="shared" si="111"/>
        <v>1615255</v>
      </c>
      <c r="F254" s="27">
        <f t="shared" si="111"/>
        <v>1338080.3999999999</v>
      </c>
      <c r="G254" s="27">
        <f t="shared" si="111"/>
        <v>2726899</v>
      </c>
      <c r="H254" s="27">
        <f t="shared" si="111"/>
        <v>2896697</v>
      </c>
      <c r="I254" s="27">
        <f t="shared" si="111"/>
        <v>2773338</v>
      </c>
      <c r="J254" s="27">
        <f t="shared" si="111"/>
        <v>1692498</v>
      </c>
      <c r="K254" s="27">
        <f t="shared" si="111"/>
        <v>1542498</v>
      </c>
      <c r="L254" s="1"/>
    </row>
    <row r="255" spans="1:13" x14ac:dyDescent="0.25">
      <c r="A255" s="1"/>
      <c r="B255" s="343"/>
      <c r="C255" s="343"/>
      <c r="D255" s="343"/>
      <c r="E255" s="27"/>
      <c r="F255" s="27"/>
      <c r="G255" s="27"/>
      <c r="H255" s="27"/>
      <c r="I255" s="27"/>
      <c r="J255" s="27"/>
      <c r="K255" s="27"/>
      <c r="L255" s="1"/>
    </row>
    <row r="256" spans="1:13" x14ac:dyDescent="0.25">
      <c r="A256" s="104"/>
      <c r="B256" s="530" t="s">
        <v>330</v>
      </c>
      <c r="C256" s="344"/>
      <c r="D256" s="532">
        <f>D250-D253</f>
        <v>19137</v>
      </c>
      <c r="E256" s="532">
        <f t="shared" ref="E256:K256" si="112">E250-E253</f>
        <v>70971</v>
      </c>
      <c r="F256" s="532">
        <f t="shared" si="112"/>
        <v>41479</v>
      </c>
      <c r="G256" s="532">
        <f t="shared" si="112"/>
        <v>44140</v>
      </c>
      <c r="H256" s="532">
        <f t="shared" si="112"/>
        <v>78816</v>
      </c>
      <c r="I256" s="532">
        <f t="shared" si="112"/>
        <v>15920</v>
      </c>
      <c r="J256" s="532">
        <f t="shared" si="112"/>
        <v>15920</v>
      </c>
      <c r="K256" s="532">
        <f t="shared" si="112"/>
        <v>15920</v>
      </c>
      <c r="L256" s="1"/>
    </row>
    <row r="257" spans="1:12" x14ac:dyDescent="0.25">
      <c r="A257" s="1"/>
      <c r="B257" s="531" t="s">
        <v>331</v>
      </c>
      <c r="C257" s="1"/>
      <c r="D257" s="27">
        <f>D251-D254</f>
        <v>680549</v>
      </c>
      <c r="E257" s="27">
        <f t="shared" ref="E257:K257" si="113">E251-E254</f>
        <v>786795</v>
      </c>
      <c r="F257" s="27">
        <f t="shared" si="113"/>
        <v>872318</v>
      </c>
      <c r="G257" s="27">
        <f t="shared" si="113"/>
        <v>879300</v>
      </c>
      <c r="H257" s="27">
        <f t="shared" si="113"/>
        <v>884902</v>
      </c>
      <c r="I257" s="27">
        <f t="shared" si="113"/>
        <v>836110</v>
      </c>
      <c r="J257" s="27">
        <f t="shared" si="113"/>
        <v>841000</v>
      </c>
      <c r="K257" s="27">
        <f t="shared" si="113"/>
        <v>841000</v>
      </c>
      <c r="L257" s="1"/>
    </row>
    <row r="258" spans="1:1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"/>
      <c r="B259" s="346" t="s">
        <v>217</v>
      </c>
      <c r="C259" s="346"/>
      <c r="D259" s="346"/>
      <c r="E259" s="346"/>
      <c r="F259" s="346"/>
      <c r="G259" s="346"/>
      <c r="H259" s="346"/>
      <c r="I259" s="346"/>
      <c r="J259" s="346"/>
      <c r="K259" s="346"/>
      <c r="L259" s="1"/>
    </row>
    <row r="260" spans="1:12" x14ac:dyDescent="0.25">
      <c r="A260" s="1"/>
      <c r="B260" s="346" t="s">
        <v>218</v>
      </c>
      <c r="C260" s="346"/>
      <c r="D260" s="346"/>
      <c r="E260" s="346"/>
      <c r="F260" s="346"/>
      <c r="G260" s="346"/>
      <c r="H260" s="346"/>
      <c r="I260" s="346"/>
      <c r="J260" s="346"/>
      <c r="K260" s="346"/>
      <c r="L260" s="1"/>
    </row>
    <row r="261" spans="1:12" x14ac:dyDescent="0.25">
      <c r="A261" s="1"/>
      <c r="B261" s="346"/>
      <c r="C261" s="346"/>
      <c r="D261" s="346"/>
      <c r="E261" s="346"/>
      <c r="F261" s="346"/>
      <c r="G261" s="346"/>
      <c r="H261" s="346"/>
      <c r="I261" s="346"/>
      <c r="J261" s="346"/>
      <c r="K261" s="346"/>
      <c r="L261" s="1"/>
    </row>
    <row r="262" spans="1:12" x14ac:dyDescent="0.25">
      <c r="A262" s="1"/>
      <c r="B262" s="346"/>
      <c r="C262" s="346"/>
      <c r="D262" s="346"/>
      <c r="E262" s="346"/>
      <c r="F262" s="346"/>
      <c r="G262" s="346"/>
      <c r="H262" s="346"/>
      <c r="I262" s="346"/>
      <c r="J262" s="346"/>
      <c r="K262" s="346"/>
      <c r="L262" s="1"/>
    </row>
    <row r="263" spans="1:12" x14ac:dyDescent="0.25">
      <c r="A263" s="1"/>
      <c r="C263" s="346"/>
      <c r="D263" s="346"/>
      <c r="E263" s="346"/>
      <c r="F263" s="346"/>
      <c r="G263" s="346"/>
      <c r="H263" s="346"/>
      <c r="I263" s="346"/>
      <c r="J263" s="346"/>
      <c r="K263" s="346"/>
      <c r="L263" s="1"/>
    </row>
    <row r="264" spans="1:12" x14ac:dyDescent="0.25">
      <c r="A264" s="1"/>
      <c r="B264" s="347" t="s">
        <v>283</v>
      </c>
      <c r="C264" s="347"/>
      <c r="D264" s="347"/>
      <c r="E264" s="346"/>
      <c r="F264" s="346"/>
      <c r="G264" s="346"/>
      <c r="H264" s="413"/>
      <c r="I264" s="346"/>
      <c r="J264" s="346"/>
      <c r="K264" s="346"/>
      <c r="L264" s="1"/>
    </row>
    <row r="265" spans="1:12" x14ac:dyDescent="0.25">
      <c r="A265" s="1"/>
      <c r="C265" s="347"/>
      <c r="D265" s="347"/>
      <c r="E265" s="346"/>
      <c r="F265" s="346"/>
      <c r="G265" s="346"/>
      <c r="H265" s="346"/>
      <c r="I265" s="346"/>
      <c r="J265" s="346"/>
      <c r="K265" s="346"/>
      <c r="L265" s="1"/>
    </row>
    <row r="266" spans="1:12" x14ac:dyDescent="0.25">
      <c r="A266" s="1"/>
      <c r="B266" s="346" t="s">
        <v>326</v>
      </c>
      <c r="C266" s="347"/>
      <c r="D266" s="347"/>
      <c r="E266" s="346"/>
      <c r="F266" s="346"/>
      <c r="G266" s="346"/>
      <c r="H266" s="346"/>
      <c r="I266" s="346"/>
      <c r="J266" s="346"/>
      <c r="K266" s="346"/>
      <c r="L266" s="1"/>
    </row>
    <row r="267" spans="1:12" x14ac:dyDescent="0.25">
      <c r="A267" s="1"/>
      <c r="B267" s="346" t="s">
        <v>325</v>
      </c>
      <c r="C267" s="347"/>
      <c r="D267" s="347"/>
      <c r="E267" s="346"/>
      <c r="F267" s="346"/>
      <c r="G267" s="346"/>
      <c r="H267" s="346"/>
      <c r="I267" s="346"/>
      <c r="J267" s="346"/>
      <c r="K267" s="346"/>
      <c r="L267" s="1"/>
    </row>
    <row r="268" spans="1:12" x14ac:dyDescent="0.25">
      <c r="A268" s="1"/>
      <c r="B268" s="346"/>
      <c r="C268" s="346"/>
      <c r="D268" s="346"/>
      <c r="E268" s="346"/>
      <c r="F268" s="346"/>
      <c r="G268" s="346"/>
      <c r="H268" s="346"/>
      <c r="I268" s="346"/>
      <c r="J268" s="346"/>
      <c r="K268" s="346"/>
      <c r="L268" s="1"/>
    </row>
    <row r="269" spans="1:12" x14ac:dyDescent="0.25">
      <c r="A269" s="1"/>
      <c r="B269" s="348" t="s">
        <v>327</v>
      </c>
      <c r="C269" s="348"/>
      <c r="D269" s="348"/>
      <c r="E269" s="346"/>
      <c r="F269" s="346"/>
      <c r="G269" s="346"/>
      <c r="H269" s="346"/>
      <c r="I269" s="346"/>
      <c r="J269" s="346"/>
      <c r="K269" s="346"/>
      <c r="L269" s="1"/>
    </row>
    <row r="270" spans="1:12" x14ac:dyDescent="0.25">
      <c r="A270" s="1"/>
      <c r="B270" s="348" t="s">
        <v>328</v>
      </c>
      <c r="C270" s="348"/>
      <c r="D270" s="348"/>
      <c r="E270" s="346"/>
      <c r="F270" s="346"/>
      <c r="G270" s="346"/>
      <c r="H270" s="346"/>
      <c r="I270" s="346"/>
      <c r="J270" s="346"/>
      <c r="K270" s="346"/>
      <c r="L270" s="1"/>
    </row>
    <row r="271" spans="1:12" x14ac:dyDescent="0.25">
      <c r="A271" s="1"/>
      <c r="B271" s="348"/>
      <c r="C271" s="348"/>
      <c r="D271" s="348"/>
      <c r="E271" s="346"/>
      <c r="F271" s="346"/>
      <c r="G271" s="346"/>
      <c r="H271" s="346"/>
      <c r="I271" s="346"/>
      <c r="J271" s="346"/>
      <c r="K271" s="346"/>
      <c r="L271" s="1"/>
    </row>
    <row r="272" spans="1:12" x14ac:dyDescent="0.25">
      <c r="A272" s="1"/>
      <c r="B272" s="346" t="s">
        <v>329</v>
      </c>
      <c r="C272" s="346"/>
      <c r="D272" s="346"/>
      <c r="E272" s="346"/>
      <c r="F272" s="346"/>
      <c r="G272" s="346"/>
      <c r="H272" s="346"/>
      <c r="I272" s="346"/>
      <c r="J272" s="346"/>
      <c r="K272" s="346"/>
      <c r="L272" s="1"/>
    </row>
    <row r="273" spans="1:12" x14ac:dyDescent="0.25">
      <c r="A273" s="1"/>
      <c r="B273" s="345"/>
      <c r="C273" s="345"/>
      <c r="D273" s="345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"/>
      <c r="B274" s="345"/>
      <c r="C274" s="345"/>
      <c r="D274" s="345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"/>
      <c r="B275" s="345"/>
      <c r="C275" s="345"/>
      <c r="D275" s="345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"/>
      <c r="B276" s="345"/>
      <c r="C276" s="345"/>
      <c r="D276" s="345"/>
      <c r="E276" s="1"/>
      <c r="F276" s="1"/>
      <c r="G276" s="1"/>
      <c r="H276" s="1"/>
      <c r="I276" s="1"/>
      <c r="J276" s="1"/>
      <c r="K276" s="1"/>
      <c r="L276" s="1"/>
    </row>
  </sheetData>
  <mergeCells count="24">
    <mergeCell ref="A2:B2"/>
    <mergeCell ref="A1:K1"/>
    <mergeCell ref="A3:B3"/>
    <mergeCell ref="A11:B11"/>
    <mergeCell ref="A86:B86"/>
    <mergeCell ref="A241:B241"/>
    <mergeCell ref="A244:B244"/>
    <mergeCell ref="A247:B247"/>
    <mergeCell ref="A165:B165"/>
    <mergeCell ref="A178:B178"/>
    <mergeCell ref="A218:K218"/>
    <mergeCell ref="A237:K237"/>
    <mergeCell ref="A95:B95"/>
    <mergeCell ref="A164:B164"/>
    <mergeCell ref="A219:B219"/>
    <mergeCell ref="A238:B238"/>
    <mergeCell ref="A89:B89"/>
    <mergeCell ref="A159:B159"/>
    <mergeCell ref="A163:K163"/>
    <mergeCell ref="A111:B111"/>
    <mergeCell ref="A154:B154"/>
    <mergeCell ref="A158:B158"/>
    <mergeCell ref="A94:K94"/>
    <mergeCell ref="A90:B9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&amp;CViacročný rozpočet
na roky 2022-2024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E25" sqref="E25"/>
    </sheetView>
  </sheetViews>
  <sheetFormatPr defaultRowHeight="15" x14ac:dyDescent="0.25"/>
  <cols>
    <col min="2" max="2" width="52.140625" customWidth="1"/>
    <col min="3" max="3" width="12.85546875" customWidth="1"/>
  </cols>
  <sheetData>
    <row r="1" spans="1:3" ht="18" x14ac:dyDescent="0.25">
      <c r="A1" s="793" t="s">
        <v>563</v>
      </c>
      <c r="B1" s="793"/>
      <c r="C1" s="793"/>
    </row>
    <row r="2" spans="1:3" x14ac:dyDescent="0.25">
      <c r="A2" s="794" t="s">
        <v>336</v>
      </c>
      <c r="B2" s="794"/>
      <c r="C2" s="794"/>
    </row>
    <row r="3" spans="1:3" x14ac:dyDescent="0.25">
      <c r="A3" s="795" t="s">
        <v>337</v>
      </c>
      <c r="B3" s="795"/>
      <c r="C3" s="795"/>
    </row>
    <row r="4" spans="1:3" x14ac:dyDescent="0.25">
      <c r="A4" s="699"/>
      <c r="B4" s="699"/>
      <c r="C4" s="699"/>
    </row>
    <row r="5" spans="1:3" ht="15.75" thickBot="1" x14ac:dyDescent="0.3">
      <c r="A5" s="776" t="s">
        <v>338</v>
      </c>
      <c r="B5" s="776"/>
      <c r="C5" s="776"/>
    </row>
    <row r="6" spans="1:3" ht="15.75" thickBot="1" x14ac:dyDescent="0.3">
      <c r="A6" s="534" t="s">
        <v>339</v>
      </c>
      <c r="B6" s="535" t="s">
        <v>340</v>
      </c>
      <c r="C6" s="536" t="s">
        <v>341</v>
      </c>
    </row>
    <row r="7" spans="1:3" ht="15.75" thickBot="1" x14ac:dyDescent="0.3">
      <c r="A7" s="777" t="s">
        <v>342</v>
      </c>
      <c r="B7" s="778"/>
      <c r="C7" s="537">
        <f>SUM(C8:C10)</f>
        <v>0</v>
      </c>
    </row>
    <row r="8" spans="1:3" x14ac:dyDescent="0.25">
      <c r="A8" s="538"/>
      <c r="B8" s="539"/>
      <c r="C8" s="540"/>
    </row>
    <row r="9" spans="1:3" x14ac:dyDescent="0.25">
      <c r="A9" s="538"/>
      <c r="B9" s="539"/>
      <c r="C9" s="540"/>
    </row>
    <row r="10" spans="1:3" x14ac:dyDescent="0.25">
      <c r="A10" s="538"/>
      <c r="B10" s="539"/>
      <c r="C10" s="540"/>
    </row>
    <row r="11" spans="1:3" ht="15.75" thickBot="1" x14ac:dyDescent="0.3">
      <c r="A11" s="783"/>
      <c r="B11" s="784"/>
      <c r="C11" s="785"/>
    </row>
    <row r="12" spans="1:3" ht="15.75" thickBot="1" x14ac:dyDescent="0.3">
      <c r="A12" s="779" t="s">
        <v>175</v>
      </c>
      <c r="B12" s="786"/>
      <c r="C12" s="541">
        <f>SUM(C13:C13)</f>
        <v>0</v>
      </c>
    </row>
    <row r="13" spans="1:3" x14ac:dyDescent="0.25">
      <c r="A13" s="542"/>
      <c r="B13" s="543"/>
      <c r="C13" s="544"/>
    </row>
    <row r="14" spans="1:3" ht="15.75" thickBot="1" x14ac:dyDescent="0.3">
      <c r="A14" s="787"/>
      <c r="B14" s="788"/>
      <c r="C14" s="789"/>
    </row>
    <row r="15" spans="1:3" ht="15.75" thickBot="1" x14ac:dyDescent="0.3">
      <c r="A15" s="781" t="s">
        <v>197</v>
      </c>
      <c r="B15" s="790"/>
      <c r="C15" s="545">
        <f>SUM(C16:C17)</f>
        <v>0</v>
      </c>
    </row>
    <row r="16" spans="1:3" x14ac:dyDescent="0.25">
      <c r="A16" s="546"/>
      <c r="B16" s="547"/>
      <c r="C16" s="548"/>
    </row>
    <row r="17" spans="1:3" ht="15.75" thickBot="1" x14ac:dyDescent="0.3">
      <c r="A17" s="553"/>
      <c r="B17" s="554"/>
      <c r="C17" s="555"/>
    </row>
    <row r="18" spans="1:3" ht="15.75" thickBot="1" x14ac:dyDescent="0.3">
      <c r="A18" s="791" t="s">
        <v>344</v>
      </c>
      <c r="B18" s="792"/>
      <c r="C18" s="556">
        <f>C7+C12+C15</f>
        <v>0</v>
      </c>
    </row>
    <row r="19" spans="1:3" x14ac:dyDescent="0.25">
      <c r="A19" s="557" t="s">
        <v>67</v>
      </c>
      <c r="B19" s="558" t="s">
        <v>345</v>
      </c>
      <c r="C19" s="559"/>
    </row>
    <row r="20" spans="1:3" ht="15.75" thickBot="1" x14ac:dyDescent="0.3">
      <c r="A20" s="560" t="s">
        <v>67</v>
      </c>
      <c r="B20" s="561" t="s">
        <v>346</v>
      </c>
      <c r="C20" s="562"/>
    </row>
    <row r="21" spans="1:3" ht="15.75" thickBot="1" x14ac:dyDescent="0.3">
      <c r="A21" s="774" t="s">
        <v>347</v>
      </c>
      <c r="B21" s="775"/>
      <c r="C21" s="563">
        <f>SUM(C18:C20)</f>
        <v>0</v>
      </c>
    </row>
    <row r="22" spans="1:3" x14ac:dyDescent="0.25">
      <c r="B22" s="564"/>
      <c r="C22" s="464"/>
    </row>
    <row r="23" spans="1:3" ht="15.75" thickBot="1" x14ac:dyDescent="0.3">
      <c r="A23" s="776" t="s">
        <v>348</v>
      </c>
      <c r="B23" s="776"/>
      <c r="C23" s="776"/>
    </row>
    <row r="24" spans="1:3" ht="15.75" thickBot="1" x14ac:dyDescent="0.3">
      <c r="A24" s="565" t="s">
        <v>284</v>
      </c>
      <c r="B24" s="566" t="s">
        <v>349</v>
      </c>
      <c r="C24" s="567" t="s">
        <v>350</v>
      </c>
    </row>
    <row r="25" spans="1:3" ht="15.75" thickBot="1" x14ac:dyDescent="0.3">
      <c r="A25" s="777" t="s">
        <v>342</v>
      </c>
      <c r="B25" s="778"/>
      <c r="C25" s="568">
        <f>SUM(C26:C39)</f>
        <v>0</v>
      </c>
    </row>
    <row r="26" spans="1:3" x14ac:dyDescent="0.25">
      <c r="A26" s="569"/>
      <c r="B26" s="570"/>
      <c r="C26" s="540"/>
    </row>
    <row r="27" spans="1:3" x14ac:dyDescent="0.25">
      <c r="A27" s="569"/>
      <c r="B27" s="570"/>
      <c r="C27" s="540"/>
    </row>
    <row r="28" spans="1:3" x14ac:dyDescent="0.25">
      <c r="A28" s="569"/>
      <c r="B28" s="570"/>
      <c r="C28" s="540"/>
    </row>
    <row r="29" spans="1:3" x14ac:dyDescent="0.25">
      <c r="A29" s="569"/>
      <c r="B29" s="570"/>
      <c r="C29" s="540"/>
    </row>
    <row r="30" spans="1:3" x14ac:dyDescent="0.25">
      <c r="A30" s="569"/>
      <c r="B30" s="570"/>
      <c r="C30" s="540"/>
    </row>
    <row r="31" spans="1:3" x14ac:dyDescent="0.25">
      <c r="A31" s="569"/>
      <c r="B31" s="570"/>
      <c r="C31" s="540"/>
    </row>
    <row r="32" spans="1:3" x14ac:dyDescent="0.25">
      <c r="A32" s="569"/>
      <c r="B32" s="570"/>
      <c r="C32" s="540"/>
    </row>
    <row r="33" spans="1:3" x14ac:dyDescent="0.25">
      <c r="A33" s="569"/>
      <c r="B33" s="570"/>
      <c r="C33" s="540"/>
    </row>
    <row r="34" spans="1:3" x14ac:dyDescent="0.25">
      <c r="A34" s="569"/>
      <c r="B34" s="570"/>
      <c r="C34" s="540"/>
    </row>
    <row r="35" spans="1:3" x14ac:dyDescent="0.25">
      <c r="A35" s="569"/>
      <c r="B35" s="570"/>
      <c r="C35" s="540"/>
    </row>
    <row r="36" spans="1:3" x14ac:dyDescent="0.25">
      <c r="A36" s="569"/>
      <c r="B36" s="570"/>
      <c r="C36" s="540"/>
    </row>
    <row r="37" spans="1:3" x14ac:dyDescent="0.25">
      <c r="A37" s="569"/>
      <c r="B37" s="570"/>
      <c r="C37" s="540"/>
    </row>
    <row r="38" spans="1:3" x14ac:dyDescent="0.25">
      <c r="A38" s="569"/>
      <c r="B38" s="570"/>
      <c r="C38" s="540"/>
    </row>
    <row r="39" spans="1:3" x14ac:dyDescent="0.25">
      <c r="A39" s="569"/>
      <c r="B39" s="570"/>
      <c r="C39" s="540"/>
    </row>
    <row r="40" spans="1:3" ht="15.75" thickBot="1" x14ac:dyDescent="0.3">
      <c r="A40" s="571"/>
      <c r="B40" s="572"/>
      <c r="C40" s="573"/>
    </row>
    <row r="41" spans="1:3" ht="15.75" thickBot="1" x14ac:dyDescent="0.3">
      <c r="A41" s="779" t="s">
        <v>175</v>
      </c>
      <c r="B41" s="780"/>
      <c r="C41" s="574">
        <f>SUM(C42:C43)</f>
        <v>0</v>
      </c>
    </row>
    <row r="42" spans="1:3" x14ac:dyDescent="0.25">
      <c r="A42" s="693"/>
      <c r="B42" s="575"/>
      <c r="C42" s="694"/>
    </row>
    <row r="43" spans="1:3" x14ac:dyDescent="0.25">
      <c r="A43" s="693"/>
      <c r="B43" s="575"/>
      <c r="C43" s="694"/>
    </row>
    <row r="44" spans="1:3" ht="15.75" thickBot="1" x14ac:dyDescent="0.3">
      <c r="A44" s="797" t="s">
        <v>197</v>
      </c>
      <c r="B44" s="798"/>
      <c r="C44" s="692">
        <f>C45</f>
        <v>0</v>
      </c>
    </row>
    <row r="45" spans="1:3" ht="15.75" thickBot="1" x14ac:dyDescent="0.3">
      <c r="A45" s="578"/>
      <c r="B45" s="579"/>
      <c r="C45" s="552"/>
    </row>
    <row r="46" spans="1:3" ht="15.75" thickBot="1" x14ac:dyDescent="0.3">
      <c r="A46" s="791" t="s">
        <v>344</v>
      </c>
      <c r="B46" s="792"/>
      <c r="C46" s="556">
        <f>C25+C41+C44</f>
        <v>0</v>
      </c>
    </row>
    <row r="47" spans="1:3" x14ac:dyDescent="0.25">
      <c r="A47" s="580" t="s">
        <v>67</v>
      </c>
      <c r="B47" s="581" t="s">
        <v>351</v>
      </c>
      <c r="C47" s="582"/>
    </row>
    <row r="48" spans="1:3" ht="15.75" thickBot="1" x14ac:dyDescent="0.3">
      <c r="A48" s="583" t="s">
        <v>67</v>
      </c>
      <c r="B48" s="499" t="s">
        <v>451</v>
      </c>
      <c r="C48" s="584">
        <v>3337</v>
      </c>
    </row>
    <row r="49" spans="1:3" ht="15.75" thickBot="1" x14ac:dyDescent="0.3">
      <c r="A49" s="774" t="s">
        <v>347</v>
      </c>
      <c r="B49" s="796"/>
      <c r="C49" s="563">
        <f>SUM(C46:C48)</f>
        <v>3337</v>
      </c>
    </row>
    <row r="50" spans="1:3" x14ac:dyDescent="0.25">
      <c r="B50" s="585" t="s">
        <v>352</v>
      </c>
      <c r="C50" s="464">
        <f>C49-C21</f>
        <v>3337</v>
      </c>
    </row>
    <row r="52" spans="1:3" x14ac:dyDescent="0.25">
      <c r="A52" t="s">
        <v>353</v>
      </c>
    </row>
    <row r="53" spans="1:3" x14ac:dyDescent="0.25">
      <c r="A53" s="586" t="s">
        <v>547</v>
      </c>
    </row>
  </sheetData>
  <sortState ref="A26:C31">
    <sortCondition ref="A26"/>
  </sortState>
  <mergeCells count="17">
    <mergeCell ref="A25:B25"/>
    <mergeCell ref="A41:B41"/>
    <mergeCell ref="A44:B44"/>
    <mergeCell ref="A46:B46"/>
    <mergeCell ref="A49:B49"/>
    <mergeCell ref="A23:C23"/>
    <mergeCell ref="A1:C1"/>
    <mergeCell ref="A2:C2"/>
    <mergeCell ref="A3:C3"/>
    <mergeCell ref="A5:C5"/>
    <mergeCell ref="A7:B7"/>
    <mergeCell ref="A11:C11"/>
    <mergeCell ref="A12:B12"/>
    <mergeCell ref="A14:C14"/>
    <mergeCell ref="A15:B15"/>
    <mergeCell ref="A18:B18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zoomScaleNormal="100" workbookViewId="0">
      <selection sqref="A1:C1"/>
    </sheetView>
  </sheetViews>
  <sheetFormatPr defaultRowHeight="15" x14ac:dyDescent="0.25"/>
  <cols>
    <col min="2" max="2" width="51" customWidth="1"/>
    <col min="3" max="3" width="11.140625" customWidth="1"/>
    <col min="6" max="6" width="48.140625" customWidth="1"/>
    <col min="7" max="7" width="10.7109375" customWidth="1"/>
    <col min="10" max="10" width="52" customWidth="1"/>
    <col min="11" max="11" width="13.85546875" customWidth="1"/>
    <col min="14" max="14" width="49.28515625" customWidth="1"/>
    <col min="15" max="15" width="11.140625" customWidth="1"/>
    <col min="18" max="18" width="46.5703125" customWidth="1"/>
    <col min="19" max="19" width="13.42578125" customWidth="1"/>
    <col min="22" max="22" width="49.85546875" customWidth="1"/>
    <col min="23" max="23" width="13.28515625" customWidth="1"/>
    <col min="26" max="26" width="51.42578125" customWidth="1"/>
    <col min="27" max="27" width="12" customWidth="1"/>
    <col min="30" max="30" width="48.85546875" customWidth="1"/>
    <col min="31" max="31" width="13.7109375" customWidth="1"/>
  </cols>
  <sheetData>
    <row r="1" spans="1:35" ht="18" x14ac:dyDescent="0.25">
      <c r="A1" s="793" t="s">
        <v>700</v>
      </c>
      <c r="B1" s="793"/>
      <c r="C1" s="793"/>
      <c r="E1" s="793" t="s">
        <v>701</v>
      </c>
      <c r="F1" s="793"/>
      <c r="G1" s="793"/>
      <c r="I1" s="793" t="s">
        <v>651</v>
      </c>
      <c r="J1" s="793"/>
      <c r="K1" s="793"/>
      <c r="M1" s="793" t="s">
        <v>594</v>
      </c>
      <c r="N1" s="793"/>
      <c r="O1" s="793"/>
      <c r="Q1" s="793" t="s">
        <v>555</v>
      </c>
      <c r="R1" s="793"/>
      <c r="S1" s="793"/>
      <c r="U1" s="793" t="s">
        <v>590</v>
      </c>
      <c r="V1" s="793"/>
      <c r="W1" s="793"/>
      <c r="Y1" s="793" t="s">
        <v>446</v>
      </c>
      <c r="Z1" s="793"/>
      <c r="AA1" s="793"/>
      <c r="AC1" s="793" t="s">
        <v>427</v>
      </c>
      <c r="AD1" s="793"/>
      <c r="AE1" s="793"/>
      <c r="AG1" s="793" t="s">
        <v>428</v>
      </c>
      <c r="AH1" s="793"/>
      <c r="AI1" s="793"/>
    </row>
    <row r="2" spans="1:35" x14ac:dyDescent="0.25">
      <c r="A2" s="794" t="s">
        <v>336</v>
      </c>
      <c r="B2" s="794"/>
      <c r="C2" s="794"/>
      <c r="E2" s="794" t="s">
        <v>336</v>
      </c>
      <c r="F2" s="794"/>
      <c r="G2" s="794"/>
      <c r="I2" s="794" t="s">
        <v>336</v>
      </c>
      <c r="J2" s="794"/>
      <c r="K2" s="794"/>
      <c r="M2" s="794" t="s">
        <v>336</v>
      </c>
      <c r="N2" s="794"/>
      <c r="O2" s="794"/>
      <c r="Q2" s="794" t="s">
        <v>336</v>
      </c>
      <c r="R2" s="794"/>
      <c r="S2" s="794"/>
      <c r="U2" s="794" t="s">
        <v>336</v>
      </c>
      <c r="V2" s="794"/>
      <c r="W2" s="794"/>
      <c r="Y2" s="794" t="s">
        <v>336</v>
      </c>
      <c r="Z2" s="794"/>
      <c r="AA2" s="794"/>
      <c r="AC2" s="794" t="s">
        <v>336</v>
      </c>
      <c r="AD2" s="794"/>
      <c r="AE2" s="794"/>
      <c r="AG2" s="794" t="s">
        <v>336</v>
      </c>
      <c r="AH2" s="794"/>
      <c r="AI2" s="794"/>
    </row>
    <row r="3" spans="1:35" x14ac:dyDescent="0.25">
      <c r="A3" s="795" t="s">
        <v>337</v>
      </c>
      <c r="B3" s="795"/>
      <c r="C3" s="795"/>
      <c r="E3" s="795" t="s">
        <v>337</v>
      </c>
      <c r="F3" s="795"/>
      <c r="G3" s="795"/>
      <c r="I3" s="795" t="s">
        <v>337</v>
      </c>
      <c r="J3" s="795"/>
      <c r="K3" s="795"/>
      <c r="M3" s="795" t="s">
        <v>337</v>
      </c>
      <c r="N3" s="795"/>
      <c r="O3" s="795"/>
      <c r="Q3" s="795" t="s">
        <v>337</v>
      </c>
      <c r="R3" s="795"/>
      <c r="S3" s="795"/>
      <c r="U3" s="795" t="s">
        <v>337</v>
      </c>
      <c r="V3" s="795"/>
      <c r="W3" s="795"/>
      <c r="Y3" s="795" t="s">
        <v>337</v>
      </c>
      <c r="Z3" s="795"/>
      <c r="AA3" s="795"/>
      <c r="AC3" s="795" t="s">
        <v>337</v>
      </c>
      <c r="AD3" s="795"/>
      <c r="AE3" s="795"/>
      <c r="AG3" s="795" t="s">
        <v>337</v>
      </c>
      <c r="AH3" s="795"/>
      <c r="AI3" s="795"/>
    </row>
    <row r="4" spans="1:35" x14ac:dyDescent="0.25">
      <c r="A4" s="759"/>
      <c r="B4" s="759"/>
      <c r="C4" s="759"/>
      <c r="E4" s="759"/>
      <c r="F4" s="759"/>
      <c r="G4" s="759"/>
      <c r="I4" s="748"/>
      <c r="J4" s="748"/>
      <c r="K4" s="748"/>
      <c r="M4" s="738"/>
      <c r="N4" s="738"/>
      <c r="O4" s="738"/>
      <c r="Q4" s="730"/>
      <c r="R4" s="730"/>
      <c r="S4" s="730"/>
      <c r="U4" s="726"/>
      <c r="V4" s="726"/>
      <c r="W4" s="726"/>
      <c r="Y4" s="674"/>
      <c r="Z4" s="674"/>
      <c r="AA4" s="674"/>
      <c r="AC4" s="653"/>
      <c r="AD4" s="653"/>
      <c r="AE4" s="653"/>
      <c r="AG4" s="653"/>
      <c r="AH4" s="653"/>
      <c r="AI4" s="653"/>
    </row>
    <row r="5" spans="1:35" ht="15.75" thickBot="1" x14ac:dyDescent="0.3">
      <c r="A5" s="776" t="s">
        <v>338</v>
      </c>
      <c r="B5" s="776"/>
      <c r="C5" s="776"/>
      <c r="E5" s="776" t="s">
        <v>338</v>
      </c>
      <c r="F5" s="776"/>
      <c r="G5" s="776"/>
      <c r="I5" s="776" t="s">
        <v>338</v>
      </c>
      <c r="J5" s="776"/>
      <c r="K5" s="776"/>
      <c r="M5" s="776" t="s">
        <v>338</v>
      </c>
      <c r="N5" s="776"/>
      <c r="O5" s="776"/>
      <c r="Q5" s="776" t="s">
        <v>338</v>
      </c>
      <c r="R5" s="776"/>
      <c r="S5" s="776"/>
      <c r="U5" s="776" t="s">
        <v>338</v>
      </c>
      <c r="V5" s="776"/>
      <c r="W5" s="776"/>
      <c r="Y5" s="776" t="s">
        <v>338</v>
      </c>
      <c r="Z5" s="776"/>
      <c r="AA5" s="776"/>
      <c r="AC5" s="776" t="s">
        <v>338</v>
      </c>
      <c r="AD5" s="776"/>
      <c r="AE5" s="776"/>
      <c r="AG5" s="776" t="s">
        <v>338</v>
      </c>
      <c r="AH5" s="776"/>
      <c r="AI5" s="776"/>
    </row>
    <row r="6" spans="1:35" ht="15.75" thickBot="1" x14ac:dyDescent="0.3">
      <c r="A6" s="534" t="s">
        <v>339</v>
      </c>
      <c r="B6" s="535" t="s">
        <v>340</v>
      </c>
      <c r="C6" s="536" t="s">
        <v>341</v>
      </c>
      <c r="E6" s="534" t="s">
        <v>339</v>
      </c>
      <c r="F6" s="535" t="s">
        <v>340</v>
      </c>
      <c r="G6" s="536" t="s">
        <v>341</v>
      </c>
      <c r="I6" s="534" t="s">
        <v>339</v>
      </c>
      <c r="J6" s="535" t="s">
        <v>340</v>
      </c>
      <c r="K6" s="536" t="s">
        <v>341</v>
      </c>
      <c r="M6" s="534" t="s">
        <v>339</v>
      </c>
      <c r="N6" s="535" t="s">
        <v>340</v>
      </c>
      <c r="O6" s="536" t="s">
        <v>341</v>
      </c>
      <c r="Q6" s="534" t="s">
        <v>339</v>
      </c>
      <c r="R6" s="535" t="s">
        <v>340</v>
      </c>
      <c r="S6" s="536" t="s">
        <v>341</v>
      </c>
      <c r="U6" s="534" t="s">
        <v>339</v>
      </c>
      <c r="V6" s="535" t="s">
        <v>340</v>
      </c>
      <c r="W6" s="536" t="s">
        <v>341</v>
      </c>
      <c r="Y6" s="534" t="s">
        <v>339</v>
      </c>
      <c r="Z6" s="535" t="s">
        <v>340</v>
      </c>
      <c r="AA6" s="536" t="s">
        <v>341</v>
      </c>
      <c r="AC6" s="534" t="s">
        <v>339</v>
      </c>
      <c r="AD6" s="535" t="s">
        <v>340</v>
      </c>
      <c r="AE6" s="536" t="s">
        <v>341</v>
      </c>
      <c r="AG6" s="534" t="s">
        <v>339</v>
      </c>
      <c r="AH6" s="535" t="s">
        <v>340</v>
      </c>
      <c r="AI6" s="536" t="s">
        <v>341</v>
      </c>
    </row>
    <row r="7" spans="1:35" ht="15.75" thickBot="1" x14ac:dyDescent="0.3">
      <c r="A7" s="777" t="s">
        <v>342</v>
      </c>
      <c r="B7" s="778"/>
      <c r="C7" s="537">
        <f>SUM(C8:C9)</f>
        <v>21127</v>
      </c>
      <c r="E7" s="777" t="s">
        <v>342</v>
      </c>
      <c r="F7" s="778"/>
      <c r="G7" s="537">
        <f>SUM(G8:G8)</f>
        <v>0</v>
      </c>
      <c r="I7" s="777" t="s">
        <v>342</v>
      </c>
      <c r="J7" s="778"/>
      <c r="K7" s="537">
        <f>SUM(K8:K17)</f>
        <v>19656</v>
      </c>
      <c r="M7" s="777" t="s">
        <v>342</v>
      </c>
      <c r="N7" s="778"/>
      <c r="O7" s="537">
        <f>SUM(O8:O11)</f>
        <v>1450</v>
      </c>
      <c r="Q7" s="777" t="s">
        <v>342</v>
      </c>
      <c r="R7" s="778"/>
      <c r="S7" s="537">
        <f>SUM(S8:S11)</f>
        <v>6221</v>
      </c>
      <c r="U7" s="777" t="s">
        <v>342</v>
      </c>
      <c r="V7" s="778"/>
      <c r="W7" s="537">
        <f>SUM(W8:W10)</f>
        <v>3938</v>
      </c>
      <c r="Y7" s="777" t="s">
        <v>342</v>
      </c>
      <c r="Z7" s="778"/>
      <c r="AA7" s="537">
        <f>SUM(AA8:AA11)</f>
        <v>6400</v>
      </c>
      <c r="AC7" s="777" t="s">
        <v>342</v>
      </c>
      <c r="AD7" s="778"/>
      <c r="AE7" s="537">
        <f>SUM(AE8:AE17)</f>
        <v>26230</v>
      </c>
      <c r="AG7" s="777" t="s">
        <v>342</v>
      </c>
      <c r="AH7" s="778"/>
      <c r="AI7" s="537">
        <f>SUM(AI8:AI10)</f>
        <v>0</v>
      </c>
    </row>
    <row r="8" spans="1:35" x14ac:dyDescent="0.25">
      <c r="A8" s="847">
        <v>312</v>
      </c>
      <c r="B8" s="848" t="s">
        <v>718</v>
      </c>
      <c r="C8" s="849">
        <v>8938</v>
      </c>
      <c r="E8" s="538"/>
      <c r="F8" s="539"/>
      <c r="G8" s="540"/>
      <c r="I8" s="538">
        <v>133</v>
      </c>
      <c r="J8" s="539" t="s">
        <v>682</v>
      </c>
      <c r="K8" s="540">
        <f>-100</f>
        <v>-100</v>
      </c>
      <c r="M8" s="538">
        <v>292</v>
      </c>
      <c r="N8" s="539" t="s">
        <v>650</v>
      </c>
      <c r="O8" s="540">
        <f>-100+100</f>
        <v>0</v>
      </c>
      <c r="Q8" s="538">
        <v>121</v>
      </c>
      <c r="R8" s="539" t="s">
        <v>623</v>
      </c>
      <c r="S8" s="540">
        <f>-300+290+10</f>
        <v>0</v>
      </c>
      <c r="U8" s="538">
        <v>312</v>
      </c>
      <c r="V8" s="539" t="s">
        <v>573</v>
      </c>
      <c r="W8" s="540">
        <v>3200</v>
      </c>
      <c r="Y8" s="538">
        <v>121</v>
      </c>
      <c r="Z8" s="539" t="s">
        <v>514</v>
      </c>
      <c r="AA8" s="540">
        <f>20-20</f>
        <v>0</v>
      </c>
      <c r="AC8" s="538">
        <v>212</v>
      </c>
      <c r="AD8" s="539" t="s">
        <v>434</v>
      </c>
      <c r="AE8" s="540">
        <f>-1+1-1+1</f>
        <v>0</v>
      </c>
      <c r="AG8" s="538">
        <v>312</v>
      </c>
      <c r="AH8" s="539" t="s">
        <v>419</v>
      </c>
      <c r="AI8" s="540">
        <f>-10+10</f>
        <v>0</v>
      </c>
    </row>
    <row r="9" spans="1:35" ht="15.75" thickBot="1" x14ac:dyDescent="0.3">
      <c r="A9" s="538">
        <v>312</v>
      </c>
      <c r="B9" s="539" t="s">
        <v>741</v>
      </c>
      <c r="C9" s="540">
        <v>12189</v>
      </c>
      <c r="E9" s="783"/>
      <c r="F9" s="784"/>
      <c r="G9" s="785"/>
      <c r="I9" s="538">
        <v>133</v>
      </c>
      <c r="J9" s="539" t="s">
        <v>681</v>
      </c>
      <c r="K9" s="540">
        <v>100</v>
      </c>
      <c r="M9" s="538">
        <v>312</v>
      </c>
      <c r="N9" s="539" t="s">
        <v>637</v>
      </c>
      <c r="O9" s="540">
        <v>1200</v>
      </c>
      <c r="Q9" s="538">
        <v>311</v>
      </c>
      <c r="R9" s="539" t="s">
        <v>565</v>
      </c>
      <c r="S9" s="540">
        <v>3000</v>
      </c>
      <c r="U9" s="538">
        <v>312</v>
      </c>
      <c r="V9" s="539" t="s">
        <v>504</v>
      </c>
      <c r="W9" s="540">
        <v>600</v>
      </c>
      <c r="Y9" s="538">
        <v>311</v>
      </c>
      <c r="Z9" s="539" t="s">
        <v>431</v>
      </c>
      <c r="AA9" s="540">
        <v>5000</v>
      </c>
      <c r="AC9" s="538">
        <v>292</v>
      </c>
      <c r="AD9" s="539" t="s">
        <v>371</v>
      </c>
      <c r="AE9" s="540">
        <v>5</v>
      </c>
      <c r="AG9" s="538"/>
      <c r="AH9" s="539"/>
      <c r="AI9" s="540"/>
    </row>
    <row r="10" spans="1:35" ht="15.75" thickBot="1" x14ac:dyDescent="0.3">
      <c r="A10" s="783"/>
      <c r="B10" s="784"/>
      <c r="C10" s="785"/>
      <c r="E10" s="779" t="s">
        <v>175</v>
      </c>
      <c r="F10" s="786"/>
      <c r="G10" s="541">
        <f>SUM(G12:G12)</f>
        <v>0</v>
      </c>
      <c r="I10" s="538">
        <v>223</v>
      </c>
      <c r="J10" s="539" t="s">
        <v>660</v>
      </c>
      <c r="K10" s="540">
        <f>200-200</f>
        <v>0</v>
      </c>
      <c r="M10" s="538">
        <v>312</v>
      </c>
      <c r="N10" s="539" t="s">
        <v>546</v>
      </c>
      <c r="O10" s="540">
        <v>450</v>
      </c>
      <c r="Q10" s="538">
        <v>312</v>
      </c>
      <c r="R10" s="539" t="s">
        <v>553</v>
      </c>
      <c r="S10" s="540">
        <v>337</v>
      </c>
      <c r="U10" s="538">
        <v>312</v>
      </c>
      <c r="V10" s="539" t="s">
        <v>546</v>
      </c>
      <c r="W10" s="540">
        <v>138</v>
      </c>
      <c r="Y10" s="538">
        <v>312</v>
      </c>
      <c r="Z10" s="539" t="s">
        <v>461</v>
      </c>
      <c r="AA10" s="540">
        <v>1400</v>
      </c>
      <c r="AC10" s="538">
        <v>312</v>
      </c>
      <c r="AD10" s="539" t="s">
        <v>397</v>
      </c>
      <c r="AE10" s="540">
        <v>2406</v>
      </c>
      <c r="AG10" s="538"/>
      <c r="AH10" s="539"/>
      <c r="AI10" s="540"/>
    </row>
    <row r="11" spans="1:35" ht="15.75" thickBot="1" x14ac:dyDescent="0.3">
      <c r="A11" s="779" t="s">
        <v>175</v>
      </c>
      <c r="B11" s="786"/>
      <c r="C11" s="541">
        <f>SUM(C13:C13)</f>
        <v>0</v>
      </c>
      <c r="E11" s="542"/>
      <c r="F11" s="543"/>
      <c r="G11" s="544"/>
      <c r="I11" s="538">
        <v>292</v>
      </c>
      <c r="J11" s="539" t="s">
        <v>667</v>
      </c>
      <c r="K11" s="540">
        <f>-1400+200+1200</f>
        <v>0</v>
      </c>
      <c r="M11" s="538">
        <v>312</v>
      </c>
      <c r="N11" s="539" t="s">
        <v>622</v>
      </c>
      <c r="O11" s="540">
        <v>-200</v>
      </c>
      <c r="Q11" s="538">
        <v>312</v>
      </c>
      <c r="R11" s="539" t="s">
        <v>554</v>
      </c>
      <c r="S11" s="540">
        <v>2884</v>
      </c>
      <c r="U11" s="538">
        <v>312</v>
      </c>
      <c r="V11" s="539" t="s">
        <v>572</v>
      </c>
      <c r="W11" s="540">
        <f>-6000+6000-2000+2000</f>
        <v>0</v>
      </c>
      <c r="Y11" s="538"/>
      <c r="Z11" s="539"/>
      <c r="AA11" s="540"/>
      <c r="AC11" s="538">
        <v>312</v>
      </c>
      <c r="AD11" s="539" t="s">
        <v>410</v>
      </c>
      <c r="AE11" s="540">
        <v>13853</v>
      </c>
      <c r="AG11" s="783"/>
      <c r="AH11" s="784"/>
      <c r="AI11" s="785"/>
    </row>
    <row r="12" spans="1:35" ht="15.75" thickBot="1" x14ac:dyDescent="0.3">
      <c r="A12" s="542"/>
      <c r="B12" s="543"/>
      <c r="C12" s="544"/>
      <c r="E12" s="542"/>
      <c r="F12" s="543"/>
      <c r="G12" s="544"/>
      <c r="I12" s="538">
        <v>312</v>
      </c>
      <c r="J12" s="539" t="s">
        <v>668</v>
      </c>
      <c r="K12" s="540">
        <v>11800</v>
      </c>
      <c r="M12" s="783"/>
      <c r="N12" s="784"/>
      <c r="O12" s="785"/>
      <c r="Q12" s="783"/>
      <c r="R12" s="784"/>
      <c r="S12" s="785"/>
      <c r="U12" s="783"/>
      <c r="V12" s="784"/>
      <c r="W12" s="785"/>
      <c r="Y12" s="783"/>
      <c r="Z12" s="784"/>
      <c r="AA12" s="785"/>
      <c r="AC12" s="538">
        <v>312</v>
      </c>
      <c r="AD12" s="539" t="s">
        <v>411</v>
      </c>
      <c r="AE12" s="540">
        <v>-268</v>
      </c>
      <c r="AG12" s="779" t="s">
        <v>175</v>
      </c>
      <c r="AH12" s="786"/>
      <c r="AI12" s="541">
        <f>SUM(AI13:AI13)</f>
        <v>0</v>
      </c>
    </row>
    <row r="13" spans="1:35" ht="15.75" thickBot="1" x14ac:dyDescent="0.3">
      <c r="A13" s="542"/>
      <c r="B13" s="543"/>
      <c r="C13" s="544"/>
      <c r="E13" s="787"/>
      <c r="F13" s="788"/>
      <c r="G13" s="789"/>
      <c r="I13" s="538">
        <v>312</v>
      </c>
      <c r="J13" s="539" t="s">
        <v>657</v>
      </c>
      <c r="K13" s="540">
        <v>1802</v>
      </c>
      <c r="M13" s="779" t="s">
        <v>175</v>
      </c>
      <c r="N13" s="786"/>
      <c r="O13" s="541">
        <f>SUM(O15:O15)</f>
        <v>0</v>
      </c>
      <c r="Q13" s="779" t="s">
        <v>175</v>
      </c>
      <c r="R13" s="786"/>
      <c r="S13" s="541">
        <f>SUM(S15:S15)</f>
        <v>0</v>
      </c>
      <c r="U13" s="779" t="s">
        <v>175</v>
      </c>
      <c r="V13" s="786"/>
      <c r="W13" s="541">
        <f>SUM(W14:W14)</f>
        <v>0</v>
      </c>
      <c r="Y13" s="779" t="s">
        <v>175</v>
      </c>
      <c r="Z13" s="786"/>
      <c r="AA13" s="541">
        <f>SUM(AA16:AA16)</f>
        <v>0</v>
      </c>
      <c r="AC13" s="538">
        <v>312</v>
      </c>
      <c r="AD13" s="539" t="s">
        <v>412</v>
      </c>
      <c r="AE13" s="540">
        <v>384</v>
      </c>
      <c r="AG13" s="542"/>
      <c r="AH13" s="543"/>
      <c r="AI13" s="544"/>
    </row>
    <row r="14" spans="1:35" ht="15.75" thickBot="1" x14ac:dyDescent="0.3">
      <c r="A14" s="787"/>
      <c r="B14" s="788"/>
      <c r="C14" s="789"/>
      <c r="E14" s="781" t="s">
        <v>197</v>
      </c>
      <c r="F14" s="790"/>
      <c r="G14" s="545">
        <f>SUM(G15:G16)</f>
        <v>0</v>
      </c>
      <c r="I14" s="538">
        <v>312</v>
      </c>
      <c r="J14" s="539" t="s">
        <v>656</v>
      </c>
      <c r="K14" s="540">
        <v>5252</v>
      </c>
      <c r="M14" s="542"/>
      <c r="N14" s="543"/>
      <c r="O14" s="544"/>
      <c r="Q14" s="542"/>
      <c r="R14" s="543"/>
      <c r="S14" s="544"/>
      <c r="U14" s="542"/>
      <c r="V14" s="543"/>
      <c r="W14" s="544"/>
      <c r="Y14" s="542">
        <v>231</v>
      </c>
      <c r="Z14" s="543" t="s">
        <v>455</v>
      </c>
      <c r="AA14" s="544">
        <v>-2000</v>
      </c>
      <c r="AC14" s="538">
        <v>312</v>
      </c>
      <c r="AD14" s="539" t="s">
        <v>413</v>
      </c>
      <c r="AE14" s="540">
        <v>-150</v>
      </c>
      <c r="AG14" s="787"/>
      <c r="AH14" s="788"/>
      <c r="AI14" s="789"/>
    </row>
    <row r="15" spans="1:35" ht="15.75" thickBot="1" x14ac:dyDescent="0.3">
      <c r="A15" s="781" t="s">
        <v>197</v>
      </c>
      <c r="B15" s="790"/>
      <c r="C15" s="545">
        <f>SUM(C16:C17)</f>
        <v>0</v>
      </c>
      <c r="E15" s="546"/>
      <c r="F15" s="547"/>
      <c r="G15" s="548"/>
      <c r="I15" s="538">
        <v>312</v>
      </c>
      <c r="J15" s="539" t="s">
        <v>546</v>
      </c>
      <c r="K15" s="540">
        <v>430</v>
      </c>
      <c r="M15" s="542"/>
      <c r="N15" s="543"/>
      <c r="O15" s="544"/>
      <c r="Q15" s="542"/>
      <c r="R15" s="543"/>
      <c r="S15" s="544"/>
      <c r="U15" s="787"/>
      <c r="V15" s="788"/>
      <c r="W15" s="789"/>
      <c r="Y15" s="639">
        <v>233</v>
      </c>
      <c r="Z15" s="575" t="s">
        <v>456</v>
      </c>
      <c r="AA15" s="640">
        <v>2000</v>
      </c>
      <c r="AC15" s="538">
        <v>312</v>
      </c>
      <c r="AD15" s="539" t="s">
        <v>396</v>
      </c>
      <c r="AE15" s="540">
        <v>8000</v>
      </c>
      <c r="AG15" s="781" t="s">
        <v>197</v>
      </c>
      <c r="AH15" s="790"/>
      <c r="AI15" s="545">
        <f>SUM(AI16:AI19)</f>
        <v>0</v>
      </c>
    </row>
    <row r="16" spans="1:35" ht="15.75" thickBot="1" x14ac:dyDescent="0.3">
      <c r="A16" s="546"/>
      <c r="B16" s="547"/>
      <c r="C16" s="548"/>
      <c r="E16" s="553"/>
      <c r="F16" s="554"/>
      <c r="G16" s="555"/>
      <c r="I16" s="538">
        <v>312</v>
      </c>
      <c r="J16" s="539" t="s">
        <v>658</v>
      </c>
      <c r="K16" s="540">
        <v>372</v>
      </c>
      <c r="L16" s="464">
        <f>SUM(K14:K16)</f>
        <v>6054</v>
      </c>
      <c r="M16" s="787"/>
      <c r="N16" s="788"/>
      <c r="O16" s="789"/>
      <c r="Q16" s="787"/>
      <c r="R16" s="788"/>
      <c r="S16" s="789"/>
      <c r="U16" s="781" t="s">
        <v>197</v>
      </c>
      <c r="V16" s="790"/>
      <c r="W16" s="545">
        <f>SUM(W17:W18)</f>
        <v>0</v>
      </c>
      <c r="Y16" s="542"/>
      <c r="Z16" s="543"/>
      <c r="AA16" s="544"/>
      <c r="AC16" s="538">
        <v>312</v>
      </c>
      <c r="AD16" s="539" t="s">
        <v>383</v>
      </c>
      <c r="AE16" s="540">
        <v>2000</v>
      </c>
      <c r="AG16" s="546">
        <v>453</v>
      </c>
      <c r="AH16" s="547" t="s">
        <v>405</v>
      </c>
      <c r="AI16" s="548"/>
    </row>
    <row r="17" spans="1:35" ht="15.75" thickBot="1" x14ac:dyDescent="0.3">
      <c r="A17" s="553"/>
      <c r="B17" s="554"/>
      <c r="C17" s="555"/>
      <c r="E17" s="791" t="s">
        <v>344</v>
      </c>
      <c r="F17" s="792"/>
      <c r="G17" s="556">
        <f>G7+G10+G14</f>
        <v>0</v>
      </c>
      <c r="I17" s="538"/>
      <c r="J17" s="539"/>
      <c r="K17" s="540"/>
      <c r="M17" s="781" t="s">
        <v>197</v>
      </c>
      <c r="N17" s="790"/>
      <c r="O17" s="545">
        <f>SUM(O18:O19)</f>
        <v>0</v>
      </c>
      <c r="Q17" s="781" t="s">
        <v>197</v>
      </c>
      <c r="R17" s="790"/>
      <c r="S17" s="545">
        <f>SUM(S18:S19)</f>
        <v>0</v>
      </c>
      <c r="U17" s="546"/>
      <c r="V17" s="547"/>
      <c r="W17" s="548"/>
      <c r="Y17" s="787"/>
      <c r="Z17" s="788"/>
      <c r="AA17" s="789"/>
      <c r="AC17" s="538"/>
      <c r="AD17" s="539"/>
      <c r="AE17" s="540"/>
      <c r="AG17" s="549">
        <v>453</v>
      </c>
      <c r="AH17" s="550" t="s">
        <v>406</v>
      </c>
      <c r="AI17" s="551"/>
    </row>
    <row r="18" spans="1:35" ht="15.75" thickBot="1" x14ac:dyDescent="0.3">
      <c r="A18" s="791" t="s">
        <v>344</v>
      </c>
      <c r="B18" s="792"/>
      <c r="C18" s="556">
        <f>C7+C11+C15</f>
        <v>21127</v>
      </c>
      <c r="E18" s="557" t="s">
        <v>67</v>
      </c>
      <c r="F18" s="558" t="s">
        <v>345</v>
      </c>
      <c r="G18" s="559"/>
      <c r="I18" s="783"/>
      <c r="J18" s="784"/>
      <c r="K18" s="785"/>
      <c r="M18" s="546"/>
      <c r="N18" s="547"/>
      <c r="O18" s="548"/>
      <c r="Q18" s="546"/>
      <c r="R18" s="547"/>
      <c r="S18" s="548"/>
      <c r="U18" s="553"/>
      <c r="V18" s="554"/>
      <c r="W18" s="555"/>
      <c r="Y18" s="781" t="s">
        <v>197</v>
      </c>
      <c r="Z18" s="790"/>
      <c r="AA18" s="545">
        <f>SUM(AA19:AA22)</f>
        <v>2735</v>
      </c>
      <c r="AC18" s="783"/>
      <c r="AD18" s="784"/>
      <c r="AE18" s="785"/>
      <c r="AG18" s="549">
        <v>454</v>
      </c>
      <c r="AH18" s="550" t="s">
        <v>343</v>
      </c>
      <c r="AI18" s="552"/>
    </row>
    <row r="19" spans="1:35" ht="15.75" thickBot="1" x14ac:dyDescent="0.3">
      <c r="A19" s="557" t="s">
        <v>67</v>
      </c>
      <c r="B19" s="558" t="s">
        <v>345</v>
      </c>
      <c r="C19" s="559"/>
      <c r="E19" s="560" t="s">
        <v>67</v>
      </c>
      <c r="F19" s="561" t="s">
        <v>346</v>
      </c>
      <c r="G19" s="562"/>
      <c r="I19" s="779" t="s">
        <v>175</v>
      </c>
      <c r="J19" s="786"/>
      <c r="K19" s="541">
        <f>SUM(K21:K21)</f>
        <v>0</v>
      </c>
      <c r="M19" s="553"/>
      <c r="N19" s="554"/>
      <c r="O19" s="555"/>
      <c r="Q19" s="553"/>
      <c r="R19" s="554"/>
      <c r="S19" s="555"/>
      <c r="U19" s="791" t="s">
        <v>344</v>
      </c>
      <c r="V19" s="792"/>
      <c r="W19" s="556">
        <f>W7+W13+W16</f>
        <v>3938</v>
      </c>
      <c r="Y19" s="546">
        <v>453</v>
      </c>
      <c r="Z19" s="547" t="s">
        <v>515</v>
      </c>
      <c r="AA19" s="548">
        <f>2155+580</f>
        <v>2735</v>
      </c>
      <c r="AC19" s="779" t="s">
        <v>175</v>
      </c>
      <c r="AD19" s="786"/>
      <c r="AE19" s="541">
        <f>SUM(AE20:AE23)</f>
        <v>0</v>
      </c>
      <c r="AG19" s="553">
        <v>456</v>
      </c>
      <c r="AH19" s="554" t="s">
        <v>372</v>
      </c>
      <c r="AI19" s="555"/>
    </row>
    <row r="20" spans="1:35" ht="15.75" thickBot="1" x14ac:dyDescent="0.3">
      <c r="A20" s="560" t="s">
        <v>67</v>
      </c>
      <c r="B20" s="561" t="s">
        <v>346</v>
      </c>
      <c r="C20" s="562">
        <v>2084</v>
      </c>
      <c r="E20" s="774" t="s">
        <v>347</v>
      </c>
      <c r="F20" s="775"/>
      <c r="G20" s="563">
        <f>SUM(G17:G19)</f>
        <v>0</v>
      </c>
      <c r="I20" s="542"/>
      <c r="J20" s="543"/>
      <c r="K20" s="544"/>
      <c r="M20" s="791" t="s">
        <v>344</v>
      </c>
      <c r="N20" s="792"/>
      <c r="O20" s="556">
        <f>O7+O13+O17</f>
        <v>1450</v>
      </c>
      <c r="Q20" s="791" t="s">
        <v>344</v>
      </c>
      <c r="R20" s="792"/>
      <c r="S20" s="556">
        <f>S7+S13+S17</f>
        <v>6221</v>
      </c>
      <c r="U20" s="557" t="s">
        <v>67</v>
      </c>
      <c r="V20" s="558" t="s">
        <v>345</v>
      </c>
      <c r="W20" s="559"/>
      <c r="Y20" s="549"/>
      <c r="Z20" s="550"/>
      <c r="AA20" s="551"/>
      <c r="AC20" s="542">
        <v>231</v>
      </c>
      <c r="AD20" s="543" t="s">
        <v>455</v>
      </c>
      <c r="AE20" s="544">
        <v>2000</v>
      </c>
      <c r="AG20" s="791" t="s">
        <v>344</v>
      </c>
      <c r="AH20" s="792"/>
      <c r="AI20" s="556">
        <f>AI7+AI12+AI15</f>
        <v>0</v>
      </c>
    </row>
    <row r="21" spans="1:35" ht="15.75" thickBot="1" x14ac:dyDescent="0.3">
      <c r="A21" s="774" t="s">
        <v>347</v>
      </c>
      <c r="B21" s="775"/>
      <c r="C21" s="563">
        <f>SUM(C18:C20)</f>
        <v>23211</v>
      </c>
      <c r="F21" s="564"/>
      <c r="G21" s="464"/>
      <c r="I21" s="542"/>
      <c r="J21" s="543"/>
      <c r="K21" s="544"/>
      <c r="M21" s="557" t="s">
        <v>67</v>
      </c>
      <c r="N21" s="558" t="s">
        <v>345</v>
      </c>
      <c r="O21" s="559"/>
      <c r="Q21" s="557" t="s">
        <v>67</v>
      </c>
      <c r="R21" s="558" t="s">
        <v>345</v>
      </c>
      <c r="S21" s="559"/>
      <c r="U21" s="560" t="s">
        <v>67</v>
      </c>
      <c r="V21" s="561" t="s">
        <v>499</v>
      </c>
      <c r="W21" s="562"/>
      <c r="Y21" s="549"/>
      <c r="Z21" s="550"/>
      <c r="AA21" s="552"/>
      <c r="AC21" s="639">
        <v>233</v>
      </c>
      <c r="AD21" s="575" t="s">
        <v>456</v>
      </c>
      <c r="AE21" s="640">
        <v>-2000</v>
      </c>
      <c r="AG21" s="557" t="s">
        <v>67</v>
      </c>
      <c r="AH21" s="558" t="s">
        <v>345</v>
      </c>
      <c r="AI21" s="559"/>
    </row>
    <row r="22" spans="1:35" ht="15.75" thickBot="1" x14ac:dyDescent="0.3">
      <c r="B22" s="564"/>
      <c r="C22" s="464"/>
      <c r="E22" s="776" t="s">
        <v>348</v>
      </c>
      <c r="F22" s="776"/>
      <c r="G22" s="776"/>
      <c r="I22" s="787"/>
      <c r="J22" s="788"/>
      <c r="K22" s="789"/>
      <c r="M22" s="560" t="s">
        <v>67</v>
      </c>
      <c r="N22" s="561" t="s">
        <v>346</v>
      </c>
      <c r="O22" s="562"/>
      <c r="Q22" s="560" t="s">
        <v>67</v>
      </c>
      <c r="R22" s="561" t="s">
        <v>346</v>
      </c>
      <c r="S22" s="562"/>
      <c r="U22" s="774" t="s">
        <v>347</v>
      </c>
      <c r="V22" s="775"/>
      <c r="W22" s="563">
        <f>SUM(W19:W21)</f>
        <v>3938</v>
      </c>
      <c r="Y22" s="553"/>
      <c r="Z22" s="554"/>
      <c r="AA22" s="555"/>
      <c r="AC22" s="673"/>
      <c r="AD22" s="575"/>
      <c r="AE22" s="640"/>
      <c r="AG22" s="560" t="s">
        <v>67</v>
      </c>
      <c r="AH22" s="561" t="s">
        <v>346</v>
      </c>
      <c r="AI22" s="562"/>
    </row>
    <row r="23" spans="1:35" ht="15.75" thickBot="1" x14ac:dyDescent="0.3">
      <c r="A23" s="776" t="s">
        <v>348</v>
      </c>
      <c r="B23" s="776"/>
      <c r="C23" s="776"/>
      <c r="E23" s="565" t="s">
        <v>284</v>
      </c>
      <c r="F23" s="566" t="s">
        <v>349</v>
      </c>
      <c r="G23" s="567" t="s">
        <v>350</v>
      </c>
      <c r="I23" s="781" t="s">
        <v>197</v>
      </c>
      <c r="J23" s="790"/>
      <c r="K23" s="545">
        <f>SUM(K24:K25)</f>
        <v>0</v>
      </c>
      <c r="M23" s="774" t="s">
        <v>347</v>
      </c>
      <c r="N23" s="775"/>
      <c r="O23" s="563">
        <f>SUM(O20:O22)</f>
        <v>1450</v>
      </c>
      <c r="Q23" s="774" t="s">
        <v>347</v>
      </c>
      <c r="R23" s="775"/>
      <c r="S23" s="563">
        <f>SUM(S20:S22)</f>
        <v>6221</v>
      </c>
      <c r="V23" s="564"/>
      <c r="W23" s="464"/>
      <c r="Y23" s="791" t="s">
        <v>344</v>
      </c>
      <c r="Z23" s="792"/>
      <c r="AA23" s="556">
        <f>AA7+AA13+AA18</f>
        <v>9135</v>
      </c>
      <c r="AC23" s="673"/>
      <c r="AD23" s="575"/>
      <c r="AE23" s="640"/>
      <c r="AG23" s="774" t="s">
        <v>347</v>
      </c>
      <c r="AH23" s="775"/>
      <c r="AI23" s="563">
        <f>SUM(AI20:AI22)</f>
        <v>0</v>
      </c>
    </row>
    <row r="24" spans="1:35" ht="15.75" thickBot="1" x14ac:dyDescent="0.3">
      <c r="A24" s="565" t="s">
        <v>284</v>
      </c>
      <c r="B24" s="566" t="s">
        <v>349</v>
      </c>
      <c r="C24" s="567" t="s">
        <v>350</v>
      </c>
      <c r="E24" s="777" t="s">
        <v>342</v>
      </c>
      <c r="F24" s="778"/>
      <c r="G24" s="568">
        <f>SUM(G25:G36)</f>
        <v>0</v>
      </c>
      <c r="I24" s="546"/>
      <c r="J24" s="547"/>
      <c r="K24" s="548"/>
      <c r="N24" s="564"/>
      <c r="O24" s="464"/>
      <c r="R24" s="564"/>
      <c r="S24" s="464"/>
      <c r="U24" s="776" t="s">
        <v>348</v>
      </c>
      <c r="V24" s="776"/>
      <c r="W24" s="776"/>
      <c r="Y24" s="557" t="s">
        <v>67</v>
      </c>
      <c r="Z24" s="558" t="s">
        <v>345</v>
      </c>
      <c r="AA24" s="559"/>
      <c r="AC24" s="787"/>
      <c r="AD24" s="788"/>
      <c r="AE24" s="789"/>
      <c r="AH24" s="564"/>
      <c r="AI24" s="464"/>
    </row>
    <row r="25" spans="1:35" ht="15.75" thickBot="1" x14ac:dyDescent="0.3">
      <c r="A25" s="777" t="s">
        <v>342</v>
      </c>
      <c r="B25" s="778"/>
      <c r="C25" s="568">
        <f>SUM(C26:C36)</f>
        <v>0</v>
      </c>
      <c r="E25" s="569" t="s">
        <v>96</v>
      </c>
      <c r="F25" s="570" t="s">
        <v>709</v>
      </c>
      <c r="G25" s="540">
        <f>30-30</f>
        <v>0</v>
      </c>
      <c r="I25" s="553"/>
      <c r="J25" s="554"/>
      <c r="K25" s="555"/>
      <c r="M25" s="776" t="s">
        <v>348</v>
      </c>
      <c r="N25" s="776"/>
      <c r="O25" s="776"/>
      <c r="Q25" s="776" t="s">
        <v>348</v>
      </c>
      <c r="R25" s="776"/>
      <c r="S25" s="776"/>
      <c r="U25" s="565" t="s">
        <v>284</v>
      </c>
      <c r="V25" s="566" t="s">
        <v>349</v>
      </c>
      <c r="W25" s="567" t="s">
        <v>350</v>
      </c>
      <c r="Y25" s="560" t="s">
        <v>67</v>
      </c>
      <c r="Z25" s="561" t="s">
        <v>346</v>
      </c>
      <c r="AA25" s="562"/>
      <c r="AC25" s="781" t="s">
        <v>197</v>
      </c>
      <c r="AD25" s="790"/>
      <c r="AE25" s="545">
        <f>SUM(AE26:AE29)</f>
        <v>0</v>
      </c>
      <c r="AG25" s="776" t="s">
        <v>348</v>
      </c>
      <c r="AH25" s="776"/>
      <c r="AI25" s="776"/>
    </row>
    <row r="26" spans="1:35" ht="15.75" thickBot="1" x14ac:dyDescent="0.3">
      <c r="A26" s="569"/>
      <c r="B26" s="570"/>
      <c r="C26" s="540"/>
      <c r="E26" s="569" t="s">
        <v>110</v>
      </c>
      <c r="F26" s="570" t="s">
        <v>708</v>
      </c>
      <c r="G26" s="540">
        <f>-60+60</f>
        <v>0</v>
      </c>
      <c r="I26" s="791" t="s">
        <v>344</v>
      </c>
      <c r="J26" s="792"/>
      <c r="K26" s="556">
        <f>K7+K19+K23</f>
        <v>19656</v>
      </c>
      <c r="M26" s="565" t="s">
        <v>284</v>
      </c>
      <c r="N26" s="566" t="s">
        <v>349</v>
      </c>
      <c r="O26" s="567" t="s">
        <v>350</v>
      </c>
      <c r="Q26" s="565" t="s">
        <v>284</v>
      </c>
      <c r="R26" s="566" t="s">
        <v>349</v>
      </c>
      <c r="S26" s="567" t="s">
        <v>350</v>
      </c>
      <c r="U26" s="777" t="s">
        <v>342</v>
      </c>
      <c r="V26" s="778"/>
      <c r="W26" s="568">
        <f>SUM(W27:W35)</f>
        <v>3200</v>
      </c>
      <c r="Y26" s="774" t="s">
        <v>347</v>
      </c>
      <c r="Z26" s="775"/>
      <c r="AA26" s="563">
        <f>SUM(AA23:AA25)</f>
        <v>9135</v>
      </c>
      <c r="AC26" s="546">
        <v>453</v>
      </c>
      <c r="AD26" s="547" t="s">
        <v>405</v>
      </c>
      <c r="AE26" s="548"/>
      <c r="AG26" s="565" t="s">
        <v>284</v>
      </c>
      <c r="AH26" s="566" t="s">
        <v>349</v>
      </c>
      <c r="AI26" s="567" t="s">
        <v>350</v>
      </c>
    </row>
    <row r="27" spans="1:35" ht="15.75" thickBot="1" x14ac:dyDescent="0.3">
      <c r="A27" s="569" t="s">
        <v>127</v>
      </c>
      <c r="B27" s="570" t="s">
        <v>738</v>
      </c>
      <c r="C27" s="540">
        <f>-1000+400+600</f>
        <v>0</v>
      </c>
      <c r="E27" s="569" t="s">
        <v>125</v>
      </c>
      <c r="F27" s="570" t="s">
        <v>714</v>
      </c>
      <c r="G27" s="540">
        <f>500-500</f>
        <v>0</v>
      </c>
      <c r="I27" s="557" t="s">
        <v>67</v>
      </c>
      <c r="J27" s="558" t="s">
        <v>345</v>
      </c>
      <c r="K27" s="559"/>
      <c r="M27" s="777" t="s">
        <v>342</v>
      </c>
      <c r="N27" s="778"/>
      <c r="O27" s="568">
        <f>SUM(O28:O31)</f>
        <v>1200</v>
      </c>
      <c r="Q27" s="777" t="s">
        <v>342</v>
      </c>
      <c r="R27" s="778"/>
      <c r="S27" s="568">
        <f>SUM(S28:S34)</f>
        <v>3000</v>
      </c>
      <c r="U27" s="569" t="s">
        <v>87</v>
      </c>
      <c r="V27" s="570" t="s">
        <v>574</v>
      </c>
      <c r="W27" s="540">
        <f>24-24</f>
        <v>0</v>
      </c>
      <c r="Z27" s="564"/>
      <c r="AA27" s="464"/>
      <c r="AC27" s="549">
        <v>453</v>
      </c>
      <c r="AD27" s="550" t="s">
        <v>406</v>
      </c>
      <c r="AE27" s="551"/>
      <c r="AG27" s="777" t="s">
        <v>342</v>
      </c>
      <c r="AH27" s="778"/>
      <c r="AI27" s="568">
        <f>SUM(AI28:AI32)</f>
        <v>0</v>
      </c>
    </row>
    <row r="28" spans="1:35" ht="15.75" thickBot="1" x14ac:dyDescent="0.3">
      <c r="A28" s="569"/>
      <c r="B28" s="570"/>
      <c r="C28" s="540"/>
      <c r="E28" s="569" t="s">
        <v>127</v>
      </c>
      <c r="F28" s="570" t="s">
        <v>715</v>
      </c>
      <c r="G28" s="540">
        <f>352-352</f>
        <v>0</v>
      </c>
      <c r="I28" s="560" t="s">
        <v>67</v>
      </c>
      <c r="J28" s="561" t="s">
        <v>346</v>
      </c>
      <c r="K28" s="562"/>
      <c r="M28" s="569" t="s">
        <v>79</v>
      </c>
      <c r="N28" s="570" t="s">
        <v>635</v>
      </c>
      <c r="O28" s="540">
        <f>-100+100</f>
        <v>0</v>
      </c>
      <c r="Q28" s="569" t="s">
        <v>87</v>
      </c>
      <c r="R28" s="570" t="s">
        <v>624</v>
      </c>
      <c r="S28" s="540">
        <v>0</v>
      </c>
      <c r="U28" s="569" t="s">
        <v>94</v>
      </c>
      <c r="V28" s="570" t="s">
        <v>537</v>
      </c>
      <c r="W28" s="540">
        <f>165-165</f>
        <v>0</v>
      </c>
      <c r="Y28" s="776" t="s">
        <v>348</v>
      </c>
      <c r="Z28" s="776"/>
      <c r="AA28" s="776"/>
      <c r="AC28" s="549">
        <v>454</v>
      </c>
      <c r="AD28" s="550" t="s">
        <v>343</v>
      </c>
      <c r="AE28" s="552"/>
      <c r="AG28" s="569" t="s">
        <v>79</v>
      </c>
      <c r="AH28" s="570" t="s">
        <v>420</v>
      </c>
      <c r="AI28" s="540">
        <f>640-640</f>
        <v>0</v>
      </c>
    </row>
    <row r="29" spans="1:35" ht="15.75" thickBot="1" x14ac:dyDescent="0.3">
      <c r="A29" s="569"/>
      <c r="B29" s="570"/>
      <c r="C29" s="540"/>
      <c r="E29" s="569" t="s">
        <v>131</v>
      </c>
      <c r="F29" s="570" t="s">
        <v>707</v>
      </c>
      <c r="G29" s="540">
        <f>120-120</f>
        <v>0</v>
      </c>
      <c r="I29" s="774" t="s">
        <v>347</v>
      </c>
      <c r="J29" s="775"/>
      <c r="K29" s="563">
        <f>SUM(K26:K28)</f>
        <v>19656</v>
      </c>
      <c r="M29" s="569" t="s">
        <v>96</v>
      </c>
      <c r="N29" s="570" t="s">
        <v>642</v>
      </c>
      <c r="O29" s="540">
        <f>2400-2400</f>
        <v>0</v>
      </c>
      <c r="Q29" s="569" t="s">
        <v>89</v>
      </c>
      <c r="R29" s="570" t="s">
        <v>625</v>
      </c>
      <c r="S29" s="540">
        <v>0</v>
      </c>
      <c r="U29" s="569" t="s">
        <v>98</v>
      </c>
      <c r="V29" s="570" t="s">
        <v>538</v>
      </c>
      <c r="W29" s="540">
        <f>1500+2000+500+100-4100</f>
        <v>0</v>
      </c>
      <c r="Y29" s="565" t="s">
        <v>284</v>
      </c>
      <c r="Z29" s="566" t="s">
        <v>349</v>
      </c>
      <c r="AA29" s="567" t="s">
        <v>350</v>
      </c>
      <c r="AC29" s="553">
        <v>456</v>
      </c>
      <c r="AD29" s="554" t="s">
        <v>372</v>
      </c>
      <c r="AE29" s="555"/>
      <c r="AG29" s="569" t="s">
        <v>83</v>
      </c>
      <c r="AH29" s="570" t="s">
        <v>421</v>
      </c>
      <c r="AI29" s="540">
        <f>-10+10-11+11</f>
        <v>0</v>
      </c>
    </row>
    <row r="30" spans="1:35" ht="15.75" thickBot="1" x14ac:dyDescent="0.3">
      <c r="A30" s="569"/>
      <c r="B30" s="570"/>
      <c r="C30" s="540"/>
      <c r="E30" s="569" t="s">
        <v>136</v>
      </c>
      <c r="F30" s="570" t="s">
        <v>712</v>
      </c>
      <c r="G30" s="540">
        <f>600-600</f>
        <v>0</v>
      </c>
      <c r="J30" s="564"/>
      <c r="K30" s="464"/>
      <c r="M30" s="569" t="s">
        <v>127</v>
      </c>
      <c r="N30" s="570" t="s">
        <v>644</v>
      </c>
      <c r="O30" s="540">
        <f>1200+410-410</f>
        <v>1200</v>
      </c>
      <c r="Q30" s="569" t="s">
        <v>127</v>
      </c>
      <c r="R30" s="570" t="s">
        <v>627</v>
      </c>
      <c r="S30" s="540">
        <v>3000</v>
      </c>
      <c r="U30" s="569" t="s">
        <v>127</v>
      </c>
      <c r="V30" s="570" t="s">
        <v>576</v>
      </c>
      <c r="W30" s="540">
        <f>3200+1000-1000+1200-1200</f>
        <v>3200</v>
      </c>
      <c r="Y30" s="777" t="s">
        <v>342</v>
      </c>
      <c r="Z30" s="778"/>
      <c r="AA30" s="568">
        <f>SUM(AA31:AA54)</f>
        <v>7735</v>
      </c>
      <c r="AC30" s="791" t="s">
        <v>344</v>
      </c>
      <c r="AD30" s="792"/>
      <c r="AE30" s="556">
        <f>AE7+AE19+AE25</f>
        <v>26230</v>
      </c>
      <c r="AG30" s="569" t="s">
        <v>87</v>
      </c>
      <c r="AH30" s="570" t="s">
        <v>422</v>
      </c>
      <c r="AI30" s="540">
        <f>140-140-40+40</f>
        <v>0</v>
      </c>
    </row>
    <row r="31" spans="1:35" ht="15.75" thickBot="1" x14ac:dyDescent="0.3">
      <c r="A31" s="569"/>
      <c r="B31" s="570"/>
      <c r="C31" s="540"/>
      <c r="E31" s="569" t="s">
        <v>148</v>
      </c>
      <c r="F31" s="570" t="s">
        <v>713</v>
      </c>
      <c r="G31" s="540">
        <f>30-30</f>
        <v>0</v>
      </c>
      <c r="I31" s="776" t="s">
        <v>348</v>
      </c>
      <c r="J31" s="776"/>
      <c r="K31" s="776"/>
      <c r="M31" s="569" t="s">
        <v>148</v>
      </c>
      <c r="N31" s="570" t="s">
        <v>643</v>
      </c>
      <c r="O31" s="540">
        <f>-1500+1000+500</f>
        <v>0</v>
      </c>
      <c r="Q31" s="569" t="s">
        <v>133</v>
      </c>
      <c r="R31" s="570" t="s">
        <v>628</v>
      </c>
      <c r="S31" s="540">
        <v>0</v>
      </c>
      <c r="U31" s="569" t="s">
        <v>127</v>
      </c>
      <c r="V31" s="570" t="s">
        <v>578</v>
      </c>
      <c r="W31" s="540">
        <f>300-300</f>
        <v>0</v>
      </c>
      <c r="Y31" s="569" t="s">
        <v>110</v>
      </c>
      <c r="Z31" s="570" t="s">
        <v>465</v>
      </c>
      <c r="AA31" s="540">
        <f>100-100</f>
        <v>0</v>
      </c>
      <c r="AC31" s="557" t="s">
        <v>67</v>
      </c>
      <c r="AD31" s="558" t="s">
        <v>345</v>
      </c>
      <c r="AE31" s="559"/>
      <c r="AG31" s="569" t="s">
        <v>114</v>
      </c>
      <c r="AH31" s="570" t="s">
        <v>423</v>
      </c>
      <c r="AI31" s="540">
        <f>110-110</f>
        <v>0</v>
      </c>
    </row>
    <row r="32" spans="1:35" ht="15.75" thickBot="1" x14ac:dyDescent="0.3">
      <c r="A32" s="569"/>
      <c r="B32" s="570"/>
      <c r="C32" s="540"/>
      <c r="E32" s="569" t="s">
        <v>149</v>
      </c>
      <c r="F32" s="570" t="s">
        <v>710</v>
      </c>
      <c r="G32" s="540">
        <f>40-40</f>
        <v>0</v>
      </c>
      <c r="I32" s="565" t="s">
        <v>284</v>
      </c>
      <c r="J32" s="566" t="s">
        <v>349</v>
      </c>
      <c r="K32" s="567" t="s">
        <v>350</v>
      </c>
      <c r="M32" s="569" t="s">
        <v>152</v>
      </c>
      <c r="N32" s="570" t="s">
        <v>645</v>
      </c>
      <c r="O32" s="540">
        <f>275-275</f>
        <v>0</v>
      </c>
      <c r="Q32" s="569" t="s">
        <v>148</v>
      </c>
      <c r="R32" s="570" t="s">
        <v>626</v>
      </c>
      <c r="S32" s="540">
        <v>0</v>
      </c>
      <c r="U32" s="569" t="s">
        <v>127</v>
      </c>
      <c r="V32" s="570" t="s">
        <v>539</v>
      </c>
      <c r="W32" s="540">
        <f>-1000+1000</f>
        <v>0</v>
      </c>
      <c r="Y32" s="569" t="s">
        <v>77</v>
      </c>
      <c r="Z32" s="570" t="s">
        <v>516</v>
      </c>
      <c r="AA32" s="540">
        <f>-100+100-300+300</f>
        <v>0</v>
      </c>
      <c r="AC32" s="560" t="s">
        <v>67</v>
      </c>
      <c r="AD32" s="561" t="s">
        <v>346</v>
      </c>
      <c r="AE32" s="562"/>
      <c r="AG32" s="569" t="s">
        <v>152</v>
      </c>
      <c r="AH32" s="570" t="s">
        <v>424</v>
      </c>
      <c r="AI32" s="540">
        <f>200-200</f>
        <v>0</v>
      </c>
    </row>
    <row r="33" spans="1:35" ht="15.75" thickBot="1" x14ac:dyDescent="0.3">
      <c r="A33" s="569"/>
      <c r="B33" s="570"/>
      <c r="C33" s="540"/>
      <c r="E33" s="569" t="s">
        <v>150</v>
      </c>
      <c r="F33" s="570" t="s">
        <v>706</v>
      </c>
      <c r="G33" s="540">
        <f>100-100</f>
        <v>0</v>
      </c>
      <c r="I33" s="777" t="s">
        <v>342</v>
      </c>
      <c r="J33" s="778"/>
      <c r="K33" s="568">
        <f>SUM(K34:K44)</f>
        <v>13602</v>
      </c>
      <c r="M33" s="569" t="s">
        <v>152</v>
      </c>
      <c r="N33" s="570" t="s">
        <v>636</v>
      </c>
      <c r="O33" s="540">
        <f>40-40</f>
        <v>0</v>
      </c>
      <c r="Q33" s="569" t="s">
        <v>152</v>
      </c>
      <c r="R33" s="570" t="s">
        <v>629</v>
      </c>
      <c r="S33" s="540">
        <v>0</v>
      </c>
      <c r="U33" s="569" t="s">
        <v>136</v>
      </c>
      <c r="V33" s="570" t="s">
        <v>575</v>
      </c>
      <c r="W33" s="540">
        <f>636-636</f>
        <v>0</v>
      </c>
      <c r="Y33" s="569" t="s">
        <v>79</v>
      </c>
      <c r="Z33" s="570" t="s">
        <v>517</v>
      </c>
      <c r="AA33" s="540">
        <f>30-30+200-200</f>
        <v>0</v>
      </c>
      <c r="AC33" s="774" t="s">
        <v>347</v>
      </c>
      <c r="AD33" s="775"/>
      <c r="AE33" s="563">
        <f>SUM(AE30:AE32)</f>
        <v>26230</v>
      </c>
      <c r="AG33" s="571"/>
      <c r="AH33" s="572"/>
      <c r="AI33" s="573"/>
    </row>
    <row r="34" spans="1:35" ht="15.75" thickBot="1" x14ac:dyDescent="0.3">
      <c r="A34" s="569"/>
      <c r="B34" s="570"/>
      <c r="C34" s="540"/>
      <c r="E34" s="569" t="s">
        <v>152</v>
      </c>
      <c r="F34" s="570" t="s">
        <v>711</v>
      </c>
      <c r="G34" s="540">
        <f>100-100</f>
        <v>0</v>
      </c>
      <c r="I34" s="569" t="s">
        <v>77</v>
      </c>
      <c r="J34" s="570" t="s">
        <v>661</v>
      </c>
      <c r="K34" s="540">
        <f>1350-900-300-150+200-200</f>
        <v>0</v>
      </c>
      <c r="M34" s="571"/>
      <c r="N34" s="572"/>
      <c r="O34" s="573"/>
      <c r="Q34" s="569"/>
      <c r="R34" s="570"/>
      <c r="S34" s="540"/>
      <c r="U34" s="569" t="s">
        <v>152</v>
      </c>
      <c r="V34" s="570" t="s">
        <v>579</v>
      </c>
      <c r="W34" s="540">
        <f>-300+300</f>
        <v>0</v>
      </c>
      <c r="Y34" s="569" t="s">
        <v>83</v>
      </c>
      <c r="Z34" s="570" t="s">
        <v>518</v>
      </c>
      <c r="AA34" s="540">
        <f>220-220+10-10+2-2</f>
        <v>0</v>
      </c>
      <c r="AD34" s="564"/>
      <c r="AE34" s="464"/>
      <c r="AG34" s="779" t="s">
        <v>175</v>
      </c>
      <c r="AH34" s="780"/>
      <c r="AI34" s="574">
        <f>SUM(AI35:AI35)</f>
        <v>0</v>
      </c>
    </row>
    <row r="35" spans="1:35" ht="15.75" thickBot="1" x14ac:dyDescent="0.3">
      <c r="A35" s="569"/>
      <c r="B35" s="570"/>
      <c r="C35" s="540"/>
      <c r="E35" s="569" t="s">
        <v>152</v>
      </c>
      <c r="F35" s="570" t="s">
        <v>716</v>
      </c>
      <c r="G35" s="540">
        <f>100-100</f>
        <v>0</v>
      </c>
      <c r="I35" s="569" t="s">
        <v>83</v>
      </c>
      <c r="J35" s="570" t="s">
        <v>662</v>
      </c>
      <c r="K35" s="540">
        <f>800-800+300-300</f>
        <v>0</v>
      </c>
      <c r="M35" s="779" t="s">
        <v>175</v>
      </c>
      <c r="N35" s="780"/>
      <c r="O35" s="574">
        <f>SUM(O36:O36)</f>
        <v>0</v>
      </c>
      <c r="Q35" s="571"/>
      <c r="R35" s="572"/>
      <c r="S35" s="573"/>
      <c r="U35" s="569" t="s">
        <v>157</v>
      </c>
      <c r="V35" s="570" t="s">
        <v>577</v>
      </c>
      <c r="W35" s="540">
        <f>-6000+6000</f>
        <v>0</v>
      </c>
      <c r="Y35" s="569" t="s">
        <v>87</v>
      </c>
      <c r="Z35" s="570" t="s">
        <v>519</v>
      </c>
      <c r="AA35" s="540">
        <f>10-10</f>
        <v>0</v>
      </c>
      <c r="AC35" s="776" t="s">
        <v>348</v>
      </c>
      <c r="AD35" s="776"/>
      <c r="AE35" s="776"/>
      <c r="AG35" s="576"/>
      <c r="AH35" s="637"/>
      <c r="AI35" s="577"/>
    </row>
    <row r="36" spans="1:35" ht="15.75" thickBot="1" x14ac:dyDescent="0.3">
      <c r="A36" s="569"/>
      <c r="B36" s="570"/>
      <c r="C36" s="540"/>
      <c r="E36" s="569"/>
      <c r="F36" s="570"/>
      <c r="G36" s="540"/>
      <c r="I36" s="569" t="s">
        <v>85</v>
      </c>
      <c r="J36" s="570" t="s">
        <v>694</v>
      </c>
      <c r="K36" s="540">
        <f>-1250+1250</f>
        <v>0</v>
      </c>
      <c r="M36" s="576"/>
      <c r="N36" s="637"/>
      <c r="O36" s="577"/>
      <c r="Q36" s="779" t="s">
        <v>175</v>
      </c>
      <c r="R36" s="780"/>
      <c r="S36" s="574">
        <f>SUM(S37:S37)</f>
        <v>0</v>
      </c>
      <c r="U36" s="571"/>
      <c r="V36" s="572"/>
      <c r="W36" s="573"/>
      <c r="Y36" s="569" t="s">
        <v>89</v>
      </c>
      <c r="Z36" s="570" t="s">
        <v>520</v>
      </c>
      <c r="AA36" s="540">
        <f>10-10</f>
        <v>0</v>
      </c>
      <c r="AC36" s="565" t="s">
        <v>284</v>
      </c>
      <c r="AD36" s="566" t="s">
        <v>349</v>
      </c>
      <c r="AE36" s="567" t="s">
        <v>350</v>
      </c>
      <c r="AG36" s="781" t="s">
        <v>197</v>
      </c>
      <c r="AH36" s="782"/>
      <c r="AI36" s="545">
        <f>AI37</f>
        <v>0</v>
      </c>
    </row>
    <row r="37" spans="1:35" ht="15.75" thickBot="1" x14ac:dyDescent="0.3">
      <c r="A37" s="571"/>
      <c r="B37" s="572"/>
      <c r="C37" s="573"/>
      <c r="E37" s="571"/>
      <c r="F37" s="572"/>
      <c r="G37" s="573"/>
      <c r="I37" s="569" t="s">
        <v>89</v>
      </c>
      <c r="J37" s="570" t="s">
        <v>664</v>
      </c>
      <c r="K37" s="540">
        <f>300-300</f>
        <v>0</v>
      </c>
      <c r="M37" s="781" t="s">
        <v>197</v>
      </c>
      <c r="N37" s="782"/>
      <c r="O37" s="545">
        <f>O38</f>
        <v>0</v>
      </c>
      <c r="Q37" s="576"/>
      <c r="R37" s="637"/>
      <c r="S37" s="577"/>
      <c r="U37" s="779" t="s">
        <v>175</v>
      </c>
      <c r="V37" s="780"/>
      <c r="W37" s="574">
        <f>SUM(W38:W39)</f>
        <v>0</v>
      </c>
      <c r="Y37" s="569" t="s">
        <v>94</v>
      </c>
      <c r="Z37" s="570" t="s">
        <v>521</v>
      </c>
      <c r="AA37" s="540">
        <f>50-50</f>
        <v>0</v>
      </c>
      <c r="AC37" s="777" t="s">
        <v>342</v>
      </c>
      <c r="AD37" s="778"/>
      <c r="AE37" s="568">
        <f>SUM(AH38:AH48)</f>
        <v>0</v>
      </c>
      <c r="AG37" s="578" t="s">
        <v>373</v>
      </c>
      <c r="AH37" s="579" t="s">
        <v>374</v>
      </c>
      <c r="AI37" s="552"/>
    </row>
    <row r="38" spans="1:35" ht="15.75" thickBot="1" x14ac:dyDescent="0.3">
      <c r="A38" s="779" t="s">
        <v>175</v>
      </c>
      <c r="B38" s="780"/>
      <c r="C38" s="574">
        <f>SUM(C39:C39)</f>
        <v>0</v>
      </c>
      <c r="E38" s="779" t="s">
        <v>175</v>
      </c>
      <c r="F38" s="780"/>
      <c r="G38" s="574">
        <f>SUM(G39:G39)</f>
        <v>0</v>
      </c>
      <c r="I38" s="569" t="s">
        <v>107</v>
      </c>
      <c r="J38" s="570" t="s">
        <v>666</v>
      </c>
      <c r="K38" s="540">
        <f>40-40</f>
        <v>0</v>
      </c>
      <c r="M38" s="578"/>
      <c r="N38" s="579"/>
      <c r="O38" s="552"/>
      <c r="Q38" s="781" t="s">
        <v>197</v>
      </c>
      <c r="R38" s="782"/>
      <c r="S38" s="545">
        <f>S39</f>
        <v>0</v>
      </c>
      <c r="U38" s="693"/>
      <c r="V38" s="575"/>
      <c r="W38" s="694"/>
      <c r="Y38" s="569" t="s">
        <v>96</v>
      </c>
      <c r="Z38" s="570" t="s">
        <v>522</v>
      </c>
      <c r="AA38" s="540">
        <f>30-30</f>
        <v>0</v>
      </c>
      <c r="AC38" s="569" t="s">
        <v>87</v>
      </c>
      <c r="AD38" s="570" t="s">
        <v>435</v>
      </c>
      <c r="AE38" s="540">
        <f>5-10+10</f>
        <v>5</v>
      </c>
      <c r="AG38" s="791" t="s">
        <v>344</v>
      </c>
      <c r="AH38" s="792"/>
      <c r="AI38" s="556">
        <f>AI27+AI34+AI36</f>
        <v>0</v>
      </c>
    </row>
    <row r="39" spans="1:35" ht="15.75" thickBot="1" x14ac:dyDescent="0.3">
      <c r="A39" s="576"/>
      <c r="B39" s="637"/>
      <c r="C39" s="577"/>
      <c r="E39" s="576"/>
      <c r="F39" s="637"/>
      <c r="G39" s="577"/>
      <c r="I39" s="569" t="s">
        <v>114</v>
      </c>
      <c r="J39" s="570" t="s">
        <v>696</v>
      </c>
      <c r="K39" s="540">
        <f>250-250</f>
        <v>0</v>
      </c>
      <c r="M39" s="791" t="s">
        <v>344</v>
      </c>
      <c r="N39" s="792"/>
      <c r="O39" s="556">
        <f>O27+O35+O37</f>
        <v>1200</v>
      </c>
      <c r="Q39" s="578"/>
      <c r="R39" s="579"/>
      <c r="S39" s="552"/>
      <c r="U39" s="693"/>
      <c r="V39" s="575"/>
      <c r="W39" s="694"/>
      <c r="Y39" s="569" t="s">
        <v>98</v>
      </c>
      <c r="Z39" s="570" t="s">
        <v>523</v>
      </c>
      <c r="AA39" s="540">
        <f>160-160</f>
        <v>0</v>
      </c>
      <c r="AC39" s="569" t="s">
        <v>94</v>
      </c>
      <c r="AD39" s="570" t="s">
        <v>436</v>
      </c>
      <c r="AE39" s="540">
        <f>-100+100</f>
        <v>0</v>
      </c>
      <c r="AG39" s="580" t="s">
        <v>67</v>
      </c>
      <c r="AH39" s="581" t="s">
        <v>351</v>
      </c>
      <c r="AI39" s="582"/>
    </row>
    <row r="40" spans="1:35" ht="15.75" thickBot="1" x14ac:dyDescent="0.3">
      <c r="A40" s="781" t="s">
        <v>197</v>
      </c>
      <c r="B40" s="782"/>
      <c r="C40" s="545">
        <f>C41</f>
        <v>0</v>
      </c>
      <c r="E40" s="781" t="s">
        <v>197</v>
      </c>
      <c r="F40" s="782"/>
      <c r="G40" s="545">
        <f>G41</f>
        <v>0</v>
      </c>
      <c r="I40" s="569" t="s">
        <v>127</v>
      </c>
      <c r="J40" s="570" t="s">
        <v>695</v>
      </c>
      <c r="K40" s="540">
        <f>120-120+200-200</f>
        <v>0</v>
      </c>
      <c r="M40" s="580" t="s">
        <v>67</v>
      </c>
      <c r="N40" s="581" t="s">
        <v>351</v>
      </c>
      <c r="O40" s="582"/>
      <c r="Q40" s="791" t="s">
        <v>344</v>
      </c>
      <c r="R40" s="792"/>
      <c r="S40" s="556">
        <f>S27+S36+S38</f>
        <v>3000</v>
      </c>
      <c r="U40" s="797" t="s">
        <v>197</v>
      </c>
      <c r="V40" s="798"/>
      <c r="W40" s="692">
        <f>W41</f>
        <v>0</v>
      </c>
      <c r="Y40" s="569" t="s">
        <v>101</v>
      </c>
      <c r="Z40" s="570" t="s">
        <v>524</v>
      </c>
      <c r="AA40" s="540">
        <f>90-90</f>
        <v>0</v>
      </c>
      <c r="AC40" s="569" t="s">
        <v>110</v>
      </c>
      <c r="AD40" s="570" t="s">
        <v>437</v>
      </c>
      <c r="AE40" s="540">
        <f>-400+400</f>
        <v>0</v>
      </c>
      <c r="AG40" s="583" t="s">
        <v>67</v>
      </c>
      <c r="AH40" s="499" t="s">
        <v>425</v>
      </c>
      <c r="AI40" s="584"/>
    </row>
    <row r="41" spans="1:35" ht="15.75" thickBot="1" x14ac:dyDescent="0.3">
      <c r="A41" s="578"/>
      <c r="B41" s="579"/>
      <c r="C41" s="552"/>
      <c r="E41" s="578"/>
      <c r="F41" s="579"/>
      <c r="G41" s="552"/>
      <c r="I41" s="569" t="s">
        <v>129</v>
      </c>
      <c r="J41" s="570" t="s">
        <v>663</v>
      </c>
      <c r="K41" s="540">
        <f>300-300</f>
        <v>0</v>
      </c>
      <c r="M41" s="583" t="s">
        <v>67</v>
      </c>
      <c r="N41" s="499" t="s">
        <v>425</v>
      </c>
      <c r="O41" s="584">
        <f>450-200</f>
        <v>250</v>
      </c>
      <c r="Q41" s="580" t="s">
        <v>67</v>
      </c>
      <c r="R41" s="581" t="s">
        <v>351</v>
      </c>
      <c r="S41" s="582"/>
      <c r="U41" s="578"/>
      <c r="V41" s="579"/>
      <c r="W41" s="552"/>
      <c r="Y41" s="569" t="s">
        <v>103</v>
      </c>
      <c r="Z41" s="570" t="s">
        <v>525</v>
      </c>
      <c r="AA41" s="540">
        <f>40-40</f>
        <v>0</v>
      </c>
      <c r="AC41" s="569" t="s">
        <v>114</v>
      </c>
      <c r="AD41" s="570" t="s">
        <v>438</v>
      </c>
      <c r="AE41" s="540">
        <f>90-90</f>
        <v>0</v>
      </c>
      <c r="AG41" s="774" t="s">
        <v>347</v>
      </c>
      <c r="AH41" s="796"/>
      <c r="AI41" s="563">
        <f>SUM(AI38:AI40)</f>
        <v>0</v>
      </c>
    </row>
    <row r="42" spans="1:35" ht="15.75" thickBot="1" x14ac:dyDescent="0.3">
      <c r="A42" s="791" t="s">
        <v>344</v>
      </c>
      <c r="B42" s="792"/>
      <c r="C42" s="556">
        <f>C25+C38+C40</f>
        <v>0</v>
      </c>
      <c r="E42" s="791" t="s">
        <v>344</v>
      </c>
      <c r="F42" s="792"/>
      <c r="G42" s="556">
        <f>G24+G38+G40</f>
        <v>0</v>
      </c>
      <c r="I42" s="569" t="s">
        <v>136</v>
      </c>
      <c r="J42" s="570" t="s">
        <v>659</v>
      </c>
      <c r="K42" s="540">
        <v>1802</v>
      </c>
      <c r="M42" s="774" t="s">
        <v>347</v>
      </c>
      <c r="N42" s="796"/>
      <c r="O42" s="563">
        <f>SUM(O39:O41)</f>
        <v>1450</v>
      </c>
      <c r="Q42" s="583" t="s">
        <v>67</v>
      </c>
      <c r="R42" s="499" t="s">
        <v>425</v>
      </c>
      <c r="S42" s="584">
        <f>2884+337</f>
        <v>3221</v>
      </c>
      <c r="U42" s="791" t="s">
        <v>344</v>
      </c>
      <c r="V42" s="792"/>
      <c r="W42" s="556">
        <f>W26+W37+W40</f>
        <v>3200</v>
      </c>
      <c r="Y42" s="569" t="s">
        <v>105</v>
      </c>
      <c r="Z42" s="570" t="s">
        <v>526</v>
      </c>
      <c r="AA42" s="540">
        <f>5-5</f>
        <v>0</v>
      </c>
      <c r="AC42" s="569" t="s">
        <v>127</v>
      </c>
      <c r="AD42" s="570" t="s">
        <v>384</v>
      </c>
      <c r="AE42" s="540">
        <v>2000</v>
      </c>
      <c r="AH42" s="585" t="s">
        <v>352</v>
      </c>
      <c r="AI42" s="464">
        <f>AI41-AI23</f>
        <v>0</v>
      </c>
    </row>
    <row r="43" spans="1:35" ht="15.75" thickBot="1" x14ac:dyDescent="0.3">
      <c r="A43" s="580" t="s">
        <v>67</v>
      </c>
      <c r="B43" s="581" t="s">
        <v>351</v>
      </c>
      <c r="C43" s="582"/>
      <c r="E43" s="580" t="s">
        <v>67</v>
      </c>
      <c r="F43" s="581" t="s">
        <v>351</v>
      </c>
      <c r="G43" s="582"/>
      <c r="I43" s="569" t="s">
        <v>152</v>
      </c>
      <c r="J43" s="570" t="s">
        <v>669</v>
      </c>
      <c r="K43" s="540">
        <f>1800-1800+11800</f>
        <v>11800</v>
      </c>
      <c r="N43" s="585" t="s">
        <v>352</v>
      </c>
      <c r="O43" s="464">
        <f>O42-O23</f>
        <v>0</v>
      </c>
      <c r="Q43" s="774" t="s">
        <v>347</v>
      </c>
      <c r="R43" s="796"/>
      <c r="S43" s="563">
        <f>SUM(S40:S42)</f>
        <v>6221</v>
      </c>
      <c r="U43" s="580" t="s">
        <v>67</v>
      </c>
      <c r="V43" s="581" t="s">
        <v>351</v>
      </c>
      <c r="W43" s="582"/>
      <c r="Y43" s="569" t="s">
        <v>107</v>
      </c>
      <c r="Z43" s="570" t="s">
        <v>527</v>
      </c>
      <c r="AA43" s="540">
        <f>7-7</f>
        <v>0</v>
      </c>
      <c r="AC43" s="569" t="s">
        <v>136</v>
      </c>
      <c r="AD43" s="570" t="s">
        <v>439</v>
      </c>
      <c r="AE43" s="540">
        <f>2406</f>
        <v>2406</v>
      </c>
    </row>
    <row r="44" spans="1:35" ht="15.75" thickBot="1" x14ac:dyDescent="0.3">
      <c r="A44" s="583" t="s">
        <v>67</v>
      </c>
      <c r="B44" s="499" t="s">
        <v>425</v>
      </c>
      <c r="C44" s="584">
        <f>2084+8938+12189</f>
        <v>23211</v>
      </c>
      <c r="E44" s="583" t="s">
        <v>67</v>
      </c>
      <c r="F44" s="499" t="s">
        <v>425</v>
      </c>
      <c r="G44" s="584">
        <v>0</v>
      </c>
      <c r="I44" s="569" t="s">
        <v>152</v>
      </c>
      <c r="J44" s="570" t="s">
        <v>665</v>
      </c>
      <c r="K44" s="540">
        <f>-700+700</f>
        <v>0</v>
      </c>
      <c r="R44" s="585" t="s">
        <v>352</v>
      </c>
      <c r="S44" s="464">
        <f>S43-S23</f>
        <v>0</v>
      </c>
      <c r="U44" s="583" t="s">
        <v>67</v>
      </c>
      <c r="V44" s="499" t="s">
        <v>451</v>
      </c>
      <c r="W44" s="584">
        <f>600+138</f>
        <v>738</v>
      </c>
      <c r="Y44" s="569" t="s">
        <v>110</v>
      </c>
      <c r="Z44" s="570" t="s">
        <v>528</v>
      </c>
      <c r="AA44" s="540">
        <f>250-250+400-400</f>
        <v>0</v>
      </c>
      <c r="AC44" s="569" t="s">
        <v>150</v>
      </c>
      <c r="AD44" s="570" t="s">
        <v>440</v>
      </c>
      <c r="AE44" s="540">
        <f>200-360+160</f>
        <v>0</v>
      </c>
      <c r="AG44" t="s">
        <v>353</v>
      </c>
    </row>
    <row r="45" spans="1:35" ht="15.75" thickBot="1" x14ac:dyDescent="0.3">
      <c r="A45" s="774" t="s">
        <v>347</v>
      </c>
      <c r="B45" s="796"/>
      <c r="C45" s="563">
        <f>SUM(C42:C44)</f>
        <v>23211</v>
      </c>
      <c r="E45" s="774" t="s">
        <v>347</v>
      </c>
      <c r="F45" s="796"/>
      <c r="G45" s="563">
        <f>SUM(G42:G44)</f>
        <v>0</v>
      </c>
      <c r="I45" s="571"/>
      <c r="J45" s="572"/>
      <c r="K45" s="573"/>
      <c r="M45" t="s">
        <v>353</v>
      </c>
      <c r="U45" s="774" t="s">
        <v>347</v>
      </c>
      <c r="V45" s="796"/>
      <c r="W45" s="563">
        <f>SUM(W42:W44)</f>
        <v>3938</v>
      </c>
      <c r="Y45" s="569" t="s">
        <v>127</v>
      </c>
      <c r="Z45" s="570" t="s">
        <v>529</v>
      </c>
      <c r="AA45" s="540">
        <f>57-57</f>
        <v>0</v>
      </c>
      <c r="AC45" s="569" t="s">
        <v>152</v>
      </c>
      <c r="AD45" s="570" t="s">
        <v>442</v>
      </c>
      <c r="AE45" s="540">
        <f>100-100</f>
        <v>0</v>
      </c>
      <c r="AG45" s="586" t="s">
        <v>426</v>
      </c>
    </row>
    <row r="46" spans="1:35" ht="15.75" thickBot="1" x14ac:dyDescent="0.3">
      <c r="B46" s="585" t="s">
        <v>352</v>
      </c>
      <c r="C46" s="464">
        <f>C45-C21</f>
        <v>0</v>
      </c>
      <c r="F46" s="585" t="s">
        <v>352</v>
      </c>
      <c r="G46" s="464">
        <f>G45-G20</f>
        <v>0</v>
      </c>
      <c r="I46" s="779" t="s">
        <v>175</v>
      </c>
      <c r="J46" s="780"/>
      <c r="K46" s="574">
        <f>SUM(K47:K47)</f>
        <v>0</v>
      </c>
      <c r="M46" s="586" t="s">
        <v>621</v>
      </c>
      <c r="Q46" t="s">
        <v>353</v>
      </c>
      <c r="V46" s="585" t="s">
        <v>352</v>
      </c>
      <c r="W46" s="464">
        <f>W45-W22</f>
        <v>0</v>
      </c>
      <c r="Y46" s="569" t="s">
        <v>127</v>
      </c>
      <c r="Z46" s="570" t="s">
        <v>447</v>
      </c>
      <c r="AA46" s="540">
        <v>5000</v>
      </c>
      <c r="AC46" s="569" t="s">
        <v>152</v>
      </c>
      <c r="AD46" s="570" t="s">
        <v>441</v>
      </c>
      <c r="AE46" s="540">
        <f>89800-89800</f>
        <v>0</v>
      </c>
    </row>
    <row r="47" spans="1:35" ht="15.75" thickBot="1" x14ac:dyDescent="0.3">
      <c r="I47" s="576"/>
      <c r="J47" s="637"/>
      <c r="K47" s="577"/>
      <c r="Q47" s="586" t="s">
        <v>589</v>
      </c>
      <c r="Y47" s="569" t="s">
        <v>131</v>
      </c>
      <c r="Z47" s="570" t="s">
        <v>527</v>
      </c>
      <c r="AA47" s="540">
        <f>20-20</f>
        <v>0</v>
      </c>
      <c r="AC47" s="569" t="s">
        <v>153</v>
      </c>
      <c r="AD47" s="570" t="s">
        <v>443</v>
      </c>
      <c r="AE47" s="540">
        <f>-20+20</f>
        <v>0</v>
      </c>
    </row>
    <row r="48" spans="1:35" ht="15.75" thickBot="1" x14ac:dyDescent="0.3">
      <c r="A48" t="s">
        <v>353</v>
      </c>
      <c r="E48" t="s">
        <v>353</v>
      </c>
      <c r="I48" s="781" t="s">
        <v>197</v>
      </c>
      <c r="J48" s="782"/>
      <c r="K48" s="545">
        <f>K49</f>
        <v>0</v>
      </c>
      <c r="U48" t="s">
        <v>353</v>
      </c>
      <c r="Y48" s="569" t="s">
        <v>136</v>
      </c>
      <c r="Z48" s="570" t="s">
        <v>530</v>
      </c>
      <c r="AA48" s="540">
        <f>450-450</f>
        <v>0</v>
      </c>
      <c r="AC48" s="569"/>
      <c r="AD48" s="570"/>
      <c r="AE48" s="540"/>
    </row>
    <row r="49" spans="1:31" ht="15.75" thickBot="1" x14ac:dyDescent="0.3">
      <c r="A49" s="586" t="s">
        <v>742</v>
      </c>
      <c r="E49" s="586" t="s">
        <v>702</v>
      </c>
      <c r="I49" s="578"/>
      <c r="J49" s="579"/>
      <c r="K49" s="552"/>
      <c r="U49" s="586" t="s">
        <v>503</v>
      </c>
      <c r="Y49" s="569" t="s">
        <v>531</v>
      </c>
      <c r="Z49" s="570" t="s">
        <v>532</v>
      </c>
      <c r="AA49" s="540">
        <f>300-300</f>
        <v>0</v>
      </c>
      <c r="AC49" s="571"/>
      <c r="AD49" s="572"/>
      <c r="AE49" s="573"/>
    </row>
    <row r="50" spans="1:31" ht="15.75" thickBot="1" x14ac:dyDescent="0.3">
      <c r="I50" s="791" t="s">
        <v>344</v>
      </c>
      <c r="J50" s="792"/>
      <c r="K50" s="556">
        <f>K33+K46+K48</f>
        <v>13602</v>
      </c>
      <c r="Y50" s="569" t="s">
        <v>149</v>
      </c>
      <c r="Z50" s="570" t="s">
        <v>533</v>
      </c>
      <c r="AA50" s="540">
        <f>30-30</f>
        <v>0</v>
      </c>
      <c r="AC50" s="779" t="s">
        <v>175</v>
      </c>
      <c r="AD50" s="780"/>
      <c r="AE50" s="574">
        <f>SUM(AE51:AE52)</f>
        <v>0</v>
      </c>
    </row>
    <row r="51" spans="1:31" x14ac:dyDescent="0.25">
      <c r="I51" s="580" t="s">
        <v>67</v>
      </c>
      <c r="J51" s="581" t="s">
        <v>351</v>
      </c>
      <c r="K51" s="582"/>
      <c r="U51" s="506"/>
      <c r="V51" s="506"/>
      <c r="W51" s="506"/>
      <c r="Y51" s="569" t="s">
        <v>150</v>
      </c>
      <c r="Z51" s="570" t="s">
        <v>534</v>
      </c>
      <c r="AA51" s="540">
        <f>10-10</f>
        <v>0</v>
      </c>
      <c r="AC51" s="641" t="s">
        <v>152</v>
      </c>
      <c r="AD51" s="575" t="s">
        <v>444</v>
      </c>
      <c r="AE51" s="640">
        <f>4999-4999</f>
        <v>0</v>
      </c>
    </row>
    <row r="52" spans="1:31" ht="15.75" thickBot="1" x14ac:dyDescent="0.3">
      <c r="I52" s="583" t="s">
        <v>67</v>
      </c>
      <c r="J52" s="499" t="s">
        <v>425</v>
      </c>
      <c r="K52" s="584">
        <v>6054</v>
      </c>
      <c r="U52" s="506"/>
      <c r="V52" s="506"/>
      <c r="W52" s="506"/>
      <c r="Y52" s="569" t="s">
        <v>152</v>
      </c>
      <c r="Z52" s="570" t="s">
        <v>535</v>
      </c>
      <c r="AA52" s="540">
        <f>1900-1900+150-150+300-300+40-40+5-5</f>
        <v>0</v>
      </c>
      <c r="AC52" s="576"/>
      <c r="AD52" s="637"/>
      <c r="AE52" s="577"/>
    </row>
    <row r="53" spans="1:31" ht="15.75" thickBot="1" x14ac:dyDescent="0.3">
      <c r="I53" s="774" t="s">
        <v>347</v>
      </c>
      <c r="J53" s="796"/>
      <c r="K53" s="563">
        <f>SUM(K50:K52)</f>
        <v>19656</v>
      </c>
      <c r="U53" s="506"/>
      <c r="V53" s="506"/>
      <c r="W53" s="506"/>
      <c r="Y53" s="569" t="s">
        <v>155</v>
      </c>
      <c r="Z53" s="570" t="s">
        <v>536</v>
      </c>
      <c r="AA53" s="540">
        <f>40-40</f>
        <v>0</v>
      </c>
      <c r="AC53" s="781" t="s">
        <v>197</v>
      </c>
      <c r="AD53" s="782"/>
      <c r="AE53" s="545">
        <f>AE54</f>
        <v>0</v>
      </c>
    </row>
    <row r="54" spans="1:31" ht="15.75" thickBot="1" x14ac:dyDescent="0.3">
      <c r="J54" s="585" t="s">
        <v>352</v>
      </c>
      <c r="K54" s="464">
        <f>K53-K29</f>
        <v>0</v>
      </c>
      <c r="U54" s="506"/>
      <c r="V54" s="506"/>
      <c r="W54" s="506"/>
      <c r="Y54" s="569" t="s">
        <v>148</v>
      </c>
      <c r="Z54" s="570" t="s">
        <v>409</v>
      </c>
      <c r="AA54" s="540">
        <f>2155+580</f>
        <v>2735</v>
      </c>
      <c r="AC54" s="578"/>
      <c r="AD54" s="579"/>
      <c r="AE54" s="552"/>
    </row>
    <row r="55" spans="1:31" ht="15.75" thickBot="1" x14ac:dyDescent="0.3">
      <c r="Y55" s="571"/>
      <c r="Z55" s="572"/>
      <c r="AA55" s="573"/>
      <c r="AC55" s="791" t="s">
        <v>344</v>
      </c>
      <c r="AD55" s="792"/>
      <c r="AE55" s="556">
        <f>AE37+AE50+AE53</f>
        <v>0</v>
      </c>
    </row>
    <row r="56" spans="1:31" ht="15.75" thickBot="1" x14ac:dyDescent="0.3">
      <c r="I56" t="s">
        <v>353</v>
      </c>
      <c r="Y56" s="779" t="s">
        <v>175</v>
      </c>
      <c r="Z56" s="780"/>
      <c r="AA56" s="574">
        <f>SUM(AA57:AA57)</f>
        <v>0</v>
      </c>
      <c r="AC56" s="580" t="s">
        <v>67</v>
      </c>
      <c r="AD56" s="581" t="s">
        <v>351</v>
      </c>
      <c r="AE56" s="582"/>
    </row>
    <row r="57" spans="1:31" ht="15.75" thickBot="1" x14ac:dyDescent="0.3">
      <c r="I57" s="586" t="s">
        <v>697</v>
      </c>
      <c r="Y57" s="576"/>
      <c r="Z57" s="637"/>
      <c r="AA57" s="577"/>
      <c r="AC57" s="583" t="s">
        <v>67</v>
      </c>
      <c r="AD57" s="499" t="s">
        <v>425</v>
      </c>
      <c r="AE57" s="584">
        <v>21819</v>
      </c>
    </row>
    <row r="58" spans="1:31" ht="15.75" thickBot="1" x14ac:dyDescent="0.3">
      <c r="Y58" s="781" t="s">
        <v>197</v>
      </c>
      <c r="Z58" s="782"/>
      <c r="AA58" s="545">
        <f>AA59</f>
        <v>0</v>
      </c>
      <c r="AC58" s="774" t="s">
        <v>347</v>
      </c>
      <c r="AD58" s="796"/>
      <c r="AE58" s="563">
        <f>SUM(AH55:AH57)</f>
        <v>0</v>
      </c>
    </row>
    <row r="59" spans="1:31" ht="15.75" thickBot="1" x14ac:dyDescent="0.3">
      <c r="Y59" s="578"/>
      <c r="Z59" s="579"/>
      <c r="AA59" s="552"/>
      <c r="AD59" s="585" t="s">
        <v>352</v>
      </c>
      <c r="AE59" s="464">
        <f>AE58-AE33</f>
        <v>-26230</v>
      </c>
    </row>
    <row r="60" spans="1:31" ht="15.75" thickBot="1" x14ac:dyDescent="0.3">
      <c r="Y60" s="791" t="s">
        <v>344</v>
      </c>
      <c r="Z60" s="792"/>
      <c r="AA60" s="556">
        <f>AA30+AA56+AA58</f>
        <v>7735</v>
      </c>
    </row>
    <row r="61" spans="1:31" x14ac:dyDescent="0.25">
      <c r="Y61" s="580" t="s">
        <v>67</v>
      </c>
      <c r="Z61" s="581" t="s">
        <v>351</v>
      </c>
      <c r="AA61" s="582"/>
      <c r="AC61" t="s">
        <v>353</v>
      </c>
    </row>
    <row r="62" spans="1:31" ht="15.75" thickBot="1" x14ac:dyDescent="0.3">
      <c r="Y62" s="583" t="s">
        <v>67</v>
      </c>
      <c r="Z62" s="499" t="s">
        <v>425</v>
      </c>
      <c r="AA62" s="584">
        <v>1400</v>
      </c>
      <c r="AC62" s="586" t="s">
        <v>445</v>
      </c>
    </row>
    <row r="63" spans="1:31" ht="15.75" thickBot="1" x14ac:dyDescent="0.3">
      <c r="Y63" s="774" t="s">
        <v>347</v>
      </c>
      <c r="Z63" s="796"/>
      <c r="AA63" s="563">
        <f>SUM(AA60:AA62)</f>
        <v>9135</v>
      </c>
    </row>
    <row r="64" spans="1:31" x14ac:dyDescent="0.25">
      <c r="Z64" s="585" t="s">
        <v>352</v>
      </c>
      <c r="AA64" s="464">
        <f>AA63-AA26</f>
        <v>0</v>
      </c>
    </row>
    <row r="66" spans="25:25" x14ac:dyDescent="0.25">
      <c r="Y66" t="s">
        <v>353</v>
      </c>
    </row>
    <row r="67" spans="25:25" x14ac:dyDescent="0.25">
      <c r="Y67" s="586" t="s">
        <v>448</v>
      </c>
    </row>
  </sheetData>
  <sortState ref="E25:G36">
    <sortCondition ref="E25"/>
  </sortState>
  <mergeCells count="153">
    <mergeCell ref="A45:B45"/>
    <mergeCell ref="E17:F17"/>
    <mergeCell ref="E20:F20"/>
    <mergeCell ref="E22:G22"/>
    <mergeCell ref="E24:F24"/>
    <mergeCell ref="E38:F38"/>
    <mergeCell ref="E40:F40"/>
    <mergeCell ref="E42:F42"/>
    <mergeCell ref="E45:F45"/>
    <mergeCell ref="A18:B18"/>
    <mergeCell ref="A21:B21"/>
    <mergeCell ref="A23:C23"/>
    <mergeCell ref="A25:B25"/>
    <mergeCell ref="A38:B38"/>
    <mergeCell ref="A40:B40"/>
    <mergeCell ref="A42:B42"/>
    <mergeCell ref="A1:C1"/>
    <mergeCell ref="A2:C2"/>
    <mergeCell ref="A3:C3"/>
    <mergeCell ref="A5:C5"/>
    <mergeCell ref="A7:B7"/>
    <mergeCell ref="A10:C10"/>
    <mergeCell ref="A11:B11"/>
    <mergeCell ref="A14:C14"/>
    <mergeCell ref="A15:B15"/>
    <mergeCell ref="E1:G1"/>
    <mergeCell ref="E2:G2"/>
    <mergeCell ref="E3:G3"/>
    <mergeCell ref="E5:G5"/>
    <mergeCell ref="E7:F7"/>
    <mergeCell ref="E9:G9"/>
    <mergeCell ref="E10:F10"/>
    <mergeCell ref="E13:G13"/>
    <mergeCell ref="E14:F14"/>
    <mergeCell ref="U45:V45"/>
    <mergeCell ref="U22:V22"/>
    <mergeCell ref="U24:W24"/>
    <mergeCell ref="U26:V26"/>
    <mergeCell ref="U37:V37"/>
    <mergeCell ref="U40:V40"/>
    <mergeCell ref="U42:V42"/>
    <mergeCell ref="U1:W1"/>
    <mergeCell ref="U2:W2"/>
    <mergeCell ref="U3:W3"/>
    <mergeCell ref="U5:W5"/>
    <mergeCell ref="U7:V7"/>
    <mergeCell ref="U19:V19"/>
    <mergeCell ref="Y12:AA12"/>
    <mergeCell ref="Y13:Z13"/>
    <mergeCell ref="Y17:AA17"/>
    <mergeCell ref="Y18:Z18"/>
    <mergeCell ref="U12:W12"/>
    <mergeCell ref="U13:V13"/>
    <mergeCell ref="U15:W15"/>
    <mergeCell ref="U16:V16"/>
    <mergeCell ref="Y1:AA1"/>
    <mergeCell ref="Y2:AA2"/>
    <mergeCell ref="Y3:AA3"/>
    <mergeCell ref="Y5:AA5"/>
    <mergeCell ref="Y7:Z7"/>
    <mergeCell ref="Y60:Z60"/>
    <mergeCell ref="Y63:Z63"/>
    <mergeCell ref="Y26:Z26"/>
    <mergeCell ref="Y28:AA28"/>
    <mergeCell ref="Y30:Z30"/>
    <mergeCell ref="Y56:Z56"/>
    <mergeCell ref="Y58:Z58"/>
    <mergeCell ref="Y23:Z23"/>
    <mergeCell ref="AC58:AD58"/>
    <mergeCell ref="AG38:AH38"/>
    <mergeCell ref="AG41:AH41"/>
    <mergeCell ref="AG36:AH36"/>
    <mergeCell ref="AG20:AH20"/>
    <mergeCell ref="AG23:AH23"/>
    <mergeCell ref="AG25:AI25"/>
    <mergeCell ref="AG27:AH27"/>
    <mergeCell ref="AG34:AH34"/>
    <mergeCell ref="AG1:AI1"/>
    <mergeCell ref="AG2:AI2"/>
    <mergeCell ref="AG3:AI3"/>
    <mergeCell ref="AG5:AI5"/>
    <mergeCell ref="AG7:AH7"/>
    <mergeCell ref="AG11:AI11"/>
    <mergeCell ref="AG12:AH12"/>
    <mergeCell ref="AG14:AI14"/>
    <mergeCell ref="AG15:AH15"/>
    <mergeCell ref="AC1:AE1"/>
    <mergeCell ref="AC55:AD55"/>
    <mergeCell ref="AC35:AE35"/>
    <mergeCell ref="AC37:AD37"/>
    <mergeCell ref="AC50:AD50"/>
    <mergeCell ref="AC53:AD53"/>
    <mergeCell ref="AC18:AE18"/>
    <mergeCell ref="AC33:AD33"/>
    <mergeCell ref="AC19:AD19"/>
    <mergeCell ref="AC24:AE24"/>
    <mergeCell ref="AC25:AD25"/>
    <mergeCell ref="AC30:AD30"/>
    <mergeCell ref="AC2:AE2"/>
    <mergeCell ref="AC3:AE3"/>
    <mergeCell ref="AC5:AE5"/>
    <mergeCell ref="AC7:AD7"/>
    <mergeCell ref="M1:O1"/>
    <mergeCell ref="M2:O2"/>
    <mergeCell ref="M3:O3"/>
    <mergeCell ref="M5:O5"/>
    <mergeCell ref="M7:N7"/>
    <mergeCell ref="Q40:R40"/>
    <mergeCell ref="Q43:R43"/>
    <mergeCell ref="Q23:R23"/>
    <mergeCell ref="Q25:S25"/>
    <mergeCell ref="Q27:R27"/>
    <mergeCell ref="Q36:R36"/>
    <mergeCell ref="Q38:R38"/>
    <mergeCell ref="Q12:S12"/>
    <mergeCell ref="Q13:R13"/>
    <mergeCell ref="Q16:S16"/>
    <mergeCell ref="Q17:R17"/>
    <mergeCell ref="Q20:R20"/>
    <mergeCell ref="Q1:S1"/>
    <mergeCell ref="Q2:S2"/>
    <mergeCell ref="Q3:S3"/>
    <mergeCell ref="Q5:S5"/>
    <mergeCell ref="Q7:R7"/>
    <mergeCell ref="M39:N39"/>
    <mergeCell ref="M42:N42"/>
    <mergeCell ref="M23:N23"/>
    <mergeCell ref="M25:O25"/>
    <mergeCell ref="M27:N27"/>
    <mergeCell ref="M35:N35"/>
    <mergeCell ref="M37:N37"/>
    <mergeCell ref="M12:O12"/>
    <mergeCell ref="M13:N13"/>
    <mergeCell ref="M16:O16"/>
    <mergeCell ref="M17:N17"/>
    <mergeCell ref="M20:N20"/>
    <mergeCell ref="I26:J26"/>
    <mergeCell ref="I29:J29"/>
    <mergeCell ref="I31:K31"/>
    <mergeCell ref="I33:J33"/>
    <mergeCell ref="I46:J46"/>
    <mergeCell ref="I48:J48"/>
    <mergeCell ref="I50:J50"/>
    <mergeCell ref="I53:J53"/>
    <mergeCell ref="I1:K1"/>
    <mergeCell ref="I2:K2"/>
    <mergeCell ref="I3:K3"/>
    <mergeCell ref="I5:K5"/>
    <mergeCell ref="I7:J7"/>
    <mergeCell ref="I18:K18"/>
    <mergeCell ref="I19:J19"/>
    <mergeCell ref="I22:K22"/>
    <mergeCell ref="I23:J23"/>
  </mergeCells>
  <pageMargins left="0.7" right="0.7" top="0.75" bottom="0.75" header="0.3" footer="0.3"/>
  <pageSetup paperSize="9" scale="1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zoomScale="86" zoomScaleNormal="86" workbookViewId="0">
      <selection sqref="A1:H1"/>
    </sheetView>
  </sheetViews>
  <sheetFormatPr defaultRowHeight="15" x14ac:dyDescent="0.25"/>
  <cols>
    <col min="2" max="2" width="54.5703125" customWidth="1"/>
    <col min="3" max="3" width="11.85546875" customWidth="1"/>
    <col min="4" max="4" width="12" customWidth="1"/>
    <col min="5" max="5" width="10.85546875" customWidth="1"/>
    <col min="6" max="7" width="10.42578125" customWidth="1"/>
    <col min="8" max="8" width="10.28515625" customWidth="1"/>
    <col min="9" max="9" width="12.5703125" customWidth="1"/>
    <col min="11" max="11" width="12" customWidth="1"/>
    <col min="12" max="12" width="63.42578125" customWidth="1"/>
    <col min="13" max="13" width="14.5703125" customWidth="1"/>
    <col min="14" max="14" width="24.7109375" customWidth="1"/>
  </cols>
  <sheetData>
    <row r="1" spans="1:14" ht="18" x14ac:dyDescent="0.25">
      <c r="A1" s="799" t="s">
        <v>370</v>
      </c>
      <c r="B1" s="799"/>
      <c r="C1" s="799"/>
      <c r="D1" s="799"/>
      <c r="E1" s="799"/>
      <c r="F1" s="799"/>
      <c r="G1" s="799"/>
      <c r="H1" s="799"/>
    </row>
    <row r="2" spans="1:14" ht="15.75" thickBot="1" x14ac:dyDescent="0.3">
      <c r="A2" s="467"/>
      <c r="B2" s="467"/>
      <c r="C2" s="467"/>
      <c r="D2" s="467"/>
      <c r="E2" s="467"/>
      <c r="F2" s="467"/>
      <c r="G2" s="467"/>
      <c r="H2" s="467"/>
      <c r="I2" s="467"/>
    </row>
    <row r="3" spans="1:14" ht="60.75" thickBot="1" x14ac:dyDescent="0.3">
      <c r="A3" s="468" t="s">
        <v>284</v>
      </c>
      <c r="B3" s="468" t="s">
        <v>285</v>
      </c>
      <c r="C3" s="469" t="s">
        <v>286</v>
      </c>
      <c r="D3" s="469" t="s">
        <v>321</v>
      </c>
      <c r="E3" s="469" t="s">
        <v>316</v>
      </c>
      <c r="F3" s="469" t="s">
        <v>287</v>
      </c>
      <c r="G3" s="469" t="s">
        <v>314</v>
      </c>
      <c r="H3" s="470" t="s">
        <v>288</v>
      </c>
      <c r="I3" s="471" t="s">
        <v>289</v>
      </c>
      <c r="L3" s="800" t="s">
        <v>290</v>
      </c>
      <c r="M3" s="801"/>
      <c r="N3" s="802"/>
    </row>
    <row r="4" spans="1:14" ht="16.5" thickBot="1" x14ac:dyDescent="0.3">
      <c r="A4" s="472" t="s">
        <v>96</v>
      </c>
      <c r="B4" s="473" t="s">
        <v>186</v>
      </c>
      <c r="C4" s="287">
        <v>1500</v>
      </c>
      <c r="D4" s="287"/>
      <c r="E4" s="287"/>
      <c r="F4" s="287">
        <v>1500</v>
      </c>
      <c r="G4" s="287"/>
      <c r="H4" s="287"/>
      <c r="I4" s="474">
        <f t="shared" ref="I4:I9" si="0">SUM(D4:H4)</f>
        <v>1500</v>
      </c>
      <c r="J4" s="475">
        <f t="shared" ref="J4:J9" si="1">C4-I4</f>
        <v>0</v>
      </c>
      <c r="L4" s="476" t="s">
        <v>291</v>
      </c>
      <c r="M4" s="477" t="s">
        <v>292</v>
      </c>
      <c r="N4" s="478" t="s">
        <v>293</v>
      </c>
    </row>
    <row r="5" spans="1:14" ht="16.5" thickBot="1" x14ac:dyDescent="0.3">
      <c r="A5" s="479" t="s">
        <v>98</v>
      </c>
      <c r="B5" s="480" t="s">
        <v>245</v>
      </c>
      <c r="C5" s="290">
        <f>10200+10400</f>
        <v>20600</v>
      </c>
      <c r="D5" s="290"/>
      <c r="E5" s="290"/>
      <c r="F5" s="290">
        <f>10200+10400</f>
        <v>20600</v>
      </c>
      <c r="G5" s="290"/>
      <c r="H5" s="290"/>
      <c r="I5" s="474">
        <f t="shared" si="0"/>
        <v>20600</v>
      </c>
      <c r="J5" s="475">
        <f t="shared" si="1"/>
        <v>0</v>
      </c>
      <c r="L5" s="481" t="s">
        <v>568</v>
      </c>
      <c r="M5" s="482">
        <v>500</v>
      </c>
      <c r="N5" s="850"/>
    </row>
    <row r="6" spans="1:14" ht="15.75" x14ac:dyDescent="0.25">
      <c r="A6" s="484" t="s">
        <v>101</v>
      </c>
      <c r="B6" s="700" t="s">
        <v>246</v>
      </c>
      <c r="C6" s="701">
        <v>0</v>
      </c>
      <c r="D6" s="278"/>
      <c r="E6" s="278"/>
      <c r="F6" s="278">
        <v>0</v>
      </c>
      <c r="G6" s="278"/>
      <c r="H6" s="278"/>
      <c r="I6" s="485">
        <f t="shared" si="0"/>
        <v>0</v>
      </c>
      <c r="J6" s="475">
        <f t="shared" si="1"/>
        <v>0</v>
      </c>
      <c r="L6" s="486" t="s">
        <v>322</v>
      </c>
      <c r="M6" s="482">
        <v>1000</v>
      </c>
      <c r="N6" s="850"/>
    </row>
    <row r="7" spans="1:14" ht="16.5" thickBot="1" x14ac:dyDescent="0.3">
      <c r="A7" s="489" t="s">
        <v>103</v>
      </c>
      <c r="B7" s="702" t="s">
        <v>294</v>
      </c>
      <c r="C7" s="284">
        <f>325000</f>
        <v>325000</v>
      </c>
      <c r="D7" s="284">
        <v>300000</v>
      </c>
      <c r="E7" s="284"/>
      <c r="F7" s="284">
        <f>25000</f>
        <v>25000</v>
      </c>
      <c r="G7" s="490"/>
      <c r="H7" s="490"/>
      <c r="I7" s="491">
        <f t="shared" si="0"/>
        <v>325000</v>
      </c>
      <c r="J7" s="475">
        <f t="shared" si="1"/>
        <v>0</v>
      </c>
      <c r="L7" s="481" t="s">
        <v>312</v>
      </c>
      <c r="M7" s="482">
        <f>6000-1200</f>
        <v>4800</v>
      </c>
      <c r="N7" s="850"/>
    </row>
    <row r="8" spans="1:14" ht="15.75" x14ac:dyDescent="0.25">
      <c r="A8" s="488" t="s">
        <v>190</v>
      </c>
      <c r="B8" s="715" t="s">
        <v>191</v>
      </c>
      <c r="C8" s="290">
        <f>43000-18000</f>
        <v>25000</v>
      </c>
      <c r="D8" s="290"/>
      <c r="E8" s="716">
        <f>3000-3000</f>
        <v>0</v>
      </c>
      <c r="F8" s="716">
        <f>40000-18000+3000</f>
        <v>25000</v>
      </c>
      <c r="G8" s="290"/>
      <c r="H8" s="290"/>
      <c r="I8" s="474">
        <f t="shared" si="0"/>
        <v>25000</v>
      </c>
      <c r="J8" s="475">
        <f t="shared" si="1"/>
        <v>0</v>
      </c>
      <c r="L8" s="481" t="s">
        <v>581</v>
      </c>
      <c r="M8" s="482">
        <f>1500+1200</f>
        <v>2700</v>
      </c>
      <c r="N8" s="850" t="s">
        <v>744</v>
      </c>
    </row>
    <row r="9" spans="1:14" ht="15.75" x14ac:dyDescent="0.25">
      <c r="A9" s="494" t="s">
        <v>190</v>
      </c>
      <c r="B9" s="855" t="s">
        <v>297</v>
      </c>
      <c r="C9" s="466">
        <f>29000+1490+500</f>
        <v>30990</v>
      </c>
      <c r="D9" s="466"/>
      <c r="E9" s="636">
        <f>1490+1310</f>
        <v>2800</v>
      </c>
      <c r="F9" s="636">
        <f>29000+500-1310</f>
        <v>28190</v>
      </c>
      <c r="G9" s="466"/>
      <c r="H9" s="466"/>
      <c r="I9" s="487">
        <f t="shared" si="0"/>
        <v>30990</v>
      </c>
      <c r="J9" s="475">
        <f t="shared" si="1"/>
        <v>0</v>
      </c>
      <c r="L9" s="486" t="s">
        <v>583</v>
      </c>
      <c r="M9" s="482">
        <v>5000</v>
      </c>
      <c r="N9" s="850"/>
    </row>
    <row r="10" spans="1:14" ht="15.75" x14ac:dyDescent="0.25">
      <c r="A10" s="479" t="s">
        <v>110</v>
      </c>
      <c r="B10" s="703" t="s">
        <v>230</v>
      </c>
      <c r="C10" s="281">
        <f>15800-500</f>
        <v>15300</v>
      </c>
      <c r="D10" s="281">
        <v>15000</v>
      </c>
      <c r="E10" s="281"/>
      <c r="F10" s="281">
        <f>800-500</f>
        <v>300</v>
      </c>
      <c r="G10" s="281"/>
      <c r="H10" s="281"/>
      <c r="I10" s="487">
        <f>SUM(D10:H10)</f>
        <v>15300</v>
      </c>
      <c r="J10" s="475">
        <f>C10-I10</f>
        <v>0</v>
      </c>
      <c r="L10" s="481" t="s">
        <v>689</v>
      </c>
      <c r="M10" s="492">
        <v>5000</v>
      </c>
      <c r="N10" s="851"/>
    </row>
    <row r="11" spans="1:14" ht="16.5" thickBot="1" x14ac:dyDescent="0.3">
      <c r="A11" s="751" t="s">
        <v>110</v>
      </c>
      <c r="B11" s="766" t="s">
        <v>239</v>
      </c>
      <c r="C11" s="285">
        <v>30000</v>
      </c>
      <c r="D11" s="285"/>
      <c r="E11" s="767">
        <v>7190</v>
      </c>
      <c r="F11" s="767">
        <f>30000-7190</f>
        <v>22810</v>
      </c>
      <c r="G11" s="285"/>
      <c r="H11" s="285"/>
      <c r="I11" s="704">
        <f t="shared" ref="I11" si="2">SUM(D11:H11)</f>
        <v>30000</v>
      </c>
      <c r="J11" s="753">
        <f t="shared" ref="J11:J14" si="3">C11-I11</f>
        <v>0</v>
      </c>
      <c r="L11" s="481" t="s">
        <v>296</v>
      </c>
      <c r="M11" s="482">
        <v>2000</v>
      </c>
      <c r="N11" s="850"/>
    </row>
    <row r="12" spans="1:14" ht="15.75" x14ac:dyDescent="0.25">
      <c r="A12" s="472" t="s">
        <v>125</v>
      </c>
      <c r="B12" s="613" t="s">
        <v>192</v>
      </c>
      <c r="C12" s="287">
        <v>2500</v>
      </c>
      <c r="D12" s="287"/>
      <c r="E12" s="614">
        <f>2500-2500</f>
        <v>0</v>
      </c>
      <c r="F12" s="614">
        <v>2500</v>
      </c>
      <c r="G12" s="287"/>
      <c r="H12" s="287"/>
      <c r="I12" s="474">
        <f t="shared" ref="I12:I14" si="4">SUM(D12:H12)</f>
        <v>2500</v>
      </c>
      <c r="J12" s="475">
        <f t="shared" si="3"/>
        <v>0</v>
      </c>
      <c r="L12" s="481" t="s">
        <v>299</v>
      </c>
      <c r="M12" s="492">
        <v>3000</v>
      </c>
      <c r="N12" s="851"/>
    </row>
    <row r="13" spans="1:14" ht="15.75" x14ac:dyDescent="0.25">
      <c r="A13" s="496" t="s">
        <v>125</v>
      </c>
      <c r="B13" s="498" t="s">
        <v>301</v>
      </c>
      <c r="C13" s="293">
        <v>21000</v>
      </c>
      <c r="D13" s="293">
        <v>19000</v>
      </c>
      <c r="E13" s="293"/>
      <c r="F13" s="293">
        <f>2000</f>
        <v>2000</v>
      </c>
      <c r="G13" s="293"/>
      <c r="H13" s="281"/>
      <c r="I13" s="487">
        <f t="shared" si="4"/>
        <v>21000</v>
      </c>
      <c r="J13" s="475">
        <f t="shared" si="3"/>
        <v>0</v>
      </c>
      <c r="L13" s="486" t="s">
        <v>313</v>
      </c>
      <c r="M13" s="492">
        <v>200</v>
      </c>
      <c r="N13" s="854">
        <v>66</v>
      </c>
    </row>
    <row r="14" spans="1:14" ht="15.75" x14ac:dyDescent="0.25">
      <c r="A14" s="496" t="s">
        <v>125</v>
      </c>
      <c r="B14" s="498" t="s">
        <v>303</v>
      </c>
      <c r="C14" s="293">
        <v>8000</v>
      </c>
      <c r="D14" s="293"/>
      <c r="E14" s="293"/>
      <c r="F14" s="293">
        <f>8000</f>
        <v>8000</v>
      </c>
      <c r="G14" s="293"/>
      <c r="H14" s="281"/>
      <c r="I14" s="487">
        <f t="shared" si="4"/>
        <v>8000</v>
      </c>
      <c r="J14" s="475">
        <f t="shared" si="3"/>
        <v>0</v>
      </c>
      <c r="L14" s="486" t="s">
        <v>302</v>
      </c>
      <c r="M14" s="492">
        <f>2500</f>
        <v>2500</v>
      </c>
      <c r="N14" s="852"/>
    </row>
    <row r="15" spans="1:14" ht="15.75" x14ac:dyDescent="0.25">
      <c r="A15" s="479" t="s">
        <v>127</v>
      </c>
      <c r="B15" s="294" t="s">
        <v>306</v>
      </c>
      <c r="C15" s="281">
        <f>200000</f>
        <v>200000</v>
      </c>
      <c r="D15" s="281"/>
      <c r="E15" s="281"/>
      <c r="F15" s="281">
        <f>200000</f>
        <v>200000</v>
      </c>
      <c r="G15" s="281"/>
      <c r="H15" s="281"/>
      <c r="I15" s="487">
        <f>SUM(D15:H15)</f>
        <v>200000</v>
      </c>
      <c r="J15" s="475">
        <f>C15-I15</f>
        <v>0</v>
      </c>
      <c r="L15" s="733" t="s">
        <v>493</v>
      </c>
      <c r="M15" s="734">
        <v>2300</v>
      </c>
      <c r="N15" s="735" t="s">
        <v>745</v>
      </c>
    </row>
    <row r="16" spans="1:14" ht="16.5" thickBot="1" x14ac:dyDescent="0.3">
      <c r="A16" s="496" t="s">
        <v>127</v>
      </c>
      <c r="B16" s="498" t="s">
        <v>238</v>
      </c>
      <c r="C16" s="293">
        <f>100000+886</f>
        <v>100886</v>
      </c>
      <c r="D16" s="293"/>
      <c r="E16" s="293">
        <f>5000+886</f>
        <v>5886</v>
      </c>
      <c r="F16" s="281">
        <v>95000</v>
      </c>
      <c r="G16" s="281"/>
      <c r="H16" s="281"/>
      <c r="I16" s="487">
        <f t="shared" ref="I16:I18" si="5">SUM(D16:H16)</f>
        <v>100886</v>
      </c>
      <c r="J16" s="475">
        <f t="shared" ref="J16:J22" si="6">C16-I16</f>
        <v>0</v>
      </c>
      <c r="L16" s="733" t="s">
        <v>569</v>
      </c>
      <c r="M16" s="734">
        <v>1490</v>
      </c>
      <c r="N16" s="735"/>
    </row>
    <row r="17" spans="1:14" ht="16.5" thickBot="1" x14ac:dyDescent="0.3">
      <c r="A17" s="516" t="s">
        <v>136</v>
      </c>
      <c r="B17" s="517" t="s">
        <v>647</v>
      </c>
      <c r="C17" s="411">
        <v>381000</v>
      </c>
      <c r="D17" s="411">
        <v>355220</v>
      </c>
      <c r="E17" s="411"/>
      <c r="F17" s="411">
        <v>25780</v>
      </c>
      <c r="G17" s="411"/>
      <c r="H17" s="411"/>
      <c r="I17" s="518">
        <f t="shared" si="5"/>
        <v>381000</v>
      </c>
      <c r="J17" s="475">
        <f t="shared" si="6"/>
        <v>0</v>
      </c>
      <c r="L17" s="733" t="s">
        <v>603</v>
      </c>
      <c r="M17" s="734">
        <v>500</v>
      </c>
      <c r="N17" s="735"/>
    </row>
    <row r="18" spans="1:14" ht="16.5" thickBot="1" x14ac:dyDescent="0.3">
      <c r="A18" s="472" t="s">
        <v>152</v>
      </c>
      <c r="B18" s="499" t="s">
        <v>498</v>
      </c>
      <c r="C18" s="287">
        <f>92800+18000+2500</f>
        <v>113300</v>
      </c>
      <c r="D18" s="287">
        <f>166800-89300+2500</f>
        <v>80000</v>
      </c>
      <c r="E18" s="287"/>
      <c r="F18" s="287">
        <f>15300+18000</f>
        <v>33300</v>
      </c>
      <c r="G18" s="287"/>
      <c r="H18" s="287"/>
      <c r="I18" s="474">
        <f t="shared" si="5"/>
        <v>113300</v>
      </c>
      <c r="J18" s="475">
        <f t="shared" si="6"/>
        <v>0</v>
      </c>
      <c r="L18" s="510" t="s">
        <v>304</v>
      </c>
      <c r="M18" s="511">
        <f>200-200</f>
        <v>0</v>
      </c>
      <c r="N18" s="853"/>
    </row>
    <row r="19" spans="1:14" ht="16.5" thickBot="1" x14ac:dyDescent="0.3">
      <c r="A19" s="803" t="s">
        <v>308</v>
      </c>
      <c r="B19" s="804"/>
      <c r="C19" s="500">
        <f t="shared" ref="C19:I19" si="7">SUM(C4:C18)</f>
        <v>1275076</v>
      </c>
      <c r="D19" s="500">
        <f t="shared" si="7"/>
        <v>769220</v>
      </c>
      <c r="E19" s="500">
        <f t="shared" si="7"/>
        <v>15876</v>
      </c>
      <c r="F19" s="500">
        <f t="shared" si="7"/>
        <v>489980</v>
      </c>
      <c r="G19" s="500">
        <f t="shared" si="7"/>
        <v>0</v>
      </c>
      <c r="H19" s="500">
        <f t="shared" si="7"/>
        <v>0</v>
      </c>
      <c r="I19" s="518">
        <f t="shared" si="7"/>
        <v>1275076</v>
      </c>
      <c r="J19" s="475">
        <f t="shared" si="6"/>
        <v>0</v>
      </c>
      <c r="L19" s="513" t="s">
        <v>305</v>
      </c>
      <c r="M19" s="514">
        <f>SUM(M5:M18)</f>
        <v>30990</v>
      </c>
      <c r="N19" s="515"/>
    </row>
    <row r="20" spans="1:14" ht="17.25" customHeight="1" thickBot="1" x14ac:dyDescent="0.3">
      <c r="A20" s="472"/>
      <c r="B20" s="706"/>
      <c r="C20" s="707"/>
      <c r="D20" s="287"/>
      <c r="E20" s="287"/>
      <c r="F20" s="708"/>
      <c r="G20" s="708"/>
      <c r="H20" s="287"/>
      <c r="I20" s="474">
        <f>SUM(D20:H20)</f>
        <v>0</v>
      </c>
      <c r="J20" s="475">
        <f t="shared" si="6"/>
        <v>0</v>
      </c>
    </row>
    <row r="21" spans="1:14" ht="15.75" thickBot="1" x14ac:dyDescent="0.3">
      <c r="A21" s="803" t="s">
        <v>471</v>
      </c>
      <c r="B21" s="804"/>
      <c r="C21" s="500">
        <f>SUM(C20:C20)</f>
        <v>0</v>
      </c>
      <c r="D21" s="500">
        <f t="shared" ref="D21:H21" si="8">SUM(D20:D20)</f>
        <v>0</v>
      </c>
      <c r="E21" s="500">
        <f t="shared" si="8"/>
        <v>0</v>
      </c>
      <c r="F21" s="500">
        <f t="shared" si="8"/>
        <v>0</v>
      </c>
      <c r="G21" s="500">
        <f t="shared" si="8"/>
        <v>0</v>
      </c>
      <c r="H21" s="500">
        <f t="shared" si="8"/>
        <v>0</v>
      </c>
      <c r="I21" s="518">
        <f>SUM(I20:I20)</f>
        <v>0</v>
      </c>
      <c r="J21" s="475">
        <f t="shared" si="6"/>
        <v>0</v>
      </c>
    </row>
    <row r="22" spans="1:14" ht="15.75" thickBot="1" x14ac:dyDescent="0.3">
      <c r="A22" s="803" t="s">
        <v>472</v>
      </c>
      <c r="B22" s="804"/>
      <c r="C22" s="500">
        <f>C19+C21</f>
        <v>1275076</v>
      </c>
      <c r="D22" s="500">
        <f t="shared" ref="D22:H22" si="9">D19+D21</f>
        <v>769220</v>
      </c>
      <c r="E22" s="500">
        <f t="shared" si="9"/>
        <v>15876</v>
      </c>
      <c r="F22" s="500">
        <f t="shared" si="9"/>
        <v>489980</v>
      </c>
      <c r="G22" s="500">
        <f t="shared" si="9"/>
        <v>0</v>
      </c>
      <c r="H22" s="500">
        <f t="shared" si="9"/>
        <v>0</v>
      </c>
      <c r="I22" s="518">
        <f>I19+I21</f>
        <v>1275076</v>
      </c>
      <c r="J22" s="475">
        <f t="shared" si="6"/>
        <v>0</v>
      </c>
    </row>
    <row r="23" spans="1:14" x14ac:dyDescent="0.25">
      <c r="A23" s="502"/>
      <c r="B23" s="502"/>
      <c r="C23" s="503"/>
      <c r="D23" s="504"/>
      <c r="E23" s="709">
        <f>D19+E19</f>
        <v>785096</v>
      </c>
      <c r="F23" s="504"/>
      <c r="G23" s="504"/>
      <c r="H23" s="710"/>
      <c r="I23" s="505"/>
      <c r="J23" s="506"/>
    </row>
    <row r="24" spans="1:14" x14ac:dyDescent="0.25">
      <c r="A24" s="467"/>
      <c r="C24" s="467"/>
      <c r="D24" s="467"/>
      <c r="E24" s="464">
        <f>E22-E16</f>
        <v>9990</v>
      </c>
      <c r="F24" s="712">
        <v>489980</v>
      </c>
      <c r="G24" s="712"/>
      <c r="H24" s="467"/>
      <c r="I24" s="467"/>
    </row>
    <row r="25" spans="1:14" x14ac:dyDescent="0.25">
      <c r="A25" s="467"/>
      <c r="C25" s="467"/>
      <c r="D25" s="507"/>
      <c r="E25" s="508"/>
      <c r="F25" s="713"/>
      <c r="G25" s="713"/>
      <c r="H25" s="467"/>
      <c r="I25" s="467"/>
    </row>
    <row r="26" spans="1:14" x14ac:dyDescent="0.25">
      <c r="A26" s="467"/>
      <c r="B26" s="509"/>
      <c r="C26" s="467"/>
      <c r="D26" s="467"/>
      <c r="E26" s="467"/>
      <c r="F26" s="467"/>
      <c r="G26" s="467"/>
      <c r="H26" s="467"/>
      <c r="I26" s="467"/>
      <c r="J26" s="467"/>
    </row>
    <row r="27" spans="1:14" x14ac:dyDescent="0.25">
      <c r="A27" s="509"/>
      <c r="B27" s="509"/>
      <c r="C27" s="509"/>
      <c r="D27" s="509"/>
      <c r="E27" s="509"/>
      <c r="F27" s="509"/>
      <c r="G27" s="509"/>
      <c r="H27" s="509"/>
      <c r="I27" s="509"/>
      <c r="J27" s="509"/>
    </row>
    <row r="28" spans="1:14" x14ac:dyDescent="0.25">
      <c r="A28" s="467"/>
      <c r="B28" s="467" t="s">
        <v>217</v>
      </c>
      <c r="C28" s="467"/>
      <c r="D28" s="467"/>
      <c r="E28" s="467"/>
      <c r="F28" s="467"/>
      <c r="G28" s="467"/>
      <c r="H28" s="467"/>
      <c r="I28" s="467"/>
      <c r="J28" s="467"/>
    </row>
    <row r="29" spans="1:14" x14ac:dyDescent="0.25">
      <c r="A29" s="467"/>
      <c r="B29" s="467" t="s">
        <v>746</v>
      </c>
      <c r="C29" s="467"/>
      <c r="D29" s="467"/>
      <c r="E29" s="467"/>
      <c r="F29" s="467"/>
      <c r="G29" s="467"/>
      <c r="H29" s="467"/>
      <c r="I29" s="467"/>
      <c r="J29" s="467"/>
    </row>
    <row r="32" spans="1:14" ht="18" x14ac:dyDescent="0.25">
      <c r="A32" s="799" t="s">
        <v>370</v>
      </c>
      <c r="B32" s="799"/>
      <c r="C32" s="799"/>
      <c r="D32" s="799"/>
      <c r="E32" s="799"/>
      <c r="F32" s="799"/>
      <c r="G32" s="799"/>
      <c r="H32" s="799"/>
    </row>
    <row r="33" spans="1:14" ht="15.75" thickBot="1" x14ac:dyDescent="0.3">
      <c r="A33" s="467"/>
      <c r="B33" s="467"/>
      <c r="C33" s="467"/>
      <c r="D33" s="467"/>
      <c r="E33" s="467"/>
      <c r="F33" s="467"/>
      <c r="G33" s="467"/>
      <c r="H33" s="467"/>
      <c r="I33" s="467"/>
    </row>
    <row r="34" spans="1:14" ht="60.75" thickBot="1" x14ac:dyDescent="0.3">
      <c r="A34" s="468" t="s">
        <v>284</v>
      </c>
      <c r="B34" s="468" t="s">
        <v>285</v>
      </c>
      <c r="C34" s="469" t="s">
        <v>286</v>
      </c>
      <c r="D34" s="469" t="s">
        <v>321</v>
      </c>
      <c r="E34" s="469" t="s">
        <v>316</v>
      </c>
      <c r="F34" s="469" t="s">
        <v>287</v>
      </c>
      <c r="G34" s="469" t="s">
        <v>314</v>
      </c>
      <c r="H34" s="470" t="s">
        <v>288</v>
      </c>
      <c r="I34" s="471" t="s">
        <v>289</v>
      </c>
    </row>
    <row r="35" spans="1:14" ht="16.5" thickBot="1" x14ac:dyDescent="0.3">
      <c r="A35" s="472" t="s">
        <v>96</v>
      </c>
      <c r="B35" s="473" t="s">
        <v>186</v>
      </c>
      <c r="C35" s="287">
        <v>1500</v>
      </c>
      <c r="D35" s="287"/>
      <c r="E35" s="287"/>
      <c r="F35" s="287">
        <v>1500</v>
      </c>
      <c r="G35" s="287"/>
      <c r="H35" s="287"/>
      <c r="I35" s="474">
        <f t="shared" ref="I35:I45" si="10">SUM(D35:H35)</f>
        <v>1500</v>
      </c>
      <c r="J35" s="475">
        <f t="shared" ref="J35:J54" si="11">C35-I35</f>
        <v>0</v>
      </c>
      <c r="L35" s="800" t="s">
        <v>290</v>
      </c>
      <c r="M35" s="801"/>
      <c r="N35" s="802"/>
    </row>
    <row r="36" spans="1:14" ht="16.5" thickBot="1" x14ac:dyDescent="0.3">
      <c r="A36" s="479" t="s">
        <v>98</v>
      </c>
      <c r="B36" s="480" t="s">
        <v>245</v>
      </c>
      <c r="C36" s="290">
        <f>10200+10400</f>
        <v>20600</v>
      </c>
      <c r="D36" s="290"/>
      <c r="E36" s="290"/>
      <c r="F36" s="290">
        <f>10200+10400</f>
        <v>20600</v>
      </c>
      <c r="G36" s="290"/>
      <c r="H36" s="290"/>
      <c r="I36" s="474">
        <f t="shared" si="10"/>
        <v>20600</v>
      </c>
      <c r="J36" s="475">
        <f t="shared" si="11"/>
        <v>0</v>
      </c>
      <c r="L36" s="476" t="s">
        <v>291</v>
      </c>
      <c r="M36" s="477" t="s">
        <v>292</v>
      </c>
      <c r="N36" s="478" t="s">
        <v>293</v>
      </c>
    </row>
    <row r="37" spans="1:14" ht="15.75" x14ac:dyDescent="0.25">
      <c r="A37" s="484" t="s">
        <v>101</v>
      </c>
      <c r="B37" s="700" t="s">
        <v>246</v>
      </c>
      <c r="C37" s="701">
        <v>0</v>
      </c>
      <c r="D37" s="278"/>
      <c r="E37" s="278"/>
      <c r="F37" s="278">
        <v>0</v>
      </c>
      <c r="G37" s="278"/>
      <c r="H37" s="278"/>
      <c r="I37" s="485">
        <f t="shared" si="10"/>
        <v>0</v>
      </c>
      <c r="J37" s="475">
        <f t="shared" si="11"/>
        <v>0</v>
      </c>
      <c r="L37" s="481" t="s">
        <v>568</v>
      </c>
      <c r="M37" s="482">
        <v>500</v>
      </c>
      <c r="N37" s="483"/>
    </row>
    <row r="38" spans="1:14" ht="16.5" thickBot="1" x14ac:dyDescent="0.3">
      <c r="A38" s="489" t="s">
        <v>103</v>
      </c>
      <c r="B38" s="702" t="s">
        <v>294</v>
      </c>
      <c r="C38" s="284">
        <f>325000</f>
        <v>325000</v>
      </c>
      <c r="D38" s="284">
        <v>300000</v>
      </c>
      <c r="E38" s="284"/>
      <c r="F38" s="284">
        <f>25000</f>
        <v>25000</v>
      </c>
      <c r="G38" s="490"/>
      <c r="H38" s="490"/>
      <c r="I38" s="491">
        <f t="shared" si="10"/>
        <v>325000</v>
      </c>
      <c r="J38" s="475">
        <f t="shared" si="11"/>
        <v>0</v>
      </c>
      <c r="L38" s="486" t="s">
        <v>322</v>
      </c>
      <c r="M38" s="482">
        <v>1000</v>
      </c>
      <c r="N38" s="483"/>
    </row>
    <row r="39" spans="1:14" ht="15.75" x14ac:dyDescent="0.25">
      <c r="A39" s="488" t="s">
        <v>190</v>
      </c>
      <c r="B39" s="625" t="s">
        <v>191</v>
      </c>
      <c r="C39" s="290">
        <f>43000-18000</f>
        <v>25000</v>
      </c>
      <c r="D39" s="290"/>
      <c r="E39" s="290">
        <v>3000</v>
      </c>
      <c r="F39" s="290">
        <f>40000-18000</f>
        <v>22000</v>
      </c>
      <c r="G39" s="290"/>
      <c r="H39" s="290"/>
      <c r="I39" s="474">
        <f t="shared" si="10"/>
        <v>25000</v>
      </c>
      <c r="J39" s="475">
        <f t="shared" si="11"/>
        <v>0</v>
      </c>
      <c r="L39" s="481" t="s">
        <v>312</v>
      </c>
      <c r="M39" s="482">
        <f>6000-1200</f>
        <v>4800</v>
      </c>
      <c r="N39" s="483"/>
    </row>
    <row r="40" spans="1:14" ht="15.75" x14ac:dyDescent="0.25">
      <c r="A40" s="494" t="s">
        <v>190</v>
      </c>
      <c r="B40" s="495" t="s">
        <v>297</v>
      </c>
      <c r="C40" s="636">
        <f>29000+1490+500</f>
        <v>30990</v>
      </c>
      <c r="D40" s="466"/>
      <c r="E40" s="466">
        <v>1490</v>
      </c>
      <c r="F40" s="636">
        <f>29000+500</f>
        <v>29500</v>
      </c>
      <c r="G40" s="466"/>
      <c r="H40" s="466"/>
      <c r="I40" s="487">
        <f t="shared" si="10"/>
        <v>30990</v>
      </c>
      <c r="J40" s="475">
        <f t="shared" si="11"/>
        <v>0</v>
      </c>
      <c r="L40" s="481" t="s">
        <v>581</v>
      </c>
      <c r="M40" s="482">
        <f>1500+1200</f>
        <v>2700</v>
      </c>
      <c r="N40" s="483"/>
    </row>
    <row r="41" spans="1:14" ht="15.75" x14ac:dyDescent="0.25">
      <c r="A41" s="479" t="s">
        <v>110</v>
      </c>
      <c r="B41" s="703" t="s">
        <v>230</v>
      </c>
      <c r="C41" s="636">
        <f>15800-500</f>
        <v>15300</v>
      </c>
      <c r="D41" s="281">
        <v>15000</v>
      </c>
      <c r="E41" s="281"/>
      <c r="F41" s="636">
        <f>800-500</f>
        <v>300</v>
      </c>
      <c r="G41" s="281"/>
      <c r="H41" s="281"/>
      <c r="I41" s="487">
        <f>SUM(D41:H41)</f>
        <v>15300</v>
      </c>
      <c r="J41" s="475">
        <f>C41-I41</f>
        <v>0</v>
      </c>
      <c r="L41" s="486" t="s">
        <v>583</v>
      </c>
      <c r="M41" s="482">
        <v>5000</v>
      </c>
      <c r="N41" s="483"/>
    </row>
    <row r="42" spans="1:14" ht="16.5" thickBot="1" x14ac:dyDescent="0.3">
      <c r="A42" s="751" t="s">
        <v>110</v>
      </c>
      <c r="B42" s="752" t="s">
        <v>239</v>
      </c>
      <c r="C42" s="285">
        <v>30000</v>
      </c>
      <c r="D42" s="285"/>
      <c r="E42" s="285"/>
      <c r="F42" s="285">
        <v>30000</v>
      </c>
      <c r="G42" s="285"/>
      <c r="H42" s="285"/>
      <c r="I42" s="704">
        <f t="shared" ref="I42" si="12">SUM(D42:H42)</f>
        <v>30000</v>
      </c>
      <c r="J42" s="753">
        <f t="shared" ref="J42" si="13">C42-I42</f>
        <v>0</v>
      </c>
      <c r="L42" s="481" t="s">
        <v>295</v>
      </c>
      <c r="M42" s="492">
        <v>5000</v>
      </c>
      <c r="N42" s="493"/>
    </row>
    <row r="43" spans="1:14" ht="15.75" x14ac:dyDescent="0.25">
      <c r="A43" s="472" t="s">
        <v>125</v>
      </c>
      <c r="B43" s="705" t="s">
        <v>192</v>
      </c>
      <c r="C43" s="287">
        <v>2500</v>
      </c>
      <c r="D43" s="287"/>
      <c r="E43" s="287">
        <v>2500</v>
      </c>
      <c r="F43" s="287">
        <v>0</v>
      </c>
      <c r="G43" s="287"/>
      <c r="H43" s="287"/>
      <c r="I43" s="474">
        <f t="shared" si="10"/>
        <v>2500</v>
      </c>
      <c r="J43" s="475">
        <f t="shared" si="11"/>
        <v>0</v>
      </c>
      <c r="L43" s="481" t="s">
        <v>296</v>
      </c>
      <c r="M43" s="482">
        <v>2000</v>
      </c>
      <c r="N43" s="483"/>
    </row>
    <row r="44" spans="1:14" ht="15.75" x14ac:dyDescent="0.25">
      <c r="A44" s="496" t="s">
        <v>125</v>
      </c>
      <c r="B44" s="498" t="s">
        <v>301</v>
      </c>
      <c r="C44" s="293">
        <v>21000</v>
      </c>
      <c r="D44" s="293">
        <v>19000</v>
      </c>
      <c r="E44" s="293"/>
      <c r="F44" s="293">
        <f>2000</f>
        <v>2000</v>
      </c>
      <c r="G44" s="293"/>
      <c r="H44" s="281"/>
      <c r="I44" s="487">
        <f t="shared" si="10"/>
        <v>21000</v>
      </c>
      <c r="J44" s="475">
        <f t="shared" si="11"/>
        <v>0</v>
      </c>
      <c r="L44" s="481" t="s">
        <v>299</v>
      </c>
      <c r="M44" s="492">
        <v>3000</v>
      </c>
      <c r="N44" s="493"/>
    </row>
    <row r="45" spans="1:14" ht="15.75" x14ac:dyDescent="0.25">
      <c r="A45" s="496" t="s">
        <v>125</v>
      </c>
      <c r="B45" s="498" t="s">
        <v>303</v>
      </c>
      <c r="C45" s="293">
        <v>8000</v>
      </c>
      <c r="D45" s="293"/>
      <c r="E45" s="293"/>
      <c r="F45" s="293">
        <f>8000</f>
        <v>8000</v>
      </c>
      <c r="G45" s="293"/>
      <c r="H45" s="281"/>
      <c r="I45" s="487">
        <f t="shared" si="10"/>
        <v>8000</v>
      </c>
      <c r="J45" s="475">
        <f t="shared" si="11"/>
        <v>0</v>
      </c>
      <c r="L45" s="481" t="s">
        <v>313</v>
      </c>
      <c r="M45" s="747">
        <v>200</v>
      </c>
      <c r="N45" s="493"/>
    </row>
    <row r="46" spans="1:14" ht="15.75" x14ac:dyDescent="0.25">
      <c r="A46" s="496" t="s">
        <v>127</v>
      </c>
      <c r="B46" s="498" t="s">
        <v>564</v>
      </c>
      <c r="C46" s="293">
        <v>0</v>
      </c>
      <c r="D46" s="293"/>
      <c r="E46" s="293"/>
      <c r="F46" s="293">
        <v>0</v>
      </c>
      <c r="G46" s="293"/>
      <c r="H46" s="281"/>
      <c r="I46" s="487">
        <f t="shared" ref="I46" si="14">SUM(D46:H46)</f>
        <v>0</v>
      </c>
      <c r="J46" s="475">
        <f t="shared" si="11"/>
        <v>0</v>
      </c>
      <c r="L46" s="481" t="s">
        <v>302</v>
      </c>
      <c r="M46" s="492">
        <f>2500</f>
        <v>2500</v>
      </c>
      <c r="N46" s="493"/>
    </row>
    <row r="47" spans="1:14" ht="15.75" x14ac:dyDescent="0.25">
      <c r="A47" s="479" t="s">
        <v>127</v>
      </c>
      <c r="B47" s="294" t="s">
        <v>306</v>
      </c>
      <c r="C47" s="281">
        <f>200000</f>
        <v>200000</v>
      </c>
      <c r="D47" s="281"/>
      <c r="E47" s="281"/>
      <c r="F47" s="281">
        <f>200000</f>
        <v>200000</v>
      </c>
      <c r="G47" s="281"/>
      <c r="H47" s="281"/>
      <c r="I47" s="487">
        <f>SUM(D47:H47)</f>
        <v>200000</v>
      </c>
      <c r="J47" s="475">
        <f>C47-I47</f>
        <v>0</v>
      </c>
      <c r="L47" s="733" t="s">
        <v>493</v>
      </c>
      <c r="M47" s="734">
        <v>2300</v>
      </c>
      <c r="N47" s="735" t="s">
        <v>494</v>
      </c>
    </row>
    <row r="48" spans="1:14" ht="16.5" thickBot="1" x14ac:dyDescent="0.3">
      <c r="A48" s="496" t="s">
        <v>127</v>
      </c>
      <c r="B48" s="498" t="s">
        <v>238</v>
      </c>
      <c r="C48" s="638">
        <f>100000+886</f>
        <v>100886</v>
      </c>
      <c r="D48" s="293"/>
      <c r="E48" s="638">
        <f>5000+886</f>
        <v>5886</v>
      </c>
      <c r="F48" s="281">
        <v>95000</v>
      </c>
      <c r="G48" s="281"/>
      <c r="H48" s="281"/>
      <c r="I48" s="487">
        <f t="shared" ref="I48:I50" si="15">SUM(D48:H48)</f>
        <v>100886</v>
      </c>
      <c r="J48" s="475">
        <f t="shared" si="11"/>
        <v>0</v>
      </c>
      <c r="L48" s="733" t="s">
        <v>569</v>
      </c>
      <c r="M48" s="734">
        <v>1490</v>
      </c>
      <c r="N48" s="735"/>
    </row>
    <row r="49" spans="1:14" ht="16.5" thickBot="1" x14ac:dyDescent="0.3">
      <c r="A49" s="516" t="s">
        <v>136</v>
      </c>
      <c r="B49" s="517" t="s">
        <v>647</v>
      </c>
      <c r="C49" s="411">
        <v>381000</v>
      </c>
      <c r="D49" s="411">
        <v>355220</v>
      </c>
      <c r="E49" s="411"/>
      <c r="F49" s="411">
        <v>25780</v>
      </c>
      <c r="G49" s="411"/>
      <c r="H49" s="411"/>
      <c r="I49" s="518">
        <f t="shared" si="15"/>
        <v>381000</v>
      </c>
      <c r="J49" s="475">
        <f t="shared" si="11"/>
        <v>0</v>
      </c>
      <c r="L49" s="722" t="s">
        <v>603</v>
      </c>
      <c r="M49" s="723">
        <v>500</v>
      </c>
      <c r="N49" s="735"/>
    </row>
    <row r="50" spans="1:14" ht="16.5" thickBot="1" x14ac:dyDescent="0.3">
      <c r="A50" s="472" t="s">
        <v>152</v>
      </c>
      <c r="B50" s="499" t="s">
        <v>498</v>
      </c>
      <c r="C50" s="287">
        <f>92800+18000+2500</f>
        <v>113300</v>
      </c>
      <c r="D50" s="287">
        <f>166800-89300+2500</f>
        <v>80000</v>
      </c>
      <c r="E50" s="287"/>
      <c r="F50" s="287">
        <f>15300+18000</f>
        <v>33300</v>
      </c>
      <c r="G50" s="287"/>
      <c r="H50" s="287"/>
      <c r="I50" s="474">
        <f t="shared" si="15"/>
        <v>113300</v>
      </c>
      <c r="J50" s="475">
        <f t="shared" si="11"/>
        <v>0</v>
      </c>
      <c r="L50" s="510" t="s">
        <v>304</v>
      </c>
      <c r="M50" s="746">
        <f>200-200</f>
        <v>0</v>
      </c>
      <c r="N50" s="512"/>
    </row>
    <row r="51" spans="1:14" ht="16.5" thickBot="1" x14ac:dyDescent="0.3">
      <c r="A51" s="803" t="s">
        <v>308</v>
      </c>
      <c r="B51" s="804"/>
      <c r="C51" s="500">
        <f t="shared" ref="C51:I51" si="16">SUM(C35:C50)</f>
        <v>1275076</v>
      </c>
      <c r="D51" s="500">
        <f t="shared" si="16"/>
        <v>769220</v>
      </c>
      <c r="E51" s="500">
        <f t="shared" si="16"/>
        <v>12876</v>
      </c>
      <c r="F51" s="500">
        <f t="shared" si="16"/>
        <v>492980</v>
      </c>
      <c r="G51" s="500">
        <f t="shared" si="16"/>
        <v>0</v>
      </c>
      <c r="H51" s="500">
        <f t="shared" si="16"/>
        <v>0</v>
      </c>
      <c r="I51" s="518">
        <f t="shared" si="16"/>
        <v>1275076</v>
      </c>
      <c r="J51" s="475">
        <f t="shared" si="11"/>
        <v>0</v>
      </c>
      <c r="L51" s="513" t="s">
        <v>305</v>
      </c>
      <c r="M51" s="514">
        <f>SUM(M37:M50)</f>
        <v>30990</v>
      </c>
      <c r="N51" s="515"/>
    </row>
    <row r="52" spans="1:14" ht="15.75" thickBot="1" x14ac:dyDescent="0.3">
      <c r="A52" s="472"/>
      <c r="B52" s="706"/>
      <c r="C52" s="707"/>
      <c r="D52" s="287"/>
      <c r="E52" s="287"/>
      <c r="F52" s="708"/>
      <c r="G52" s="708"/>
      <c r="H52" s="287"/>
      <c r="I52" s="474">
        <f>SUM(D52:H52)</f>
        <v>0</v>
      </c>
      <c r="J52" s="475">
        <f t="shared" si="11"/>
        <v>0</v>
      </c>
    </row>
    <row r="53" spans="1:14" ht="15.75" thickBot="1" x14ac:dyDescent="0.3">
      <c r="A53" s="803" t="s">
        <v>471</v>
      </c>
      <c r="B53" s="804"/>
      <c r="C53" s="500">
        <f>SUM(C52:C52)</f>
        <v>0</v>
      </c>
      <c r="D53" s="500">
        <f t="shared" ref="D53:H53" si="17">SUM(D52:D52)</f>
        <v>0</v>
      </c>
      <c r="E53" s="500">
        <f t="shared" si="17"/>
        <v>0</v>
      </c>
      <c r="F53" s="500">
        <f t="shared" si="17"/>
        <v>0</v>
      </c>
      <c r="G53" s="500">
        <f t="shared" si="17"/>
        <v>0</v>
      </c>
      <c r="H53" s="500">
        <f t="shared" si="17"/>
        <v>0</v>
      </c>
      <c r="I53" s="518">
        <f>SUM(I52:I52)</f>
        <v>0</v>
      </c>
      <c r="J53" s="475">
        <f t="shared" si="11"/>
        <v>0</v>
      </c>
    </row>
    <row r="54" spans="1:14" ht="15.75" thickBot="1" x14ac:dyDescent="0.3">
      <c r="A54" s="803" t="s">
        <v>472</v>
      </c>
      <c r="B54" s="804"/>
      <c r="C54" s="500">
        <f>C51+C53</f>
        <v>1275076</v>
      </c>
      <c r="D54" s="500">
        <f t="shared" ref="D54:H54" si="18">D51+D53</f>
        <v>769220</v>
      </c>
      <c r="E54" s="500">
        <f t="shared" si="18"/>
        <v>12876</v>
      </c>
      <c r="F54" s="500">
        <f t="shared" si="18"/>
        <v>492980</v>
      </c>
      <c r="G54" s="500">
        <f t="shared" si="18"/>
        <v>0</v>
      </c>
      <c r="H54" s="500">
        <f t="shared" si="18"/>
        <v>0</v>
      </c>
      <c r="I54" s="518">
        <f>I51+I53</f>
        <v>1275076</v>
      </c>
      <c r="J54" s="475">
        <f t="shared" si="11"/>
        <v>0</v>
      </c>
    </row>
    <row r="55" spans="1:14" x14ac:dyDescent="0.25">
      <c r="A55" s="502"/>
      <c r="B55" s="502"/>
      <c r="C55" s="503"/>
      <c r="D55" s="504"/>
      <c r="E55" s="709">
        <f>D51+E51</f>
        <v>782096</v>
      </c>
      <c r="F55" s="504">
        <f>SUM(F54:F54)</f>
        <v>492980</v>
      </c>
      <c r="G55" s="504"/>
      <c r="H55" s="710" t="s">
        <v>309</v>
      </c>
      <c r="I55" s="505"/>
      <c r="J55" s="506"/>
    </row>
    <row r="56" spans="1:14" x14ac:dyDescent="0.25">
      <c r="A56" s="467"/>
      <c r="C56" s="467"/>
      <c r="D56" s="467"/>
      <c r="F56" s="711">
        <v>186000</v>
      </c>
      <c r="G56" s="712"/>
      <c r="H56" s="467" t="s">
        <v>473</v>
      </c>
      <c r="I56" s="467"/>
    </row>
    <row r="57" spans="1:14" x14ac:dyDescent="0.25">
      <c r="A57" s="467"/>
      <c r="C57" s="467"/>
      <c r="D57" s="507"/>
      <c r="E57" s="508"/>
      <c r="F57" s="713">
        <f>F56-F55</f>
        <v>-306980</v>
      </c>
      <c r="G57" s="713"/>
      <c r="H57" s="467" t="s">
        <v>505</v>
      </c>
      <c r="I57" s="467"/>
    </row>
    <row r="58" spans="1:14" x14ac:dyDescent="0.25">
      <c r="A58" s="467"/>
      <c r="B58" s="509"/>
      <c r="C58" s="467"/>
      <c r="D58" s="467"/>
      <c r="E58" s="467"/>
      <c r="F58" s="467"/>
      <c r="G58" s="467"/>
      <c r="H58" s="467"/>
      <c r="I58" s="467"/>
      <c r="J58" s="467"/>
    </row>
    <row r="59" spans="1:14" x14ac:dyDescent="0.25">
      <c r="A59" s="509"/>
      <c r="B59" s="509"/>
      <c r="C59" s="509"/>
      <c r="D59" s="509"/>
      <c r="E59" s="509"/>
      <c r="F59" s="509"/>
      <c r="G59" s="509"/>
      <c r="H59" s="509"/>
      <c r="I59" s="509"/>
      <c r="J59" s="509"/>
    </row>
    <row r="60" spans="1:14" x14ac:dyDescent="0.25">
      <c r="A60" s="467"/>
      <c r="B60" s="467" t="s">
        <v>217</v>
      </c>
      <c r="C60" s="467"/>
      <c r="D60" s="467"/>
      <c r="E60" s="467"/>
      <c r="F60" s="467"/>
      <c r="G60" s="467"/>
      <c r="H60" s="467"/>
      <c r="I60" s="467"/>
      <c r="J60" s="467"/>
    </row>
    <row r="61" spans="1:14" x14ac:dyDescent="0.25">
      <c r="A61" s="467"/>
      <c r="B61" s="467" t="s">
        <v>634</v>
      </c>
      <c r="C61" s="467"/>
      <c r="D61" s="467"/>
      <c r="E61" s="467"/>
      <c r="F61" s="467"/>
      <c r="G61" s="467"/>
      <c r="H61" s="467"/>
      <c r="I61" s="467"/>
      <c r="J61" s="467"/>
    </row>
    <row r="64" spans="1:14" ht="18" x14ac:dyDescent="0.25">
      <c r="A64" s="799" t="s">
        <v>370</v>
      </c>
      <c r="B64" s="799"/>
      <c r="C64" s="799"/>
      <c r="D64" s="799"/>
      <c r="E64" s="799"/>
      <c r="F64" s="799"/>
      <c r="G64" s="799"/>
      <c r="H64" s="799"/>
    </row>
    <row r="65" spans="1:14" ht="15.75" thickBot="1" x14ac:dyDescent="0.3">
      <c r="A65" s="467"/>
      <c r="B65" s="467"/>
      <c r="C65" s="467"/>
      <c r="D65" s="467"/>
      <c r="E65" s="467"/>
      <c r="F65" s="467"/>
      <c r="G65" s="467"/>
      <c r="H65" s="467"/>
      <c r="I65" s="467"/>
    </row>
    <row r="66" spans="1:14" ht="60.75" thickBot="1" x14ac:dyDescent="0.3">
      <c r="A66" s="468" t="s">
        <v>284</v>
      </c>
      <c r="B66" s="468" t="s">
        <v>285</v>
      </c>
      <c r="C66" s="469" t="s">
        <v>286</v>
      </c>
      <c r="D66" s="469" t="s">
        <v>321</v>
      </c>
      <c r="E66" s="469" t="s">
        <v>316</v>
      </c>
      <c r="F66" s="469" t="s">
        <v>287</v>
      </c>
      <c r="G66" s="469" t="s">
        <v>314</v>
      </c>
      <c r="H66" s="470" t="s">
        <v>288</v>
      </c>
      <c r="I66" s="471" t="s">
        <v>289</v>
      </c>
    </row>
    <row r="67" spans="1:14" ht="15.75" thickBot="1" x14ac:dyDescent="0.3">
      <c r="A67" s="472" t="s">
        <v>96</v>
      </c>
      <c r="B67" s="473" t="s">
        <v>186</v>
      </c>
      <c r="C67" s="287">
        <v>1500</v>
      </c>
      <c r="D67" s="287"/>
      <c r="E67" s="287"/>
      <c r="F67" s="287">
        <v>1500</v>
      </c>
      <c r="G67" s="287"/>
      <c r="H67" s="287"/>
      <c r="I67" s="474">
        <f t="shared" ref="I67:I82" si="19">SUM(D67:H67)</f>
        <v>1500</v>
      </c>
      <c r="J67" s="475">
        <f t="shared" ref="J67:J86" si="20">C67-I67</f>
        <v>0</v>
      </c>
    </row>
    <row r="68" spans="1:14" ht="16.5" thickBot="1" x14ac:dyDescent="0.3">
      <c r="A68" s="479" t="s">
        <v>98</v>
      </c>
      <c r="B68" s="480" t="s">
        <v>245</v>
      </c>
      <c r="C68" s="290">
        <f>10200+10400</f>
        <v>20600</v>
      </c>
      <c r="D68" s="290"/>
      <c r="E68" s="290"/>
      <c r="F68" s="290">
        <f>10200+10400</f>
        <v>20600</v>
      </c>
      <c r="G68" s="290"/>
      <c r="H68" s="290"/>
      <c r="I68" s="474">
        <f t="shared" si="19"/>
        <v>20600</v>
      </c>
      <c r="J68" s="475">
        <f t="shared" si="20"/>
        <v>0</v>
      </c>
      <c r="L68" s="800" t="s">
        <v>290</v>
      </c>
      <c r="M68" s="801"/>
      <c r="N68" s="802"/>
    </row>
    <row r="69" spans="1:14" ht="16.5" thickBot="1" x14ac:dyDescent="0.3">
      <c r="A69" s="484" t="s">
        <v>101</v>
      </c>
      <c r="B69" s="700" t="s">
        <v>246</v>
      </c>
      <c r="C69" s="701">
        <v>0</v>
      </c>
      <c r="D69" s="278"/>
      <c r="E69" s="278"/>
      <c r="F69" s="278">
        <v>0</v>
      </c>
      <c r="G69" s="278"/>
      <c r="H69" s="278"/>
      <c r="I69" s="485">
        <f t="shared" si="19"/>
        <v>0</v>
      </c>
      <c r="J69" s="475">
        <f t="shared" si="20"/>
        <v>0</v>
      </c>
      <c r="L69" s="476" t="s">
        <v>291</v>
      </c>
      <c r="M69" s="477" t="s">
        <v>292</v>
      </c>
      <c r="N69" s="478" t="s">
        <v>293</v>
      </c>
    </row>
    <row r="70" spans="1:14" ht="16.5" thickBot="1" x14ac:dyDescent="0.3">
      <c r="A70" s="489" t="s">
        <v>103</v>
      </c>
      <c r="B70" s="702" t="s">
        <v>294</v>
      </c>
      <c r="C70" s="284">
        <f>325000</f>
        <v>325000</v>
      </c>
      <c r="D70" s="284">
        <v>300000</v>
      </c>
      <c r="E70" s="284"/>
      <c r="F70" s="284">
        <f>25000</f>
        <v>25000</v>
      </c>
      <c r="G70" s="490"/>
      <c r="H70" s="490"/>
      <c r="I70" s="491">
        <f t="shared" si="19"/>
        <v>325000</v>
      </c>
      <c r="J70" s="475">
        <f t="shared" si="20"/>
        <v>0</v>
      </c>
      <c r="L70" s="481" t="s">
        <v>568</v>
      </c>
      <c r="M70" s="482">
        <v>500</v>
      </c>
      <c r="N70" s="483"/>
    </row>
    <row r="71" spans="1:14" ht="15.75" x14ac:dyDescent="0.25">
      <c r="A71" s="488" t="s">
        <v>190</v>
      </c>
      <c r="B71" s="625" t="s">
        <v>191</v>
      </c>
      <c r="C71" s="290">
        <f>43000-18000</f>
        <v>25000</v>
      </c>
      <c r="D71" s="290"/>
      <c r="E71" s="290">
        <v>3000</v>
      </c>
      <c r="F71" s="290">
        <f>40000-18000</f>
        <v>22000</v>
      </c>
      <c r="G71" s="290"/>
      <c r="H71" s="290"/>
      <c r="I71" s="474">
        <f t="shared" si="19"/>
        <v>25000</v>
      </c>
      <c r="J71" s="475">
        <f t="shared" si="20"/>
        <v>0</v>
      </c>
      <c r="L71" s="486" t="s">
        <v>322</v>
      </c>
      <c r="M71" s="482">
        <v>1000</v>
      </c>
      <c r="N71" s="483"/>
    </row>
    <row r="72" spans="1:14" ht="15.75" x14ac:dyDescent="0.25">
      <c r="A72" s="494" t="s">
        <v>190</v>
      </c>
      <c r="B72" s="495" t="s">
        <v>297</v>
      </c>
      <c r="C72" s="636">
        <f>29000+1490</f>
        <v>30490</v>
      </c>
      <c r="D72" s="466"/>
      <c r="E72" s="636">
        <v>1490</v>
      </c>
      <c r="F72" s="466">
        <f>29000</f>
        <v>29000</v>
      </c>
      <c r="G72" s="466"/>
      <c r="H72" s="466"/>
      <c r="I72" s="487">
        <f t="shared" si="19"/>
        <v>30490</v>
      </c>
      <c r="J72" s="475">
        <f t="shared" si="20"/>
        <v>0</v>
      </c>
      <c r="L72" s="481" t="s">
        <v>312</v>
      </c>
      <c r="M72" s="482">
        <f>6000-1200</f>
        <v>4800</v>
      </c>
      <c r="N72" s="483"/>
    </row>
    <row r="73" spans="1:14" ht="15.75" x14ac:dyDescent="0.25">
      <c r="A73" s="479" t="s">
        <v>110</v>
      </c>
      <c r="B73" s="703" t="s">
        <v>239</v>
      </c>
      <c r="C73" s="281">
        <v>30000</v>
      </c>
      <c r="D73" s="281"/>
      <c r="E73" s="281"/>
      <c r="F73" s="281">
        <v>30000</v>
      </c>
      <c r="G73" s="281"/>
      <c r="H73" s="281"/>
      <c r="I73" s="487">
        <f t="shared" si="19"/>
        <v>30000</v>
      </c>
      <c r="J73" s="475">
        <f t="shared" si="20"/>
        <v>0</v>
      </c>
      <c r="L73" s="481" t="s">
        <v>581</v>
      </c>
      <c r="M73" s="482">
        <f>1500+1200</f>
        <v>2700</v>
      </c>
      <c r="N73" s="483"/>
    </row>
    <row r="74" spans="1:14" ht="16.5" thickBot="1" x14ac:dyDescent="0.3">
      <c r="A74" s="489" t="s">
        <v>110</v>
      </c>
      <c r="B74" s="497" t="s">
        <v>230</v>
      </c>
      <c r="C74" s="284">
        <v>15800</v>
      </c>
      <c r="D74" s="284">
        <v>15000</v>
      </c>
      <c r="E74" s="284"/>
      <c r="F74" s="284">
        <v>800</v>
      </c>
      <c r="G74" s="284"/>
      <c r="H74" s="284"/>
      <c r="I74" s="704">
        <f t="shared" si="19"/>
        <v>15800</v>
      </c>
      <c r="J74" s="475">
        <f t="shared" si="20"/>
        <v>0</v>
      </c>
      <c r="L74" s="486" t="s">
        <v>583</v>
      </c>
      <c r="M74" s="482">
        <v>5000</v>
      </c>
      <c r="N74" s="483"/>
    </row>
    <row r="75" spans="1:14" ht="15.75" x14ac:dyDescent="0.25">
      <c r="A75" s="472" t="s">
        <v>125</v>
      </c>
      <c r="B75" s="705" t="s">
        <v>192</v>
      </c>
      <c r="C75" s="614">
        <v>2500</v>
      </c>
      <c r="D75" s="287"/>
      <c r="E75" s="614">
        <v>2500</v>
      </c>
      <c r="F75" s="287">
        <v>0</v>
      </c>
      <c r="G75" s="287"/>
      <c r="H75" s="287"/>
      <c r="I75" s="474">
        <f t="shared" si="19"/>
        <v>2500</v>
      </c>
      <c r="J75" s="475">
        <f t="shared" si="20"/>
        <v>0</v>
      </c>
      <c r="L75" s="481" t="s">
        <v>295</v>
      </c>
      <c r="M75" s="492">
        <v>5000</v>
      </c>
      <c r="N75" s="493"/>
    </row>
    <row r="76" spans="1:14" ht="15.75" x14ac:dyDescent="0.25">
      <c r="A76" s="496" t="s">
        <v>125</v>
      </c>
      <c r="B76" s="498" t="s">
        <v>301</v>
      </c>
      <c r="C76" s="293">
        <v>21000</v>
      </c>
      <c r="D76" s="293">
        <v>19000</v>
      </c>
      <c r="E76" s="293"/>
      <c r="F76" s="293">
        <f>2000</f>
        <v>2000</v>
      </c>
      <c r="G76" s="293"/>
      <c r="H76" s="281"/>
      <c r="I76" s="487">
        <f t="shared" si="19"/>
        <v>21000</v>
      </c>
      <c r="J76" s="475">
        <f t="shared" si="20"/>
        <v>0</v>
      </c>
      <c r="L76" s="481" t="s">
        <v>296</v>
      </c>
      <c r="M76" s="482">
        <v>2000</v>
      </c>
      <c r="N76" s="483"/>
    </row>
    <row r="77" spans="1:14" ht="15.75" x14ac:dyDescent="0.25">
      <c r="A77" s="496" t="s">
        <v>125</v>
      </c>
      <c r="B77" s="498" t="s">
        <v>303</v>
      </c>
      <c r="C77" s="293">
        <v>8000</v>
      </c>
      <c r="D77" s="293"/>
      <c r="E77" s="293"/>
      <c r="F77" s="293">
        <f>8000</f>
        <v>8000</v>
      </c>
      <c r="G77" s="293"/>
      <c r="H77" s="281"/>
      <c r="I77" s="487">
        <f t="shared" si="19"/>
        <v>8000</v>
      </c>
      <c r="J77" s="475">
        <f t="shared" si="20"/>
        <v>0</v>
      </c>
      <c r="L77" s="481" t="s">
        <v>299</v>
      </c>
      <c r="M77" s="492">
        <v>3000</v>
      </c>
      <c r="N77" s="493"/>
    </row>
    <row r="78" spans="1:14" ht="15.75" x14ac:dyDescent="0.25">
      <c r="A78" s="496" t="s">
        <v>127</v>
      </c>
      <c r="B78" s="498" t="s">
        <v>564</v>
      </c>
      <c r="C78" s="293">
        <v>0</v>
      </c>
      <c r="D78" s="293"/>
      <c r="E78" s="293"/>
      <c r="F78" s="293">
        <v>0</v>
      </c>
      <c r="G78" s="293"/>
      <c r="H78" s="281"/>
      <c r="I78" s="487">
        <f t="shared" ref="I78" si="21">SUM(D78:H78)</f>
        <v>0</v>
      </c>
      <c r="J78" s="475">
        <f t="shared" ref="J78" si="22">C78-I78</f>
        <v>0</v>
      </c>
      <c r="L78" s="481" t="s">
        <v>313</v>
      </c>
      <c r="M78" s="492">
        <v>0</v>
      </c>
      <c r="N78" s="493"/>
    </row>
    <row r="79" spans="1:14" ht="15.75" x14ac:dyDescent="0.25">
      <c r="A79" s="496" t="s">
        <v>127</v>
      </c>
      <c r="B79" s="498" t="s">
        <v>238</v>
      </c>
      <c r="C79" s="293">
        <v>100000</v>
      </c>
      <c r="D79" s="293"/>
      <c r="E79" s="293">
        <v>5000</v>
      </c>
      <c r="F79" s="281">
        <v>95000</v>
      </c>
      <c r="G79" s="281"/>
      <c r="H79" s="281"/>
      <c r="I79" s="487">
        <f t="shared" si="19"/>
        <v>100000</v>
      </c>
      <c r="J79" s="475">
        <f t="shared" si="20"/>
        <v>0</v>
      </c>
      <c r="L79" s="481" t="s">
        <v>302</v>
      </c>
      <c r="M79" s="492">
        <f>2500</f>
        <v>2500</v>
      </c>
      <c r="N79" s="493"/>
    </row>
    <row r="80" spans="1:14" ht="16.5" thickBot="1" x14ac:dyDescent="0.3">
      <c r="A80" s="479" t="s">
        <v>127</v>
      </c>
      <c r="B80" s="294" t="s">
        <v>306</v>
      </c>
      <c r="C80" s="281">
        <f>200000</f>
        <v>200000</v>
      </c>
      <c r="D80" s="281"/>
      <c r="E80" s="281"/>
      <c r="F80" s="281">
        <f>200000</f>
        <v>200000</v>
      </c>
      <c r="G80" s="281"/>
      <c r="H80" s="281"/>
      <c r="I80" s="487">
        <f t="shared" si="19"/>
        <v>200000</v>
      </c>
      <c r="J80" s="475">
        <f t="shared" si="20"/>
        <v>0</v>
      </c>
      <c r="L80" s="733" t="s">
        <v>493</v>
      </c>
      <c r="M80" s="734">
        <v>2300</v>
      </c>
      <c r="N80" s="735" t="s">
        <v>494</v>
      </c>
    </row>
    <row r="81" spans="1:14" ht="16.5" thickBot="1" x14ac:dyDescent="0.3">
      <c r="A81" s="516" t="s">
        <v>136</v>
      </c>
      <c r="B81" s="517" t="s">
        <v>269</v>
      </c>
      <c r="C81" s="411">
        <v>381000</v>
      </c>
      <c r="D81" s="411">
        <v>355220</v>
      </c>
      <c r="E81" s="411"/>
      <c r="F81" s="411">
        <v>25780</v>
      </c>
      <c r="G81" s="411"/>
      <c r="H81" s="411"/>
      <c r="I81" s="518">
        <f t="shared" si="19"/>
        <v>381000</v>
      </c>
      <c r="J81" s="475">
        <f t="shared" si="20"/>
        <v>0</v>
      </c>
      <c r="L81" s="722" t="s">
        <v>569</v>
      </c>
      <c r="M81" s="723">
        <v>1490</v>
      </c>
      <c r="N81" s="735"/>
    </row>
    <row r="82" spans="1:14" ht="16.5" thickBot="1" x14ac:dyDescent="0.3">
      <c r="A82" s="472" t="s">
        <v>152</v>
      </c>
      <c r="B82" s="499" t="s">
        <v>498</v>
      </c>
      <c r="C82" s="287">
        <f>92800+18000+2500</f>
        <v>113300</v>
      </c>
      <c r="D82" s="287">
        <f>166800-89300+2500</f>
        <v>80000</v>
      </c>
      <c r="E82" s="287"/>
      <c r="F82" s="287">
        <f>15300+18000</f>
        <v>33300</v>
      </c>
      <c r="G82" s="287"/>
      <c r="H82" s="287"/>
      <c r="I82" s="474">
        <f t="shared" si="19"/>
        <v>113300</v>
      </c>
      <c r="J82" s="475">
        <f t="shared" si="20"/>
        <v>0</v>
      </c>
      <c r="L82" s="510" t="s">
        <v>304</v>
      </c>
      <c r="M82" s="511">
        <f>200</f>
        <v>200</v>
      </c>
      <c r="N82" s="512"/>
    </row>
    <row r="83" spans="1:14" ht="16.5" thickBot="1" x14ac:dyDescent="0.3">
      <c r="A83" s="803" t="s">
        <v>308</v>
      </c>
      <c r="B83" s="804"/>
      <c r="C83" s="500">
        <f t="shared" ref="C83:I83" si="23">SUM(C67:C82)</f>
        <v>1274190</v>
      </c>
      <c r="D83" s="500">
        <f t="shared" si="23"/>
        <v>769220</v>
      </c>
      <c r="E83" s="500">
        <f t="shared" si="23"/>
        <v>11990</v>
      </c>
      <c r="F83" s="500">
        <f t="shared" si="23"/>
        <v>492980</v>
      </c>
      <c r="G83" s="500">
        <f t="shared" si="23"/>
        <v>0</v>
      </c>
      <c r="H83" s="500">
        <f t="shared" si="23"/>
        <v>0</v>
      </c>
      <c r="I83" s="501">
        <f t="shared" si="23"/>
        <v>1274190</v>
      </c>
      <c r="J83" s="475">
        <f t="shared" si="20"/>
        <v>0</v>
      </c>
      <c r="L83" s="513" t="s">
        <v>305</v>
      </c>
      <c r="M83" s="514">
        <f>SUM(M70:M82)</f>
        <v>30490</v>
      </c>
      <c r="N83" s="515"/>
    </row>
    <row r="84" spans="1:14" ht="15.75" thickBot="1" x14ac:dyDescent="0.3">
      <c r="A84" s="472"/>
      <c r="B84" s="706"/>
      <c r="C84" s="707"/>
      <c r="D84" s="287"/>
      <c r="E84" s="287"/>
      <c r="F84" s="708"/>
      <c r="G84" s="708"/>
      <c r="H84" s="287"/>
      <c r="I84" s="474">
        <f>SUM(D84:H84)</f>
        <v>0</v>
      </c>
      <c r="J84" s="475">
        <f t="shared" si="20"/>
        <v>0</v>
      </c>
    </row>
    <row r="85" spans="1:14" ht="15.75" thickBot="1" x14ac:dyDescent="0.3">
      <c r="A85" s="803" t="s">
        <v>471</v>
      </c>
      <c r="B85" s="804"/>
      <c r="C85" s="500">
        <f>SUM(C84:C84)</f>
        <v>0</v>
      </c>
      <c r="D85" s="500">
        <f t="shared" ref="D85:H85" si="24">SUM(D84:D84)</f>
        <v>0</v>
      </c>
      <c r="E85" s="500">
        <f t="shared" si="24"/>
        <v>0</v>
      </c>
      <c r="F85" s="500">
        <f t="shared" si="24"/>
        <v>0</v>
      </c>
      <c r="G85" s="500">
        <f t="shared" si="24"/>
        <v>0</v>
      </c>
      <c r="H85" s="500">
        <f t="shared" si="24"/>
        <v>0</v>
      </c>
      <c r="I85" s="501">
        <f>SUM(I84:I84)</f>
        <v>0</v>
      </c>
      <c r="J85" s="475">
        <f t="shared" si="20"/>
        <v>0</v>
      </c>
    </row>
    <row r="86" spans="1:14" ht="15.75" thickBot="1" x14ac:dyDescent="0.3">
      <c r="A86" s="803" t="s">
        <v>472</v>
      </c>
      <c r="B86" s="804"/>
      <c r="C86" s="500">
        <f>C83+C85</f>
        <v>1274190</v>
      </c>
      <c r="D86" s="500">
        <f t="shared" ref="D86:H86" si="25">D83+D85</f>
        <v>769220</v>
      </c>
      <c r="E86" s="500">
        <f t="shared" si="25"/>
        <v>11990</v>
      </c>
      <c r="F86" s="500">
        <f t="shared" si="25"/>
        <v>492980</v>
      </c>
      <c r="G86" s="500">
        <f t="shared" si="25"/>
        <v>0</v>
      </c>
      <c r="H86" s="500">
        <f t="shared" si="25"/>
        <v>0</v>
      </c>
      <c r="I86" s="501">
        <f>I83+I85</f>
        <v>1274190</v>
      </c>
      <c r="J86" s="475">
        <f t="shared" si="20"/>
        <v>0</v>
      </c>
    </row>
    <row r="87" spans="1:14" x14ac:dyDescent="0.25">
      <c r="A87" s="502"/>
      <c r="B87" s="502"/>
      <c r="C87" s="503"/>
      <c r="D87" s="504"/>
      <c r="E87" s="709">
        <f>D83+E83</f>
        <v>781210</v>
      </c>
      <c r="F87" s="504">
        <f>SUM(F86:F86)</f>
        <v>492980</v>
      </c>
      <c r="G87" s="504"/>
      <c r="H87" s="710" t="s">
        <v>309</v>
      </c>
      <c r="I87" s="505"/>
      <c r="J87" s="506"/>
    </row>
    <row r="88" spans="1:14" x14ac:dyDescent="0.25">
      <c r="A88" s="467"/>
      <c r="C88" s="467"/>
      <c r="D88" s="467"/>
      <c r="F88" s="711">
        <v>186000</v>
      </c>
      <c r="G88" s="712"/>
      <c r="H88" s="467" t="s">
        <v>473</v>
      </c>
      <c r="I88" s="467"/>
    </row>
    <row r="89" spans="1:14" x14ac:dyDescent="0.25">
      <c r="A89" s="467"/>
      <c r="C89" s="467"/>
      <c r="D89" s="507"/>
      <c r="E89" s="508"/>
      <c r="F89" s="713">
        <f>F88-F87</f>
        <v>-306980</v>
      </c>
      <c r="G89" s="713"/>
      <c r="H89" s="467" t="s">
        <v>505</v>
      </c>
      <c r="I89" s="467"/>
    </row>
    <row r="90" spans="1:14" x14ac:dyDescent="0.25">
      <c r="A90" s="467"/>
      <c r="B90" s="509"/>
      <c r="C90" s="467"/>
      <c r="D90" s="467"/>
      <c r="E90" s="467"/>
      <c r="F90" s="467"/>
      <c r="G90" s="467"/>
      <c r="H90" s="467"/>
      <c r="I90" s="467"/>
      <c r="J90" s="467"/>
    </row>
    <row r="91" spans="1:14" x14ac:dyDescent="0.25">
      <c r="A91" s="509"/>
      <c r="B91" s="509"/>
      <c r="C91" s="509"/>
      <c r="D91" s="509"/>
      <c r="E91" s="509"/>
      <c r="F91" s="509"/>
      <c r="G91" s="509"/>
      <c r="H91" s="509"/>
      <c r="I91" s="509"/>
      <c r="J91" s="509"/>
    </row>
    <row r="92" spans="1:14" x14ac:dyDescent="0.25">
      <c r="A92" s="467"/>
      <c r="B92" s="467" t="s">
        <v>217</v>
      </c>
      <c r="C92" s="467"/>
      <c r="D92" s="467"/>
      <c r="E92" s="467"/>
      <c r="F92" s="467"/>
      <c r="G92" s="467"/>
      <c r="H92" s="467"/>
      <c r="I92" s="467"/>
      <c r="J92" s="467"/>
    </row>
    <row r="93" spans="1:14" x14ac:dyDescent="0.25">
      <c r="A93" s="467"/>
      <c r="B93" s="467" t="s">
        <v>587</v>
      </c>
      <c r="C93" s="467"/>
      <c r="D93" s="467"/>
      <c r="E93" s="467"/>
      <c r="F93" s="467"/>
      <c r="G93" s="467"/>
      <c r="H93" s="467"/>
      <c r="I93" s="467"/>
      <c r="J93" s="467"/>
    </row>
    <row r="96" spans="1:14" ht="18" x14ac:dyDescent="0.25">
      <c r="A96" s="799" t="s">
        <v>370</v>
      </c>
      <c r="B96" s="799"/>
      <c r="C96" s="799"/>
      <c r="D96" s="799"/>
      <c r="E96" s="799"/>
      <c r="F96" s="799"/>
      <c r="G96" s="799"/>
      <c r="H96" s="799"/>
    </row>
    <row r="97" spans="1:14" ht="15.75" thickBot="1" x14ac:dyDescent="0.3">
      <c r="A97" s="467"/>
      <c r="B97" s="467"/>
      <c r="C97" s="467"/>
      <c r="D97" s="467"/>
      <c r="E97" s="467"/>
      <c r="F97" s="467"/>
      <c r="G97" s="467"/>
      <c r="H97" s="467"/>
      <c r="I97" s="467"/>
    </row>
    <row r="98" spans="1:14" ht="60.75" thickBot="1" x14ac:dyDescent="0.3">
      <c r="A98" s="468" t="s">
        <v>284</v>
      </c>
      <c r="B98" s="468" t="s">
        <v>285</v>
      </c>
      <c r="C98" s="469" t="s">
        <v>286</v>
      </c>
      <c r="D98" s="469" t="s">
        <v>321</v>
      </c>
      <c r="E98" s="469" t="s">
        <v>316</v>
      </c>
      <c r="F98" s="469" t="s">
        <v>287</v>
      </c>
      <c r="G98" s="469" t="s">
        <v>314</v>
      </c>
      <c r="H98" s="470" t="s">
        <v>288</v>
      </c>
      <c r="I98" s="471" t="s">
        <v>289</v>
      </c>
    </row>
    <row r="99" spans="1:14" ht="15.75" thickBot="1" x14ac:dyDescent="0.3">
      <c r="A99" s="472" t="s">
        <v>96</v>
      </c>
      <c r="B99" s="473" t="s">
        <v>186</v>
      </c>
      <c r="C99" s="287">
        <v>1500</v>
      </c>
      <c r="D99" s="287"/>
      <c r="E99" s="287"/>
      <c r="F99" s="287">
        <v>1500</v>
      </c>
      <c r="G99" s="287"/>
      <c r="H99" s="287"/>
      <c r="I99" s="474">
        <f t="shared" ref="I99:I113" si="26">SUM(D99:H99)</f>
        <v>1500</v>
      </c>
      <c r="J99" s="475">
        <f t="shared" ref="J99:J117" si="27">C99-I99</f>
        <v>0</v>
      </c>
    </row>
    <row r="100" spans="1:14" ht="16.5" thickBot="1" x14ac:dyDescent="0.3">
      <c r="A100" s="479" t="s">
        <v>98</v>
      </c>
      <c r="B100" s="480" t="s">
        <v>245</v>
      </c>
      <c r="C100" s="290">
        <f>10200+10400</f>
        <v>20600</v>
      </c>
      <c r="D100" s="290"/>
      <c r="E100" s="290"/>
      <c r="F100" s="290">
        <f>10200+10400</f>
        <v>20600</v>
      </c>
      <c r="G100" s="290"/>
      <c r="H100" s="290"/>
      <c r="I100" s="474">
        <f t="shared" si="26"/>
        <v>20600</v>
      </c>
      <c r="J100" s="475">
        <f t="shared" si="27"/>
        <v>0</v>
      </c>
      <c r="L100" s="800" t="s">
        <v>290</v>
      </c>
      <c r="M100" s="801"/>
      <c r="N100" s="802"/>
    </row>
    <row r="101" spans="1:14" ht="16.5" thickBot="1" x14ac:dyDescent="0.3">
      <c r="A101" s="484" t="s">
        <v>101</v>
      </c>
      <c r="B101" s="700" t="s">
        <v>246</v>
      </c>
      <c r="C101" s="701">
        <v>0</v>
      </c>
      <c r="D101" s="278"/>
      <c r="E101" s="278"/>
      <c r="F101" s="278">
        <v>0</v>
      </c>
      <c r="G101" s="278"/>
      <c r="H101" s="278"/>
      <c r="I101" s="485">
        <f t="shared" si="26"/>
        <v>0</v>
      </c>
      <c r="J101" s="475">
        <f t="shared" si="27"/>
        <v>0</v>
      </c>
      <c r="L101" s="476" t="s">
        <v>291</v>
      </c>
      <c r="M101" s="477" t="s">
        <v>292</v>
      </c>
      <c r="N101" s="478" t="s">
        <v>293</v>
      </c>
    </row>
    <row r="102" spans="1:14" ht="16.5" thickBot="1" x14ac:dyDescent="0.3">
      <c r="A102" s="489" t="s">
        <v>103</v>
      </c>
      <c r="B102" s="702" t="s">
        <v>294</v>
      </c>
      <c r="C102" s="490">
        <v>325000</v>
      </c>
      <c r="D102" s="490">
        <v>300000</v>
      </c>
      <c r="E102" s="490"/>
      <c r="F102" s="490">
        <v>25000</v>
      </c>
      <c r="G102" s="490"/>
      <c r="H102" s="490"/>
      <c r="I102" s="491">
        <f t="shared" si="26"/>
        <v>325000</v>
      </c>
      <c r="J102" s="475">
        <f t="shared" si="27"/>
        <v>0</v>
      </c>
      <c r="L102" s="481" t="s">
        <v>311</v>
      </c>
      <c r="M102" s="482">
        <v>500</v>
      </c>
      <c r="N102" s="483"/>
    </row>
    <row r="103" spans="1:14" ht="15.75" x14ac:dyDescent="0.25">
      <c r="A103" s="488" t="s">
        <v>190</v>
      </c>
      <c r="B103" s="625" t="s">
        <v>191</v>
      </c>
      <c r="C103" s="290">
        <f>43000-18000</f>
        <v>25000</v>
      </c>
      <c r="D103" s="290"/>
      <c r="E103" s="290">
        <v>3000</v>
      </c>
      <c r="F103" s="290">
        <f>40000-18000</f>
        <v>22000</v>
      </c>
      <c r="G103" s="290"/>
      <c r="H103" s="290"/>
      <c r="I103" s="474">
        <f t="shared" si="26"/>
        <v>25000</v>
      </c>
      <c r="J103" s="475">
        <f t="shared" si="27"/>
        <v>0</v>
      </c>
      <c r="L103" s="486" t="s">
        <v>322</v>
      </c>
      <c r="M103" s="482">
        <v>1000</v>
      </c>
      <c r="N103" s="483"/>
    </row>
    <row r="104" spans="1:14" ht="15.75" x14ac:dyDescent="0.25">
      <c r="A104" s="494" t="s">
        <v>190</v>
      </c>
      <c r="B104" s="495" t="s">
        <v>297</v>
      </c>
      <c r="C104" s="466">
        <f>29000</f>
        <v>29000</v>
      </c>
      <c r="D104" s="466"/>
      <c r="E104" s="466"/>
      <c r="F104" s="466">
        <f>29000</f>
        <v>29000</v>
      </c>
      <c r="G104" s="466"/>
      <c r="H104" s="466"/>
      <c r="I104" s="487">
        <f t="shared" si="26"/>
        <v>29000</v>
      </c>
      <c r="J104" s="475">
        <f t="shared" si="27"/>
        <v>0</v>
      </c>
      <c r="L104" s="481" t="s">
        <v>582</v>
      </c>
      <c r="M104" s="482">
        <f>6000-1200</f>
        <v>4800</v>
      </c>
      <c r="N104" s="483"/>
    </row>
    <row r="105" spans="1:14" ht="15.75" x14ac:dyDescent="0.25">
      <c r="A105" s="479" t="s">
        <v>110</v>
      </c>
      <c r="B105" s="703" t="s">
        <v>239</v>
      </c>
      <c r="C105" s="281">
        <v>30000</v>
      </c>
      <c r="D105" s="281"/>
      <c r="E105" s="281"/>
      <c r="F105" s="281">
        <v>30000</v>
      </c>
      <c r="G105" s="281"/>
      <c r="H105" s="281"/>
      <c r="I105" s="487">
        <f t="shared" si="26"/>
        <v>30000</v>
      </c>
      <c r="J105" s="475">
        <f t="shared" si="27"/>
        <v>0</v>
      </c>
      <c r="L105" s="481" t="s">
        <v>581</v>
      </c>
      <c r="M105" s="482">
        <f>1500+1200</f>
        <v>2700</v>
      </c>
      <c r="N105" s="483"/>
    </row>
    <row r="106" spans="1:14" ht="16.5" thickBot="1" x14ac:dyDescent="0.3">
      <c r="A106" s="489" t="s">
        <v>110</v>
      </c>
      <c r="B106" s="497" t="s">
        <v>230</v>
      </c>
      <c r="C106" s="284">
        <v>15800</v>
      </c>
      <c r="D106" s="284">
        <v>15000</v>
      </c>
      <c r="E106" s="284"/>
      <c r="F106" s="284">
        <v>800</v>
      </c>
      <c r="G106" s="284"/>
      <c r="H106" s="284"/>
      <c r="I106" s="704">
        <f t="shared" si="26"/>
        <v>15800</v>
      </c>
      <c r="J106" s="475">
        <f t="shared" si="27"/>
        <v>0</v>
      </c>
      <c r="L106" s="486" t="s">
        <v>583</v>
      </c>
      <c r="M106" s="482">
        <v>5000</v>
      </c>
      <c r="N106" s="483"/>
    </row>
    <row r="107" spans="1:14" ht="15.75" x14ac:dyDescent="0.25">
      <c r="A107" s="472" t="s">
        <v>125</v>
      </c>
      <c r="B107" s="705" t="s">
        <v>192</v>
      </c>
      <c r="C107" s="287">
        <v>0</v>
      </c>
      <c r="D107" s="287"/>
      <c r="E107" s="287"/>
      <c r="F107" s="287">
        <v>0</v>
      </c>
      <c r="G107" s="287"/>
      <c r="H107" s="287"/>
      <c r="I107" s="474">
        <f t="shared" si="26"/>
        <v>0</v>
      </c>
      <c r="J107" s="475">
        <f t="shared" si="27"/>
        <v>0</v>
      </c>
      <c r="L107" s="481" t="s">
        <v>295</v>
      </c>
      <c r="M107" s="492">
        <v>5000</v>
      </c>
      <c r="N107" s="493"/>
    </row>
    <row r="108" spans="1:14" ht="15.75" x14ac:dyDescent="0.25">
      <c r="A108" s="496" t="s">
        <v>125</v>
      </c>
      <c r="B108" s="498" t="s">
        <v>301</v>
      </c>
      <c r="C108" s="293">
        <v>21000</v>
      </c>
      <c r="D108" s="293">
        <v>19000</v>
      </c>
      <c r="E108" s="293"/>
      <c r="F108" s="293">
        <f>2000</f>
        <v>2000</v>
      </c>
      <c r="G108" s="293"/>
      <c r="H108" s="281"/>
      <c r="I108" s="487">
        <f t="shared" si="26"/>
        <v>21000</v>
      </c>
      <c r="J108" s="475">
        <f t="shared" si="27"/>
        <v>0</v>
      </c>
      <c r="L108" s="481" t="s">
        <v>296</v>
      </c>
      <c r="M108" s="482">
        <v>2000</v>
      </c>
      <c r="N108" s="483"/>
    </row>
    <row r="109" spans="1:14" ht="15.75" x14ac:dyDescent="0.25">
      <c r="A109" s="496" t="s">
        <v>125</v>
      </c>
      <c r="B109" s="498" t="s">
        <v>303</v>
      </c>
      <c r="C109" s="293">
        <v>8000</v>
      </c>
      <c r="D109" s="293"/>
      <c r="E109" s="293"/>
      <c r="F109" s="293">
        <f>8000</f>
        <v>8000</v>
      </c>
      <c r="G109" s="293"/>
      <c r="H109" s="281"/>
      <c r="I109" s="487">
        <f t="shared" si="26"/>
        <v>8000</v>
      </c>
      <c r="J109" s="475">
        <f t="shared" si="27"/>
        <v>0</v>
      </c>
      <c r="L109" s="481" t="s">
        <v>299</v>
      </c>
      <c r="M109" s="492">
        <v>3000</v>
      </c>
      <c r="N109" s="493"/>
    </row>
    <row r="110" spans="1:14" ht="15.75" x14ac:dyDescent="0.25">
      <c r="A110" s="496" t="s">
        <v>127</v>
      </c>
      <c r="B110" s="498" t="s">
        <v>238</v>
      </c>
      <c r="C110" s="293">
        <v>100000</v>
      </c>
      <c r="D110" s="293"/>
      <c r="E110" s="293">
        <v>5000</v>
      </c>
      <c r="F110" s="281">
        <v>95000</v>
      </c>
      <c r="G110" s="281"/>
      <c r="H110" s="281"/>
      <c r="I110" s="487">
        <f t="shared" si="26"/>
        <v>100000</v>
      </c>
      <c r="J110" s="475">
        <f t="shared" si="27"/>
        <v>0</v>
      </c>
      <c r="L110" s="481" t="s">
        <v>313</v>
      </c>
      <c r="M110" s="492">
        <v>0</v>
      </c>
      <c r="N110" s="493"/>
    </row>
    <row r="111" spans="1:14" ht="16.5" thickBot="1" x14ac:dyDescent="0.3">
      <c r="A111" s="479" t="s">
        <v>127</v>
      </c>
      <c r="B111" s="294" t="s">
        <v>306</v>
      </c>
      <c r="C111" s="281">
        <f>200000</f>
        <v>200000</v>
      </c>
      <c r="D111" s="281"/>
      <c r="E111" s="281"/>
      <c r="F111" s="281">
        <f>200000</f>
        <v>200000</v>
      </c>
      <c r="G111" s="281"/>
      <c r="H111" s="281"/>
      <c r="I111" s="487">
        <f t="shared" si="26"/>
        <v>200000</v>
      </c>
      <c r="J111" s="475">
        <f t="shared" si="27"/>
        <v>0</v>
      </c>
      <c r="L111" s="481" t="s">
        <v>302</v>
      </c>
      <c r="M111" s="492">
        <v>2500</v>
      </c>
      <c r="N111" s="493"/>
    </row>
    <row r="112" spans="1:14" ht="16.5" thickBot="1" x14ac:dyDescent="0.3">
      <c r="A112" s="516" t="s">
        <v>136</v>
      </c>
      <c r="B112" s="517" t="s">
        <v>269</v>
      </c>
      <c r="C112" s="411">
        <v>381000</v>
      </c>
      <c r="D112" s="411">
        <v>355220</v>
      </c>
      <c r="E112" s="411"/>
      <c r="F112" s="411">
        <v>25780</v>
      </c>
      <c r="G112" s="411"/>
      <c r="H112" s="411"/>
      <c r="I112" s="518">
        <f t="shared" si="26"/>
        <v>381000</v>
      </c>
      <c r="J112" s="475">
        <f t="shared" si="27"/>
        <v>0</v>
      </c>
      <c r="L112" s="722" t="s">
        <v>493</v>
      </c>
      <c r="M112" s="723">
        <v>2300</v>
      </c>
      <c r="N112" s="724" t="s">
        <v>494</v>
      </c>
    </row>
    <row r="113" spans="1:14" ht="16.5" thickBot="1" x14ac:dyDescent="0.3">
      <c r="A113" s="717" t="s">
        <v>152</v>
      </c>
      <c r="B113" s="631" t="s">
        <v>498</v>
      </c>
      <c r="C113" s="614">
        <f>92800+18000+2500</f>
        <v>113300</v>
      </c>
      <c r="D113" s="614">
        <f>166800-89300+2500</f>
        <v>80000</v>
      </c>
      <c r="E113" s="614"/>
      <c r="F113" s="614">
        <f>15300+18000</f>
        <v>33300</v>
      </c>
      <c r="G113" s="287"/>
      <c r="H113" s="287"/>
      <c r="I113" s="474">
        <f t="shared" si="26"/>
        <v>113300</v>
      </c>
      <c r="J113" s="475">
        <f t="shared" si="27"/>
        <v>0</v>
      </c>
      <c r="L113" s="510" t="s">
        <v>304</v>
      </c>
      <c r="M113" s="511">
        <v>200</v>
      </c>
      <c r="N113" s="512"/>
    </row>
    <row r="114" spans="1:14" ht="16.5" thickBot="1" x14ac:dyDescent="0.3">
      <c r="A114" s="803" t="s">
        <v>308</v>
      </c>
      <c r="B114" s="804"/>
      <c r="C114" s="500">
        <f t="shared" ref="C114:I114" si="28">SUM(C99:C113)</f>
        <v>1270200</v>
      </c>
      <c r="D114" s="500">
        <f t="shared" si="28"/>
        <v>769220</v>
      </c>
      <c r="E114" s="500">
        <f t="shared" si="28"/>
        <v>8000</v>
      </c>
      <c r="F114" s="500">
        <f t="shared" si="28"/>
        <v>492980</v>
      </c>
      <c r="G114" s="500">
        <f t="shared" si="28"/>
        <v>0</v>
      </c>
      <c r="H114" s="500">
        <f t="shared" si="28"/>
        <v>0</v>
      </c>
      <c r="I114" s="501">
        <f t="shared" si="28"/>
        <v>1270200</v>
      </c>
      <c r="J114" s="475">
        <f t="shared" si="27"/>
        <v>0</v>
      </c>
      <c r="L114" s="513" t="s">
        <v>305</v>
      </c>
      <c r="M114" s="514">
        <f>SUM(M102:M113)</f>
        <v>29000</v>
      </c>
      <c r="N114" s="515"/>
    </row>
    <row r="115" spans="1:14" ht="15.75" thickBot="1" x14ac:dyDescent="0.3">
      <c r="A115" s="472"/>
      <c r="B115" s="706"/>
      <c r="C115" s="707"/>
      <c r="D115" s="287"/>
      <c r="E115" s="287"/>
      <c r="F115" s="708"/>
      <c r="G115" s="708"/>
      <c r="H115" s="287"/>
      <c r="I115" s="474">
        <f>SUM(D115:H115)</f>
        <v>0</v>
      </c>
      <c r="J115" s="475">
        <f t="shared" si="27"/>
        <v>0</v>
      </c>
    </row>
    <row r="116" spans="1:14" ht="15.75" thickBot="1" x14ac:dyDescent="0.3">
      <c r="A116" s="803" t="s">
        <v>471</v>
      </c>
      <c r="B116" s="804"/>
      <c r="C116" s="500">
        <f>SUM(C115:C115)</f>
        <v>0</v>
      </c>
      <c r="D116" s="500">
        <f t="shared" ref="D116:H116" si="29">SUM(D115:D115)</f>
        <v>0</v>
      </c>
      <c r="E116" s="500">
        <f t="shared" si="29"/>
        <v>0</v>
      </c>
      <c r="F116" s="500">
        <f t="shared" si="29"/>
        <v>0</v>
      </c>
      <c r="G116" s="500">
        <f t="shared" si="29"/>
        <v>0</v>
      </c>
      <c r="H116" s="500">
        <f t="shared" si="29"/>
        <v>0</v>
      </c>
      <c r="I116" s="501">
        <f>SUM(I115:I115)</f>
        <v>0</v>
      </c>
      <c r="J116" s="475">
        <f t="shared" si="27"/>
        <v>0</v>
      </c>
    </row>
    <row r="117" spans="1:14" ht="15.75" thickBot="1" x14ac:dyDescent="0.3">
      <c r="A117" s="803" t="s">
        <v>472</v>
      </c>
      <c r="B117" s="804"/>
      <c r="C117" s="500">
        <f>C114+C116</f>
        <v>1270200</v>
      </c>
      <c r="D117" s="500">
        <f t="shared" ref="D117:H117" si="30">D114+D116</f>
        <v>769220</v>
      </c>
      <c r="E117" s="500">
        <f t="shared" si="30"/>
        <v>8000</v>
      </c>
      <c r="F117" s="500">
        <f t="shared" si="30"/>
        <v>492980</v>
      </c>
      <c r="G117" s="500">
        <f t="shared" si="30"/>
        <v>0</v>
      </c>
      <c r="H117" s="500">
        <f t="shared" si="30"/>
        <v>0</v>
      </c>
      <c r="I117" s="501">
        <f>I114+I116</f>
        <v>1270200</v>
      </c>
      <c r="J117" s="475">
        <f t="shared" si="27"/>
        <v>0</v>
      </c>
    </row>
    <row r="118" spans="1:14" x14ac:dyDescent="0.25">
      <c r="A118" s="502"/>
      <c r="B118" s="502"/>
      <c r="C118" s="503"/>
      <c r="D118" s="504"/>
      <c r="E118" s="709">
        <f>D114+E114</f>
        <v>777220</v>
      </c>
      <c r="F118" s="504">
        <f>SUM(F117:F117)</f>
        <v>492980</v>
      </c>
      <c r="G118" s="504"/>
      <c r="H118" s="710" t="s">
        <v>309</v>
      </c>
      <c r="I118" s="505"/>
      <c r="J118" s="506"/>
    </row>
    <row r="119" spans="1:14" x14ac:dyDescent="0.25">
      <c r="A119" s="467"/>
      <c r="C119" s="467"/>
      <c r="D119" s="467"/>
      <c r="F119" s="711">
        <v>206000</v>
      </c>
      <c r="G119" s="712"/>
      <c r="H119" s="467" t="s">
        <v>473</v>
      </c>
      <c r="I119" s="467"/>
    </row>
    <row r="120" spans="1:14" x14ac:dyDescent="0.25">
      <c r="A120" s="467"/>
      <c r="C120" s="467"/>
      <c r="D120" s="507"/>
      <c r="E120" s="508"/>
      <c r="F120" s="713">
        <f>F119-F118</f>
        <v>-286980</v>
      </c>
      <c r="G120" s="713"/>
      <c r="H120" s="467" t="s">
        <v>505</v>
      </c>
      <c r="I120" s="467"/>
    </row>
    <row r="121" spans="1:14" x14ac:dyDescent="0.25">
      <c r="A121" s="467"/>
      <c r="B121" s="509"/>
      <c r="C121" s="467"/>
      <c r="D121" s="467"/>
      <c r="E121" s="467"/>
      <c r="F121" s="467"/>
      <c r="G121" s="467"/>
      <c r="H121" s="467"/>
      <c r="I121" s="467"/>
      <c r="J121" s="467"/>
    </row>
    <row r="122" spans="1:14" x14ac:dyDescent="0.25">
      <c r="A122" s="509"/>
      <c r="B122" s="509"/>
      <c r="C122" s="509"/>
      <c r="D122" s="509"/>
      <c r="E122" s="509"/>
      <c r="F122" s="509"/>
      <c r="G122" s="509"/>
      <c r="H122" s="509"/>
      <c r="I122" s="509"/>
      <c r="J122" s="509"/>
    </row>
    <row r="123" spans="1:14" x14ac:dyDescent="0.25">
      <c r="A123" s="467"/>
      <c r="B123" s="467" t="s">
        <v>217</v>
      </c>
      <c r="C123" s="467"/>
      <c r="D123" s="467"/>
      <c r="E123" s="467"/>
      <c r="F123" s="467"/>
      <c r="G123" s="467"/>
      <c r="H123" s="467"/>
      <c r="I123" s="467"/>
      <c r="J123" s="467"/>
    </row>
    <row r="124" spans="1:14" x14ac:dyDescent="0.25">
      <c r="A124" s="467"/>
      <c r="B124" s="467" t="s">
        <v>584</v>
      </c>
      <c r="C124" s="467"/>
      <c r="D124" s="467"/>
      <c r="E124" s="467"/>
      <c r="F124" s="467"/>
      <c r="G124" s="467"/>
      <c r="H124" s="467"/>
      <c r="I124" s="467"/>
      <c r="J124" s="467"/>
    </row>
    <row r="127" spans="1:14" ht="18" x14ac:dyDescent="0.25">
      <c r="A127" s="799" t="s">
        <v>370</v>
      </c>
      <c r="B127" s="799"/>
      <c r="C127" s="799"/>
      <c r="D127" s="799"/>
      <c r="E127" s="799"/>
      <c r="F127" s="799"/>
      <c r="G127" s="799"/>
      <c r="H127" s="799"/>
    </row>
    <row r="128" spans="1:14" ht="15.75" thickBot="1" x14ac:dyDescent="0.3">
      <c r="A128" s="467"/>
      <c r="B128" s="467"/>
      <c r="C128" s="467"/>
      <c r="D128" s="467"/>
      <c r="E128" s="467"/>
      <c r="F128" s="467"/>
      <c r="G128" s="467"/>
      <c r="H128" s="467"/>
      <c r="I128" s="467"/>
    </row>
    <row r="129" spans="1:14" ht="60.75" thickBot="1" x14ac:dyDescent="0.3">
      <c r="A129" s="468" t="s">
        <v>284</v>
      </c>
      <c r="B129" s="468" t="s">
        <v>285</v>
      </c>
      <c r="C129" s="469" t="s">
        <v>286</v>
      </c>
      <c r="D129" s="469" t="s">
        <v>321</v>
      </c>
      <c r="E129" s="469" t="s">
        <v>316</v>
      </c>
      <c r="F129" s="469" t="s">
        <v>287</v>
      </c>
      <c r="G129" s="469" t="s">
        <v>314</v>
      </c>
      <c r="H129" s="470" t="s">
        <v>288</v>
      </c>
      <c r="I129" s="471" t="s">
        <v>289</v>
      </c>
    </row>
    <row r="130" spans="1:14" x14ac:dyDescent="0.25">
      <c r="A130" s="472" t="s">
        <v>96</v>
      </c>
      <c r="B130" s="473" t="s">
        <v>186</v>
      </c>
      <c r="C130" s="287">
        <v>1500</v>
      </c>
      <c r="D130" s="287"/>
      <c r="E130" s="287"/>
      <c r="F130" s="287">
        <v>1500</v>
      </c>
      <c r="G130" s="287"/>
      <c r="H130" s="287"/>
      <c r="I130" s="474">
        <f t="shared" ref="I130:I144" si="31">SUM(D130:H130)</f>
        <v>1500</v>
      </c>
      <c r="J130" s="475">
        <f t="shared" ref="J130:J148" si="32">C130-I130</f>
        <v>0</v>
      </c>
    </row>
    <row r="131" spans="1:14" ht="15.75" thickBot="1" x14ac:dyDescent="0.3">
      <c r="A131" s="479" t="s">
        <v>98</v>
      </c>
      <c r="B131" s="480" t="s">
        <v>245</v>
      </c>
      <c r="C131" s="290">
        <f>10200+10400</f>
        <v>20600</v>
      </c>
      <c r="D131" s="290"/>
      <c r="E131" s="290"/>
      <c r="F131" s="290">
        <f>10200+10400</f>
        <v>20600</v>
      </c>
      <c r="G131" s="290"/>
      <c r="H131" s="290"/>
      <c r="I131" s="474">
        <f t="shared" si="31"/>
        <v>20600</v>
      </c>
      <c r="J131" s="475">
        <f t="shared" si="32"/>
        <v>0</v>
      </c>
    </row>
    <row r="132" spans="1:14" ht="16.5" thickBot="1" x14ac:dyDescent="0.3">
      <c r="A132" s="484" t="s">
        <v>101</v>
      </c>
      <c r="B132" s="700" t="s">
        <v>246</v>
      </c>
      <c r="C132" s="701">
        <v>0</v>
      </c>
      <c r="D132" s="278"/>
      <c r="E132" s="278"/>
      <c r="F132" s="278">
        <v>0</v>
      </c>
      <c r="G132" s="278"/>
      <c r="H132" s="278"/>
      <c r="I132" s="485">
        <f t="shared" si="31"/>
        <v>0</v>
      </c>
      <c r="J132" s="475">
        <f t="shared" si="32"/>
        <v>0</v>
      </c>
      <c r="L132" s="800" t="s">
        <v>290</v>
      </c>
      <c r="M132" s="801"/>
      <c r="N132" s="802"/>
    </row>
    <row r="133" spans="1:14" ht="16.5" thickBot="1" x14ac:dyDescent="0.3">
      <c r="A133" s="489" t="s">
        <v>103</v>
      </c>
      <c r="B133" s="702" t="s">
        <v>294</v>
      </c>
      <c r="C133" s="490">
        <v>325000</v>
      </c>
      <c r="D133" s="490">
        <v>300000</v>
      </c>
      <c r="E133" s="490"/>
      <c r="F133" s="490">
        <v>25000</v>
      </c>
      <c r="G133" s="490"/>
      <c r="H133" s="490"/>
      <c r="I133" s="491">
        <f t="shared" si="31"/>
        <v>325000</v>
      </c>
      <c r="J133" s="475">
        <f t="shared" si="32"/>
        <v>0</v>
      </c>
      <c r="L133" s="476" t="s">
        <v>291</v>
      </c>
      <c r="M133" s="477" t="s">
        <v>292</v>
      </c>
      <c r="N133" s="478" t="s">
        <v>293</v>
      </c>
    </row>
    <row r="134" spans="1:14" ht="15.75" x14ac:dyDescent="0.25">
      <c r="A134" s="714" t="s">
        <v>190</v>
      </c>
      <c r="B134" s="715" t="s">
        <v>191</v>
      </c>
      <c r="C134" s="716">
        <f>43000-18000</f>
        <v>25000</v>
      </c>
      <c r="D134" s="716"/>
      <c r="E134" s="716">
        <v>3000</v>
      </c>
      <c r="F134" s="716">
        <f>40000-18000</f>
        <v>22000</v>
      </c>
      <c r="G134" s="290"/>
      <c r="H134" s="290"/>
      <c r="I134" s="474">
        <f t="shared" si="31"/>
        <v>25000</v>
      </c>
      <c r="J134" s="475">
        <f t="shared" si="32"/>
        <v>0</v>
      </c>
      <c r="L134" s="481" t="s">
        <v>311</v>
      </c>
      <c r="M134" s="482">
        <v>500</v>
      </c>
      <c r="N134" s="483"/>
    </row>
    <row r="135" spans="1:14" ht="15.75" x14ac:dyDescent="0.25">
      <c r="A135" s="494" t="s">
        <v>190</v>
      </c>
      <c r="B135" s="495" t="s">
        <v>297</v>
      </c>
      <c r="C135" s="466">
        <v>29000</v>
      </c>
      <c r="D135" s="466"/>
      <c r="E135" s="466"/>
      <c r="F135" s="466">
        <v>29000</v>
      </c>
      <c r="G135" s="466"/>
      <c r="H135" s="466"/>
      <c r="I135" s="487">
        <f t="shared" si="31"/>
        <v>29000</v>
      </c>
      <c r="J135" s="475">
        <f t="shared" si="32"/>
        <v>0</v>
      </c>
      <c r="L135" s="486" t="s">
        <v>322</v>
      </c>
      <c r="M135" s="482">
        <v>1000</v>
      </c>
      <c r="N135" s="483"/>
    </row>
    <row r="136" spans="1:14" ht="15.75" x14ac:dyDescent="0.25">
      <c r="A136" s="479" t="s">
        <v>110</v>
      </c>
      <c r="B136" s="703" t="s">
        <v>239</v>
      </c>
      <c r="C136" s="281">
        <v>30000</v>
      </c>
      <c r="D136" s="281"/>
      <c r="E136" s="281"/>
      <c r="F136" s="281">
        <v>30000</v>
      </c>
      <c r="G136" s="281"/>
      <c r="H136" s="281"/>
      <c r="I136" s="487">
        <f t="shared" si="31"/>
        <v>30000</v>
      </c>
      <c r="J136" s="475">
        <f t="shared" si="32"/>
        <v>0</v>
      </c>
      <c r="L136" s="481" t="s">
        <v>312</v>
      </c>
      <c r="M136" s="482">
        <v>6000</v>
      </c>
      <c r="N136" s="483"/>
    </row>
    <row r="137" spans="1:14" ht="16.5" thickBot="1" x14ac:dyDescent="0.3">
      <c r="A137" s="489" t="s">
        <v>110</v>
      </c>
      <c r="B137" s="497" t="s">
        <v>230</v>
      </c>
      <c r="C137" s="284">
        <v>15800</v>
      </c>
      <c r="D137" s="284">
        <v>15000</v>
      </c>
      <c r="E137" s="284"/>
      <c r="F137" s="284">
        <v>800</v>
      </c>
      <c r="G137" s="284"/>
      <c r="H137" s="284"/>
      <c r="I137" s="704">
        <f t="shared" si="31"/>
        <v>15800</v>
      </c>
      <c r="J137" s="475">
        <f t="shared" si="32"/>
        <v>0</v>
      </c>
      <c r="L137" s="481" t="s">
        <v>295</v>
      </c>
      <c r="M137" s="492">
        <v>5000</v>
      </c>
      <c r="N137" s="493"/>
    </row>
    <row r="138" spans="1:14" ht="15.75" x14ac:dyDescent="0.25">
      <c r="A138" s="472" t="s">
        <v>125</v>
      </c>
      <c r="B138" s="705" t="s">
        <v>192</v>
      </c>
      <c r="C138" s="287">
        <v>0</v>
      </c>
      <c r="D138" s="287"/>
      <c r="E138" s="287"/>
      <c r="F138" s="287">
        <v>0</v>
      </c>
      <c r="G138" s="287"/>
      <c r="H138" s="287"/>
      <c r="I138" s="474">
        <f t="shared" si="31"/>
        <v>0</v>
      </c>
      <c r="J138" s="475">
        <f t="shared" si="32"/>
        <v>0</v>
      </c>
      <c r="L138" s="481" t="s">
        <v>296</v>
      </c>
      <c r="M138" s="482">
        <v>2000</v>
      </c>
      <c r="N138" s="483"/>
    </row>
    <row r="139" spans="1:14" ht="15.75" x14ac:dyDescent="0.25">
      <c r="A139" s="496" t="s">
        <v>125</v>
      </c>
      <c r="B139" s="498" t="s">
        <v>301</v>
      </c>
      <c r="C139" s="293">
        <v>21000</v>
      </c>
      <c r="D139" s="293">
        <v>19000</v>
      </c>
      <c r="E139" s="293"/>
      <c r="F139" s="293">
        <f>2000</f>
        <v>2000</v>
      </c>
      <c r="G139" s="293"/>
      <c r="H139" s="281"/>
      <c r="I139" s="487">
        <f t="shared" si="31"/>
        <v>21000</v>
      </c>
      <c r="J139" s="475">
        <f t="shared" si="32"/>
        <v>0</v>
      </c>
      <c r="L139" s="481" t="s">
        <v>310</v>
      </c>
      <c r="M139" s="482">
        <v>1500</v>
      </c>
      <c r="N139" s="483"/>
    </row>
    <row r="140" spans="1:14" ht="15.75" x14ac:dyDescent="0.25">
      <c r="A140" s="496" t="s">
        <v>125</v>
      </c>
      <c r="B140" s="498" t="s">
        <v>303</v>
      </c>
      <c r="C140" s="293">
        <v>8000</v>
      </c>
      <c r="D140" s="293"/>
      <c r="E140" s="293"/>
      <c r="F140" s="293">
        <f>8000</f>
        <v>8000</v>
      </c>
      <c r="G140" s="293"/>
      <c r="H140" s="281"/>
      <c r="I140" s="487">
        <f t="shared" si="31"/>
        <v>8000</v>
      </c>
      <c r="J140" s="475">
        <f t="shared" si="32"/>
        <v>0</v>
      </c>
      <c r="L140" s="481" t="s">
        <v>299</v>
      </c>
      <c r="M140" s="492">
        <v>3000</v>
      </c>
      <c r="N140" s="493"/>
    </row>
    <row r="141" spans="1:14" ht="15.75" x14ac:dyDescent="0.25">
      <c r="A141" s="496" t="s">
        <v>127</v>
      </c>
      <c r="B141" s="498" t="s">
        <v>238</v>
      </c>
      <c r="C141" s="293">
        <v>100000</v>
      </c>
      <c r="D141" s="293"/>
      <c r="E141" s="293">
        <v>5000</v>
      </c>
      <c r="F141" s="281">
        <v>95000</v>
      </c>
      <c r="G141" s="281"/>
      <c r="H141" s="281"/>
      <c r="I141" s="487">
        <f t="shared" si="31"/>
        <v>100000</v>
      </c>
      <c r="J141" s="475">
        <f t="shared" si="32"/>
        <v>0</v>
      </c>
      <c r="L141" s="486" t="s">
        <v>300</v>
      </c>
      <c r="M141" s="482">
        <v>5000</v>
      </c>
      <c r="N141" s="483"/>
    </row>
    <row r="142" spans="1:14" ht="16.5" thickBot="1" x14ac:dyDescent="0.3">
      <c r="A142" s="479" t="s">
        <v>127</v>
      </c>
      <c r="B142" s="294" t="s">
        <v>306</v>
      </c>
      <c r="C142" s="281">
        <f>200000</f>
        <v>200000</v>
      </c>
      <c r="D142" s="281"/>
      <c r="E142" s="281"/>
      <c r="F142" s="281">
        <f>200000</f>
        <v>200000</v>
      </c>
      <c r="G142" s="281"/>
      <c r="H142" s="281"/>
      <c r="I142" s="487">
        <f t="shared" si="31"/>
        <v>200000</v>
      </c>
      <c r="J142" s="475">
        <f t="shared" si="32"/>
        <v>0</v>
      </c>
      <c r="L142" s="481" t="s">
        <v>313</v>
      </c>
      <c r="M142" s="492">
        <v>0</v>
      </c>
      <c r="N142" s="493"/>
    </row>
    <row r="143" spans="1:14" ht="16.5" thickBot="1" x14ac:dyDescent="0.3">
      <c r="A143" s="516" t="s">
        <v>136</v>
      </c>
      <c r="B143" s="517" t="s">
        <v>269</v>
      </c>
      <c r="C143" s="411">
        <v>381000</v>
      </c>
      <c r="D143" s="411">
        <v>355220</v>
      </c>
      <c r="E143" s="411"/>
      <c r="F143" s="411">
        <v>25780</v>
      </c>
      <c r="G143" s="411"/>
      <c r="H143" s="411"/>
      <c r="I143" s="518">
        <f t="shared" si="31"/>
        <v>381000</v>
      </c>
      <c r="J143" s="475">
        <f t="shared" si="32"/>
        <v>0</v>
      </c>
      <c r="L143" s="481" t="s">
        <v>302</v>
      </c>
      <c r="M143" s="492">
        <v>2500</v>
      </c>
      <c r="N143" s="493"/>
    </row>
    <row r="144" spans="1:14" ht="16.5" thickBot="1" x14ac:dyDescent="0.3">
      <c r="A144" s="717" t="s">
        <v>152</v>
      </c>
      <c r="B144" s="631" t="s">
        <v>470</v>
      </c>
      <c r="C144" s="614">
        <f>92800+18000</f>
        <v>110800</v>
      </c>
      <c r="D144" s="614">
        <f>166800-89300</f>
        <v>77500</v>
      </c>
      <c r="E144" s="614"/>
      <c r="F144" s="614">
        <f>15300+18000</f>
        <v>33300</v>
      </c>
      <c r="G144" s="287"/>
      <c r="H144" s="287"/>
      <c r="I144" s="474">
        <f t="shared" si="31"/>
        <v>110800</v>
      </c>
      <c r="J144" s="475">
        <f t="shared" si="32"/>
        <v>0</v>
      </c>
      <c r="L144" s="510" t="s">
        <v>304</v>
      </c>
      <c r="M144" s="511">
        <v>2500</v>
      </c>
      <c r="N144" s="512"/>
    </row>
    <row r="145" spans="1:14" ht="16.5" thickBot="1" x14ac:dyDescent="0.3">
      <c r="A145" s="803" t="s">
        <v>308</v>
      </c>
      <c r="B145" s="804"/>
      <c r="C145" s="500">
        <f t="shared" ref="C145:I145" si="33">SUM(C130:C144)</f>
        <v>1267700</v>
      </c>
      <c r="D145" s="500">
        <f t="shared" si="33"/>
        <v>766720</v>
      </c>
      <c r="E145" s="500">
        <f t="shared" si="33"/>
        <v>8000</v>
      </c>
      <c r="F145" s="500">
        <f t="shared" si="33"/>
        <v>492980</v>
      </c>
      <c r="G145" s="500">
        <f t="shared" si="33"/>
        <v>0</v>
      </c>
      <c r="H145" s="500">
        <f t="shared" si="33"/>
        <v>0</v>
      </c>
      <c r="I145" s="501">
        <f t="shared" si="33"/>
        <v>1267700</v>
      </c>
      <c r="J145" s="475">
        <f t="shared" si="32"/>
        <v>0</v>
      </c>
      <c r="L145" s="513" t="s">
        <v>305</v>
      </c>
      <c r="M145" s="514">
        <f>SUM(M134:M144)</f>
        <v>29000</v>
      </c>
      <c r="N145" s="515"/>
    </row>
    <row r="146" spans="1:14" ht="15.75" thickBot="1" x14ac:dyDescent="0.3">
      <c r="A146" s="472"/>
      <c r="B146" s="706"/>
      <c r="C146" s="707"/>
      <c r="D146" s="287"/>
      <c r="E146" s="287"/>
      <c r="F146" s="708"/>
      <c r="G146" s="708"/>
      <c r="H146" s="287"/>
      <c r="I146" s="474">
        <f>SUM(D146:H146)</f>
        <v>0</v>
      </c>
      <c r="J146" s="475">
        <f t="shared" si="32"/>
        <v>0</v>
      </c>
    </row>
    <row r="147" spans="1:14" ht="15.75" thickBot="1" x14ac:dyDescent="0.3">
      <c r="A147" s="803" t="s">
        <v>471</v>
      </c>
      <c r="B147" s="804"/>
      <c r="C147" s="500">
        <f>SUM(C146:C146)</f>
        <v>0</v>
      </c>
      <c r="D147" s="500">
        <f t="shared" ref="D147:H147" si="34">SUM(D146:D146)</f>
        <v>0</v>
      </c>
      <c r="E147" s="500">
        <f t="shared" si="34"/>
        <v>0</v>
      </c>
      <c r="F147" s="500">
        <f t="shared" si="34"/>
        <v>0</v>
      </c>
      <c r="G147" s="500">
        <f t="shared" si="34"/>
        <v>0</v>
      </c>
      <c r="H147" s="500">
        <f t="shared" si="34"/>
        <v>0</v>
      </c>
      <c r="I147" s="501">
        <f>SUM(I146:I146)</f>
        <v>0</v>
      </c>
      <c r="J147" s="475">
        <f t="shared" si="32"/>
        <v>0</v>
      </c>
    </row>
    <row r="148" spans="1:14" ht="15.75" thickBot="1" x14ac:dyDescent="0.3">
      <c r="A148" s="803" t="s">
        <v>472</v>
      </c>
      <c r="B148" s="804"/>
      <c r="C148" s="500">
        <f>C145+C147</f>
        <v>1267700</v>
      </c>
      <c r="D148" s="500">
        <f t="shared" ref="D148:H148" si="35">D145+D147</f>
        <v>766720</v>
      </c>
      <c r="E148" s="500">
        <f t="shared" si="35"/>
        <v>8000</v>
      </c>
      <c r="F148" s="500">
        <f t="shared" si="35"/>
        <v>492980</v>
      </c>
      <c r="G148" s="500">
        <f t="shared" si="35"/>
        <v>0</v>
      </c>
      <c r="H148" s="500">
        <f t="shared" si="35"/>
        <v>0</v>
      </c>
      <c r="I148" s="501">
        <f>I145+I147</f>
        <v>1267700</v>
      </c>
      <c r="J148" s="475">
        <f t="shared" si="32"/>
        <v>0</v>
      </c>
    </row>
    <row r="149" spans="1:14" x14ac:dyDescent="0.25">
      <c r="A149" s="502"/>
      <c r="B149" s="502"/>
      <c r="C149" s="503"/>
      <c r="D149" s="504"/>
      <c r="E149" s="709">
        <f>D145+E145</f>
        <v>774720</v>
      </c>
      <c r="F149" s="504">
        <f>SUM(F148:F148)</f>
        <v>492980</v>
      </c>
      <c r="G149" s="504"/>
      <c r="H149" s="710" t="s">
        <v>309</v>
      </c>
      <c r="I149" s="505"/>
      <c r="J149" s="506"/>
    </row>
    <row r="150" spans="1:14" x14ac:dyDescent="0.25">
      <c r="A150" s="467"/>
      <c r="C150" s="467"/>
      <c r="D150" s="467"/>
      <c r="F150" s="711">
        <v>206000</v>
      </c>
      <c r="G150" s="712"/>
      <c r="H150" s="467" t="s">
        <v>473</v>
      </c>
      <c r="I150" s="467"/>
    </row>
    <row r="151" spans="1:14" x14ac:dyDescent="0.25">
      <c r="A151" s="467"/>
      <c r="C151" s="467"/>
      <c r="D151" s="507"/>
      <c r="E151" s="508"/>
      <c r="F151" s="713">
        <f>F150-F149</f>
        <v>-286980</v>
      </c>
      <c r="G151" s="713"/>
      <c r="H151" s="467" t="s">
        <v>315</v>
      </c>
      <c r="I151" s="467"/>
    </row>
    <row r="152" spans="1:14" x14ac:dyDescent="0.25">
      <c r="A152" s="467"/>
      <c r="B152" s="509"/>
      <c r="C152" s="467"/>
      <c r="D152" s="467"/>
      <c r="E152" s="467"/>
      <c r="F152" s="467"/>
      <c r="G152" s="467"/>
      <c r="H152" s="467"/>
      <c r="I152" s="467"/>
      <c r="J152" s="467"/>
    </row>
    <row r="153" spans="1:14" x14ac:dyDescent="0.25">
      <c r="A153" s="509"/>
      <c r="B153" s="509"/>
      <c r="C153" s="509"/>
      <c r="D153" s="509"/>
      <c r="E153" s="509"/>
      <c r="F153" s="509"/>
      <c r="G153" s="509"/>
      <c r="H153" s="509"/>
      <c r="I153" s="509"/>
      <c r="J153" s="509"/>
    </row>
    <row r="154" spans="1:14" x14ac:dyDescent="0.25">
      <c r="A154" s="467"/>
      <c r="B154" s="467" t="s">
        <v>217</v>
      </c>
      <c r="C154" s="467"/>
      <c r="D154" s="467"/>
      <c r="E154" s="467"/>
      <c r="F154" s="467"/>
      <c r="G154" s="467"/>
      <c r="H154" s="467"/>
      <c r="I154" s="467"/>
      <c r="J154" s="467"/>
    </row>
    <row r="155" spans="1:14" x14ac:dyDescent="0.25">
      <c r="A155" s="467"/>
      <c r="B155" s="467" t="s">
        <v>476</v>
      </c>
      <c r="C155" s="467"/>
      <c r="D155" s="467"/>
      <c r="E155" s="467"/>
      <c r="F155" s="467"/>
      <c r="G155" s="467"/>
      <c r="H155" s="467"/>
      <c r="I155" s="467"/>
      <c r="J155" s="467"/>
    </row>
    <row r="158" spans="1:14" ht="18" x14ac:dyDescent="0.25">
      <c r="A158" s="799" t="s">
        <v>370</v>
      </c>
      <c r="B158" s="799"/>
      <c r="C158" s="799"/>
      <c r="D158" s="799"/>
      <c r="E158" s="799"/>
      <c r="F158" s="799"/>
      <c r="G158" s="799"/>
      <c r="H158" s="799"/>
    </row>
    <row r="159" spans="1:14" ht="15.75" thickBot="1" x14ac:dyDescent="0.3">
      <c r="A159" s="467"/>
      <c r="B159" s="467"/>
      <c r="C159" s="467"/>
      <c r="D159" s="467"/>
      <c r="E159" s="467"/>
      <c r="F159" s="467"/>
      <c r="G159" s="467"/>
      <c r="H159" s="467"/>
      <c r="I159" s="467"/>
    </row>
    <row r="160" spans="1:14" ht="60.75" thickBot="1" x14ac:dyDescent="0.3">
      <c r="A160" s="468" t="s">
        <v>284</v>
      </c>
      <c r="B160" s="468" t="s">
        <v>285</v>
      </c>
      <c r="C160" s="469" t="s">
        <v>286</v>
      </c>
      <c r="D160" s="469" t="s">
        <v>321</v>
      </c>
      <c r="E160" s="469" t="s">
        <v>316</v>
      </c>
      <c r="F160" s="469" t="s">
        <v>287</v>
      </c>
      <c r="G160" s="469" t="s">
        <v>314</v>
      </c>
      <c r="H160" s="470" t="s">
        <v>288</v>
      </c>
      <c r="I160" s="471" t="s">
        <v>289</v>
      </c>
    </row>
    <row r="161" spans="1:14" x14ac:dyDescent="0.25">
      <c r="A161" s="472" t="s">
        <v>96</v>
      </c>
      <c r="B161" s="473" t="s">
        <v>186</v>
      </c>
      <c r="C161" s="287">
        <v>1500</v>
      </c>
      <c r="D161" s="287"/>
      <c r="E161" s="287"/>
      <c r="F161" s="287">
        <v>1500</v>
      </c>
      <c r="G161" s="287"/>
      <c r="H161" s="287"/>
      <c r="I161" s="474">
        <f t="shared" ref="I161:I177" si="36">SUM(D161:H161)</f>
        <v>1500</v>
      </c>
      <c r="J161" s="475">
        <f t="shared" ref="J161:J178" si="37">C161-I161</f>
        <v>0</v>
      </c>
      <c r="K161" s="647">
        <f>SUM(I161:I162)</f>
        <v>22100</v>
      </c>
    </row>
    <row r="162" spans="1:14" ht="15.75" thickBot="1" x14ac:dyDescent="0.3">
      <c r="A162" s="479" t="s">
        <v>98</v>
      </c>
      <c r="B162" s="480" t="s">
        <v>245</v>
      </c>
      <c r="C162" s="290">
        <f>10200+10400</f>
        <v>20600</v>
      </c>
      <c r="D162" s="290"/>
      <c r="E162" s="290"/>
      <c r="F162" s="290">
        <f>10200+10400</f>
        <v>20600</v>
      </c>
      <c r="G162" s="290"/>
      <c r="H162" s="290"/>
      <c r="I162" s="474">
        <f t="shared" si="36"/>
        <v>20600</v>
      </c>
      <c r="J162" s="475">
        <f t="shared" si="37"/>
        <v>0</v>
      </c>
      <c r="K162" s="648"/>
    </row>
    <row r="163" spans="1:14" ht="16.5" thickBot="1" x14ac:dyDescent="0.3">
      <c r="A163" s="484" t="s">
        <v>101</v>
      </c>
      <c r="B163" s="664" t="s">
        <v>414</v>
      </c>
      <c r="C163" s="665">
        <v>290000</v>
      </c>
      <c r="D163" s="666">
        <v>275000</v>
      </c>
      <c r="E163" s="666"/>
      <c r="F163" s="666">
        <v>15000</v>
      </c>
      <c r="G163" s="278"/>
      <c r="H163" s="278"/>
      <c r="I163" s="485">
        <f t="shared" si="36"/>
        <v>290000</v>
      </c>
      <c r="J163" s="475">
        <f t="shared" si="37"/>
        <v>0</v>
      </c>
      <c r="K163" s="647">
        <f>SUM(I163:I164)</f>
        <v>325000</v>
      </c>
      <c r="L163" s="800" t="s">
        <v>290</v>
      </c>
      <c r="M163" s="801"/>
      <c r="N163" s="802"/>
    </row>
    <row r="164" spans="1:14" ht="16.5" thickBot="1" x14ac:dyDescent="0.3">
      <c r="A164" s="489" t="s">
        <v>103</v>
      </c>
      <c r="B164" s="667" t="s">
        <v>294</v>
      </c>
      <c r="C164" s="632">
        <f>325000-290000</f>
        <v>35000</v>
      </c>
      <c r="D164" s="632">
        <f>300000-275000</f>
        <v>25000</v>
      </c>
      <c r="E164" s="632"/>
      <c r="F164" s="632">
        <f>25000-15000</f>
        <v>10000</v>
      </c>
      <c r="G164" s="490"/>
      <c r="H164" s="490"/>
      <c r="I164" s="491">
        <f t="shared" si="36"/>
        <v>35000</v>
      </c>
      <c r="J164" s="475">
        <f t="shared" si="37"/>
        <v>0</v>
      </c>
      <c r="K164" s="648"/>
      <c r="L164" s="476" t="s">
        <v>291</v>
      </c>
      <c r="M164" s="477" t="s">
        <v>292</v>
      </c>
      <c r="N164" s="478" t="s">
        <v>293</v>
      </c>
    </row>
    <row r="165" spans="1:14" ht="15.75" x14ac:dyDescent="0.25">
      <c r="A165" s="488" t="s">
        <v>190</v>
      </c>
      <c r="B165" s="625" t="s">
        <v>191</v>
      </c>
      <c r="C165" s="290">
        <f>43000</f>
        <v>43000</v>
      </c>
      <c r="D165" s="290"/>
      <c r="E165" s="290">
        <v>3000</v>
      </c>
      <c r="F165" s="290">
        <f>40000</f>
        <v>40000</v>
      </c>
      <c r="G165" s="290"/>
      <c r="H165" s="290"/>
      <c r="I165" s="474">
        <f t="shared" si="36"/>
        <v>43000</v>
      </c>
      <c r="J165" s="475">
        <f t="shared" si="37"/>
        <v>0</v>
      </c>
      <c r="K165" s="649" t="s">
        <v>298</v>
      </c>
      <c r="L165" s="481" t="s">
        <v>311</v>
      </c>
      <c r="M165" s="482">
        <v>500</v>
      </c>
      <c r="N165" s="483"/>
    </row>
    <row r="166" spans="1:14" ht="15.75" x14ac:dyDescent="0.25">
      <c r="A166" s="494" t="s">
        <v>190</v>
      </c>
      <c r="B166" s="495" t="s">
        <v>297</v>
      </c>
      <c r="C166" s="466">
        <v>29000</v>
      </c>
      <c r="D166" s="466"/>
      <c r="E166" s="466"/>
      <c r="F166" s="466">
        <v>29000</v>
      </c>
      <c r="G166" s="281"/>
      <c r="H166" s="281"/>
      <c r="I166" s="487">
        <f t="shared" si="36"/>
        <v>29000</v>
      </c>
      <c r="J166" s="475">
        <f t="shared" si="37"/>
        <v>0</v>
      </c>
      <c r="K166" s="647">
        <f>SUM(I165:I166)</f>
        <v>72000</v>
      </c>
      <c r="L166" s="486" t="s">
        <v>322</v>
      </c>
      <c r="M166" s="482">
        <v>1000</v>
      </c>
      <c r="N166" s="483"/>
    </row>
    <row r="167" spans="1:14" ht="15.75" x14ac:dyDescent="0.25">
      <c r="A167" s="496" t="s">
        <v>110</v>
      </c>
      <c r="B167" s="498" t="s">
        <v>230</v>
      </c>
      <c r="C167" s="293">
        <v>15800</v>
      </c>
      <c r="D167" s="293">
        <v>15000</v>
      </c>
      <c r="E167" s="293"/>
      <c r="F167" s="293">
        <v>800</v>
      </c>
      <c r="G167" s="293"/>
      <c r="H167" s="293"/>
      <c r="I167" s="612">
        <f>SUM(D167:H167)</f>
        <v>15800</v>
      </c>
      <c r="J167" s="475">
        <f>C167-I167</f>
        <v>0</v>
      </c>
      <c r="K167" s="647"/>
      <c r="L167" s="481" t="s">
        <v>312</v>
      </c>
      <c r="M167" s="482">
        <v>6000</v>
      </c>
      <c r="N167" s="483"/>
    </row>
    <row r="168" spans="1:14" ht="15.75" x14ac:dyDescent="0.25">
      <c r="A168" s="496" t="s">
        <v>110</v>
      </c>
      <c r="B168" s="615" t="s">
        <v>395</v>
      </c>
      <c r="C168" s="638">
        <v>8000</v>
      </c>
      <c r="D168" s="293"/>
      <c r="E168" s="638">
        <v>3990</v>
      </c>
      <c r="F168" s="638">
        <v>4010</v>
      </c>
      <c r="G168" s="293"/>
      <c r="H168" s="293"/>
      <c r="I168" s="612">
        <f>SUM(D168:H168)</f>
        <v>8000</v>
      </c>
      <c r="J168" s="475">
        <f>C168-I168</f>
        <v>0</v>
      </c>
      <c r="K168" s="647">
        <f>SUM(I167:I169)</f>
        <v>53800</v>
      </c>
      <c r="L168" s="481" t="s">
        <v>295</v>
      </c>
      <c r="M168" s="492">
        <v>5000</v>
      </c>
      <c r="N168" s="493"/>
    </row>
    <row r="169" spans="1:14" ht="16.5" thickBot="1" x14ac:dyDescent="0.3">
      <c r="A169" s="489" t="s">
        <v>110</v>
      </c>
      <c r="B169" s="497" t="s">
        <v>239</v>
      </c>
      <c r="C169" s="284">
        <v>30000</v>
      </c>
      <c r="D169" s="284"/>
      <c r="E169" s="284"/>
      <c r="F169" s="284">
        <v>30000</v>
      </c>
      <c r="G169" s="284"/>
      <c r="H169" s="284"/>
      <c r="I169" s="491">
        <f t="shared" si="36"/>
        <v>30000</v>
      </c>
      <c r="J169" s="475">
        <f t="shared" si="37"/>
        <v>0</v>
      </c>
      <c r="K169" s="648"/>
      <c r="L169" s="481" t="s">
        <v>296</v>
      </c>
      <c r="M169" s="482">
        <v>2000</v>
      </c>
      <c r="N169" s="483"/>
    </row>
    <row r="170" spans="1:14" ht="15.75" x14ac:dyDescent="0.25">
      <c r="A170" s="472" t="s">
        <v>125</v>
      </c>
      <c r="B170" s="613" t="s">
        <v>192</v>
      </c>
      <c r="C170" s="614">
        <v>2900</v>
      </c>
      <c r="D170" s="287"/>
      <c r="E170" s="287"/>
      <c r="F170" s="614">
        <v>2900</v>
      </c>
      <c r="G170" s="287"/>
      <c r="H170" s="287"/>
      <c r="I170" s="474">
        <f t="shared" si="36"/>
        <v>2900</v>
      </c>
      <c r="J170" s="475">
        <f t="shared" si="37"/>
        <v>0</v>
      </c>
      <c r="K170" s="648"/>
      <c r="L170" s="481" t="s">
        <v>310</v>
      </c>
      <c r="M170" s="482">
        <v>1500</v>
      </c>
      <c r="N170" s="483"/>
    </row>
    <row r="171" spans="1:14" ht="15.75" x14ac:dyDescent="0.25">
      <c r="A171" s="496" t="s">
        <v>125</v>
      </c>
      <c r="B171" s="498" t="s">
        <v>301</v>
      </c>
      <c r="C171" s="293">
        <v>21000</v>
      </c>
      <c r="D171" s="293">
        <v>19000</v>
      </c>
      <c r="E171" s="293"/>
      <c r="F171" s="293">
        <f>2000</f>
        <v>2000</v>
      </c>
      <c r="G171" s="293"/>
      <c r="H171" s="281"/>
      <c r="I171" s="487">
        <f t="shared" si="36"/>
        <v>21000</v>
      </c>
      <c r="J171" s="475">
        <f t="shared" si="37"/>
        <v>0</v>
      </c>
      <c r="K171" s="647">
        <f>SUM(I170:I172)</f>
        <v>31900</v>
      </c>
      <c r="L171" s="481" t="s">
        <v>299</v>
      </c>
      <c r="M171" s="492">
        <v>3000</v>
      </c>
      <c r="N171" s="493"/>
    </row>
    <row r="172" spans="1:14" ht="15.75" x14ac:dyDescent="0.25">
      <c r="A172" s="496" t="s">
        <v>125</v>
      </c>
      <c r="B172" s="498" t="s">
        <v>303</v>
      </c>
      <c r="C172" s="293">
        <v>8000</v>
      </c>
      <c r="D172" s="293"/>
      <c r="E172" s="293"/>
      <c r="F172" s="293">
        <f>8000</f>
        <v>8000</v>
      </c>
      <c r="G172" s="293"/>
      <c r="H172" s="281"/>
      <c r="I172" s="487">
        <f t="shared" si="36"/>
        <v>8000</v>
      </c>
      <c r="J172" s="475">
        <f t="shared" si="37"/>
        <v>0</v>
      </c>
      <c r="K172" s="648"/>
      <c r="L172" s="486" t="s">
        <v>300</v>
      </c>
      <c r="M172" s="482">
        <v>5000</v>
      </c>
      <c r="N172" s="483"/>
    </row>
    <row r="173" spans="1:14" ht="15.75" x14ac:dyDescent="0.25">
      <c r="A173" s="496" t="s">
        <v>127</v>
      </c>
      <c r="B173" s="615" t="s">
        <v>238</v>
      </c>
      <c r="C173" s="638">
        <f>100000+50000+766</f>
        <v>150766</v>
      </c>
      <c r="D173" s="293"/>
      <c r="E173" s="293">
        <f>5000+766</f>
        <v>5766</v>
      </c>
      <c r="F173" s="636">
        <f>95000+50000</f>
        <v>145000</v>
      </c>
      <c r="G173" s="281"/>
      <c r="H173" s="281"/>
      <c r="I173" s="487">
        <f t="shared" si="36"/>
        <v>150766</v>
      </c>
      <c r="J173" s="475">
        <f t="shared" si="37"/>
        <v>0</v>
      </c>
      <c r="K173" s="647">
        <f>SUM(I173:I174)</f>
        <v>277856</v>
      </c>
      <c r="L173" s="481" t="s">
        <v>313</v>
      </c>
      <c r="M173" s="492">
        <v>0</v>
      </c>
      <c r="N173" s="493"/>
    </row>
    <row r="174" spans="1:14" ht="15.75" x14ac:dyDescent="0.25">
      <c r="A174" s="479" t="s">
        <v>127</v>
      </c>
      <c r="B174" s="635" t="s">
        <v>306</v>
      </c>
      <c r="C174" s="636">
        <f>200000-2900-50000-16000-4010</f>
        <v>127090</v>
      </c>
      <c r="D174" s="281"/>
      <c r="E174" s="281"/>
      <c r="F174" s="636">
        <f>200000-2900-50000-16000-4010</f>
        <v>127090</v>
      </c>
      <c r="G174" s="281"/>
      <c r="H174" s="281"/>
      <c r="I174" s="487">
        <f t="shared" si="36"/>
        <v>127090</v>
      </c>
      <c r="J174" s="475">
        <f t="shared" si="37"/>
        <v>0</v>
      </c>
      <c r="K174" s="647">
        <f>SUM(I170:I175)</f>
        <v>325756</v>
      </c>
      <c r="L174" s="481" t="s">
        <v>302</v>
      </c>
      <c r="M174" s="492">
        <v>2500</v>
      </c>
      <c r="N174" s="493"/>
    </row>
    <row r="175" spans="1:14" ht="16.5" thickBot="1" x14ac:dyDescent="0.3">
      <c r="A175" s="489" t="s">
        <v>131</v>
      </c>
      <c r="B175" s="616" t="s">
        <v>307</v>
      </c>
      <c r="C175" s="632">
        <v>16000</v>
      </c>
      <c r="D175" s="284"/>
      <c r="E175" s="284"/>
      <c r="F175" s="632">
        <v>16000</v>
      </c>
      <c r="G175" s="284"/>
      <c r="H175" s="284"/>
      <c r="I175" s="491">
        <f t="shared" si="36"/>
        <v>16000</v>
      </c>
      <c r="J175" s="475">
        <f t="shared" si="37"/>
        <v>0</v>
      </c>
      <c r="L175" s="510" t="s">
        <v>304</v>
      </c>
      <c r="M175" s="511">
        <v>2500</v>
      </c>
      <c r="N175" s="512"/>
    </row>
    <row r="176" spans="1:14" ht="16.5" thickBot="1" x14ac:dyDescent="0.3">
      <c r="A176" s="516" t="s">
        <v>136</v>
      </c>
      <c r="B176" s="517" t="s">
        <v>269</v>
      </c>
      <c r="C176" s="411">
        <v>381000</v>
      </c>
      <c r="D176" s="411">
        <v>355220</v>
      </c>
      <c r="E176" s="411"/>
      <c r="F176" s="411">
        <v>25780</v>
      </c>
      <c r="G176" s="411"/>
      <c r="H176" s="411"/>
      <c r="I176" s="518">
        <f t="shared" si="36"/>
        <v>381000</v>
      </c>
      <c r="J176" s="475">
        <f t="shared" si="37"/>
        <v>0</v>
      </c>
      <c r="K176" s="464"/>
      <c r="L176" s="513" t="s">
        <v>305</v>
      </c>
      <c r="M176" s="514">
        <f>SUM(M165:M175)</f>
        <v>29000</v>
      </c>
      <c r="N176" s="515"/>
    </row>
    <row r="177" spans="1:11" ht="15.75" thickBot="1" x14ac:dyDescent="0.3">
      <c r="A177" s="472" t="s">
        <v>152</v>
      </c>
      <c r="B177" s="631" t="s">
        <v>385</v>
      </c>
      <c r="C177" s="614">
        <f>92800-900</f>
        <v>91900</v>
      </c>
      <c r="D177" s="614">
        <f>166800-89300+2200</f>
        <v>79700</v>
      </c>
      <c r="E177" s="287"/>
      <c r="F177" s="614">
        <f>20000-7800</f>
        <v>12200</v>
      </c>
      <c r="G177" s="287"/>
      <c r="H177" s="287"/>
      <c r="I177" s="474">
        <f t="shared" si="36"/>
        <v>91900</v>
      </c>
      <c r="J177" s="475">
        <f t="shared" si="37"/>
        <v>0</v>
      </c>
    </row>
    <row r="178" spans="1:11" ht="15.75" thickBot="1" x14ac:dyDescent="0.3">
      <c r="A178" s="803" t="s">
        <v>308</v>
      </c>
      <c r="B178" s="804"/>
      <c r="C178" s="500">
        <f t="shared" ref="C178:I178" si="38">SUM(C161:C177)</f>
        <v>1271556</v>
      </c>
      <c r="D178" s="500">
        <f t="shared" si="38"/>
        <v>768920</v>
      </c>
      <c r="E178" s="500">
        <f t="shared" si="38"/>
        <v>12756</v>
      </c>
      <c r="F178" s="500">
        <f t="shared" si="38"/>
        <v>489880</v>
      </c>
      <c r="G178" s="500">
        <f t="shared" si="38"/>
        <v>0</v>
      </c>
      <c r="H178" s="500">
        <f t="shared" si="38"/>
        <v>0</v>
      </c>
      <c r="I178" s="501">
        <f t="shared" si="38"/>
        <v>1271556</v>
      </c>
      <c r="J178" s="475">
        <f t="shared" si="37"/>
        <v>0</v>
      </c>
    </row>
    <row r="179" spans="1:11" x14ac:dyDescent="0.25">
      <c r="A179" s="502"/>
      <c r="B179" s="502"/>
      <c r="C179" s="503"/>
      <c r="D179" s="504"/>
      <c r="E179" s="654">
        <f>11990+766</f>
        <v>12756</v>
      </c>
      <c r="F179" s="670">
        <f>F178</f>
        <v>489880</v>
      </c>
      <c r="G179" s="671" t="s">
        <v>309</v>
      </c>
      <c r="I179" s="505"/>
      <c r="J179" s="506"/>
    </row>
    <row r="180" spans="1:11" x14ac:dyDescent="0.25">
      <c r="A180" s="467"/>
      <c r="C180" s="467"/>
      <c r="D180" s="467"/>
      <c r="F180" s="668">
        <v>226000</v>
      </c>
      <c r="G180" s="672" t="s">
        <v>375</v>
      </c>
      <c r="I180" s="467"/>
    </row>
    <row r="181" spans="1:11" x14ac:dyDescent="0.25">
      <c r="A181" s="467"/>
      <c r="C181" s="467"/>
      <c r="D181" s="507"/>
      <c r="E181" s="508"/>
      <c r="F181" s="669">
        <f>F180-F179</f>
        <v>-263880</v>
      </c>
      <c r="G181" s="672" t="s">
        <v>315</v>
      </c>
      <c r="I181" s="467"/>
    </row>
    <row r="182" spans="1:11" x14ac:dyDescent="0.25">
      <c r="A182" s="467"/>
      <c r="B182" s="509"/>
      <c r="C182" s="467"/>
      <c r="D182" s="467"/>
      <c r="E182" s="467"/>
      <c r="F182" s="467"/>
      <c r="G182" s="467"/>
      <c r="H182" s="467"/>
      <c r="I182" s="467"/>
      <c r="J182" s="467"/>
      <c r="K182" s="506"/>
    </row>
    <row r="183" spans="1:11" x14ac:dyDescent="0.25">
      <c r="A183" s="509"/>
      <c r="B183" s="509"/>
      <c r="C183" s="509"/>
      <c r="D183" s="509"/>
      <c r="E183" s="509"/>
      <c r="F183" s="509"/>
      <c r="G183" s="509"/>
      <c r="H183" s="509"/>
      <c r="I183" s="509"/>
      <c r="J183" s="509"/>
    </row>
    <row r="184" spans="1:11" x14ac:dyDescent="0.25">
      <c r="A184" s="467"/>
      <c r="B184" s="467" t="s">
        <v>217</v>
      </c>
      <c r="C184" s="467"/>
      <c r="D184" s="467"/>
      <c r="E184" s="467"/>
      <c r="F184" s="467"/>
      <c r="G184" s="467"/>
      <c r="H184" s="467"/>
      <c r="I184" s="467"/>
      <c r="J184" s="467"/>
    </row>
    <row r="185" spans="1:11" x14ac:dyDescent="0.25">
      <c r="A185" s="467"/>
      <c r="B185" s="467" t="s">
        <v>459</v>
      </c>
      <c r="C185" s="467"/>
      <c r="D185" s="467"/>
      <c r="E185" s="467"/>
      <c r="F185" s="467"/>
      <c r="G185" s="467"/>
      <c r="H185" s="467"/>
      <c r="I185" s="467"/>
      <c r="J185" s="467"/>
    </row>
    <row r="189" spans="1:11" ht="18" x14ac:dyDescent="0.25">
      <c r="A189" s="799" t="s">
        <v>370</v>
      </c>
      <c r="B189" s="799"/>
      <c r="C189" s="799"/>
      <c r="D189" s="799"/>
      <c r="E189" s="799"/>
      <c r="F189" s="799"/>
      <c r="G189" s="799"/>
      <c r="H189" s="799"/>
    </row>
    <row r="190" spans="1:11" ht="15.75" thickBot="1" x14ac:dyDescent="0.3">
      <c r="A190" s="467"/>
      <c r="B190" s="467"/>
      <c r="C190" s="467"/>
      <c r="D190" s="467"/>
      <c r="E190" s="467"/>
      <c r="F190" s="467"/>
      <c r="G190" s="467"/>
      <c r="H190" s="467"/>
      <c r="I190" s="467"/>
    </row>
    <row r="191" spans="1:11" ht="60.75" thickBot="1" x14ac:dyDescent="0.3">
      <c r="A191" s="468" t="s">
        <v>284</v>
      </c>
      <c r="B191" s="468" t="s">
        <v>285</v>
      </c>
      <c r="C191" s="469" t="s">
        <v>286</v>
      </c>
      <c r="D191" s="469" t="s">
        <v>321</v>
      </c>
      <c r="E191" s="469" t="s">
        <v>316</v>
      </c>
      <c r="F191" s="469" t="s">
        <v>287</v>
      </c>
      <c r="G191" s="469" t="s">
        <v>314</v>
      </c>
      <c r="H191" s="470" t="s">
        <v>288</v>
      </c>
      <c r="I191" s="471" t="s">
        <v>289</v>
      </c>
    </row>
    <row r="192" spans="1:11" x14ac:dyDescent="0.25">
      <c r="A192" s="472" t="s">
        <v>96</v>
      </c>
      <c r="B192" s="473" t="s">
        <v>186</v>
      </c>
      <c r="C192" s="287">
        <v>1500</v>
      </c>
      <c r="D192" s="287"/>
      <c r="E192" s="287"/>
      <c r="F192" s="287">
        <v>1500</v>
      </c>
      <c r="G192" s="287"/>
      <c r="H192" s="287"/>
      <c r="I192" s="474">
        <f t="shared" ref="I192:I206" si="39">SUM(D192:H192)</f>
        <v>1500</v>
      </c>
      <c r="J192" s="475">
        <f t="shared" ref="J192:J210" si="40">C192-I192</f>
        <v>0</v>
      </c>
    </row>
    <row r="193" spans="1:10" ht="15.75" thickBot="1" x14ac:dyDescent="0.3">
      <c r="A193" s="479" t="s">
        <v>98</v>
      </c>
      <c r="B193" s="480" t="s">
        <v>245</v>
      </c>
      <c r="C193" s="290">
        <f>10200+10400</f>
        <v>20600</v>
      </c>
      <c r="D193" s="290"/>
      <c r="E193" s="290"/>
      <c r="F193" s="290">
        <f>10200+10400</f>
        <v>20600</v>
      </c>
      <c r="G193" s="290"/>
      <c r="H193" s="290"/>
      <c r="I193" s="474">
        <f t="shared" si="39"/>
        <v>20600</v>
      </c>
      <c r="J193" s="475">
        <f t="shared" si="40"/>
        <v>0</v>
      </c>
    </row>
    <row r="194" spans="1:10" x14ac:dyDescent="0.25">
      <c r="A194" s="484" t="s">
        <v>101</v>
      </c>
      <c r="B194" s="700" t="s">
        <v>246</v>
      </c>
      <c r="C194" s="701">
        <v>0</v>
      </c>
      <c r="D194" s="278"/>
      <c r="E194" s="278"/>
      <c r="F194" s="278">
        <v>0</v>
      </c>
      <c r="G194" s="278"/>
      <c r="H194" s="278"/>
      <c r="I194" s="485">
        <f t="shared" si="39"/>
        <v>0</v>
      </c>
      <c r="J194" s="475">
        <f t="shared" si="40"/>
        <v>0</v>
      </c>
    </row>
    <row r="195" spans="1:10" ht="15.75" thickBot="1" x14ac:dyDescent="0.3">
      <c r="A195" s="489" t="s">
        <v>103</v>
      </c>
      <c r="B195" s="702" t="s">
        <v>294</v>
      </c>
      <c r="C195" s="490">
        <v>325000</v>
      </c>
      <c r="D195" s="490">
        <v>300000</v>
      </c>
      <c r="E195" s="490"/>
      <c r="F195" s="490">
        <v>25000</v>
      </c>
      <c r="G195" s="490"/>
      <c r="H195" s="490"/>
      <c r="I195" s="491">
        <f t="shared" si="39"/>
        <v>325000</v>
      </c>
      <c r="J195" s="475">
        <f t="shared" si="40"/>
        <v>0</v>
      </c>
    </row>
    <row r="196" spans="1:10" x14ac:dyDescent="0.25">
      <c r="A196" s="488" t="s">
        <v>190</v>
      </c>
      <c r="B196" s="625" t="s">
        <v>191</v>
      </c>
      <c r="C196" s="290">
        <v>43000</v>
      </c>
      <c r="D196" s="290"/>
      <c r="E196" s="290">
        <v>3000</v>
      </c>
      <c r="F196" s="290">
        <v>40000</v>
      </c>
      <c r="G196" s="290"/>
      <c r="H196" s="290"/>
      <c r="I196" s="474">
        <f t="shared" si="39"/>
        <v>43000</v>
      </c>
      <c r="J196" s="475">
        <f t="shared" si="40"/>
        <v>0</v>
      </c>
    </row>
    <row r="197" spans="1:10" x14ac:dyDescent="0.25">
      <c r="A197" s="494" t="s">
        <v>190</v>
      </c>
      <c r="B197" s="495" t="s">
        <v>297</v>
      </c>
      <c r="C197" s="466">
        <v>29000</v>
      </c>
      <c r="D197" s="466"/>
      <c r="E197" s="466"/>
      <c r="F197" s="466">
        <v>29000</v>
      </c>
      <c r="G197" s="466"/>
      <c r="H197" s="466"/>
      <c r="I197" s="487">
        <f t="shared" si="39"/>
        <v>29000</v>
      </c>
      <c r="J197" s="475">
        <f t="shared" si="40"/>
        <v>0</v>
      </c>
    </row>
    <row r="198" spans="1:10" x14ac:dyDescent="0.25">
      <c r="A198" s="479" t="s">
        <v>110</v>
      </c>
      <c r="B198" s="703" t="s">
        <v>239</v>
      </c>
      <c r="C198" s="281">
        <v>30000</v>
      </c>
      <c r="D198" s="281"/>
      <c r="E198" s="281"/>
      <c r="F198" s="281">
        <v>30000</v>
      </c>
      <c r="G198" s="281"/>
      <c r="H198" s="281"/>
      <c r="I198" s="487">
        <f t="shared" si="39"/>
        <v>30000</v>
      </c>
      <c r="J198" s="475">
        <f t="shared" si="40"/>
        <v>0</v>
      </c>
    </row>
    <row r="199" spans="1:10" ht="15.75" thickBot="1" x14ac:dyDescent="0.3">
      <c r="A199" s="489" t="s">
        <v>110</v>
      </c>
      <c r="B199" s="497" t="s">
        <v>230</v>
      </c>
      <c r="C199" s="284">
        <v>15800</v>
      </c>
      <c r="D199" s="284">
        <v>15000</v>
      </c>
      <c r="E199" s="284"/>
      <c r="F199" s="284">
        <v>800</v>
      </c>
      <c r="G199" s="284"/>
      <c r="H199" s="284"/>
      <c r="I199" s="704">
        <f t="shared" si="39"/>
        <v>15800</v>
      </c>
      <c r="J199" s="475">
        <f t="shared" si="40"/>
        <v>0</v>
      </c>
    </row>
    <row r="200" spans="1:10" x14ac:dyDescent="0.25">
      <c r="A200" s="472" t="s">
        <v>125</v>
      </c>
      <c r="B200" s="705" t="s">
        <v>192</v>
      </c>
      <c r="C200" s="287">
        <v>0</v>
      </c>
      <c r="D200" s="287"/>
      <c r="E200" s="287"/>
      <c r="F200" s="287">
        <v>0</v>
      </c>
      <c r="G200" s="287"/>
      <c r="H200" s="287"/>
      <c r="I200" s="474">
        <f t="shared" si="39"/>
        <v>0</v>
      </c>
      <c r="J200" s="475">
        <f t="shared" si="40"/>
        <v>0</v>
      </c>
    </row>
    <row r="201" spans="1:10" x14ac:dyDescent="0.25">
      <c r="A201" s="496" t="s">
        <v>125</v>
      </c>
      <c r="B201" s="498" t="s">
        <v>301</v>
      </c>
      <c r="C201" s="293">
        <v>21000</v>
      </c>
      <c r="D201" s="293">
        <v>19000</v>
      </c>
      <c r="E201" s="293"/>
      <c r="F201" s="293">
        <f>2000</f>
        <v>2000</v>
      </c>
      <c r="G201" s="293"/>
      <c r="H201" s="281"/>
      <c r="I201" s="487">
        <f t="shared" si="39"/>
        <v>21000</v>
      </c>
      <c r="J201" s="475">
        <f t="shared" si="40"/>
        <v>0</v>
      </c>
    </row>
    <row r="202" spans="1:10" x14ac:dyDescent="0.25">
      <c r="A202" s="496" t="s">
        <v>125</v>
      </c>
      <c r="B202" s="498" t="s">
        <v>303</v>
      </c>
      <c r="C202" s="293">
        <v>8000</v>
      </c>
      <c r="D202" s="293"/>
      <c r="E202" s="293"/>
      <c r="F202" s="293">
        <f>8000</f>
        <v>8000</v>
      </c>
      <c r="G202" s="293"/>
      <c r="H202" s="281"/>
      <c r="I202" s="487">
        <f t="shared" si="39"/>
        <v>8000</v>
      </c>
      <c r="J202" s="475">
        <f t="shared" si="40"/>
        <v>0</v>
      </c>
    </row>
    <row r="203" spans="1:10" x14ac:dyDescent="0.25">
      <c r="A203" s="496" t="s">
        <v>127</v>
      </c>
      <c r="B203" s="498" t="s">
        <v>238</v>
      </c>
      <c r="C203" s="293">
        <v>100000</v>
      </c>
      <c r="D203" s="293"/>
      <c r="E203" s="293">
        <v>5000</v>
      </c>
      <c r="F203" s="281">
        <v>95000</v>
      </c>
      <c r="G203" s="281"/>
      <c r="H203" s="281"/>
      <c r="I203" s="487">
        <f t="shared" si="39"/>
        <v>100000</v>
      </c>
      <c r="J203" s="475">
        <f t="shared" si="40"/>
        <v>0</v>
      </c>
    </row>
    <row r="204" spans="1:10" ht="15.75" thickBot="1" x14ac:dyDescent="0.3">
      <c r="A204" s="479" t="s">
        <v>127</v>
      </c>
      <c r="B204" s="294" t="s">
        <v>306</v>
      </c>
      <c r="C204" s="281">
        <f>200000</f>
        <v>200000</v>
      </c>
      <c r="D204" s="281"/>
      <c r="E204" s="281"/>
      <c r="F204" s="281">
        <f>200000</f>
        <v>200000</v>
      </c>
      <c r="G204" s="281"/>
      <c r="H204" s="281"/>
      <c r="I204" s="487">
        <f t="shared" si="39"/>
        <v>200000</v>
      </c>
      <c r="J204" s="475">
        <f t="shared" si="40"/>
        <v>0</v>
      </c>
    </row>
    <row r="205" spans="1:10" ht="15.75" thickBot="1" x14ac:dyDescent="0.3">
      <c r="A205" s="516" t="s">
        <v>136</v>
      </c>
      <c r="B205" s="517" t="s">
        <v>269</v>
      </c>
      <c r="C205" s="411">
        <v>381000</v>
      </c>
      <c r="D205" s="411">
        <v>355220</v>
      </c>
      <c r="E205" s="411"/>
      <c r="F205" s="411">
        <v>25780</v>
      </c>
      <c r="G205" s="411"/>
      <c r="H205" s="411"/>
      <c r="I205" s="518">
        <f t="shared" si="39"/>
        <v>381000</v>
      </c>
      <c r="J205" s="475">
        <f t="shared" si="40"/>
        <v>0</v>
      </c>
    </row>
    <row r="206" spans="1:10" ht="15.75" thickBot="1" x14ac:dyDescent="0.3">
      <c r="A206" s="472" t="s">
        <v>152</v>
      </c>
      <c r="B206" s="499" t="s">
        <v>470</v>
      </c>
      <c r="C206" s="287">
        <v>92800</v>
      </c>
      <c r="D206" s="287">
        <f>166800-89300</f>
        <v>77500</v>
      </c>
      <c r="E206" s="287"/>
      <c r="F206" s="287">
        <f>20000-4700</f>
        <v>15300</v>
      </c>
      <c r="G206" s="287"/>
      <c r="H206" s="287"/>
      <c r="I206" s="474">
        <f t="shared" si="39"/>
        <v>92800</v>
      </c>
      <c r="J206" s="475">
        <f t="shared" si="40"/>
        <v>0</v>
      </c>
    </row>
    <row r="207" spans="1:10" ht="15.75" thickBot="1" x14ac:dyDescent="0.3">
      <c r="A207" s="803" t="s">
        <v>308</v>
      </c>
      <c r="B207" s="804"/>
      <c r="C207" s="500">
        <f t="shared" ref="C207:I207" si="41">SUM(C192:C206)</f>
        <v>1267700</v>
      </c>
      <c r="D207" s="500">
        <f t="shared" si="41"/>
        <v>766720</v>
      </c>
      <c r="E207" s="500">
        <f t="shared" si="41"/>
        <v>8000</v>
      </c>
      <c r="F207" s="500">
        <f t="shared" si="41"/>
        <v>492980</v>
      </c>
      <c r="G207" s="500">
        <f t="shared" si="41"/>
        <v>0</v>
      </c>
      <c r="H207" s="500">
        <f t="shared" si="41"/>
        <v>0</v>
      </c>
      <c r="I207" s="501">
        <f t="shared" si="41"/>
        <v>1267700</v>
      </c>
      <c r="J207" s="475">
        <f t="shared" si="40"/>
        <v>0</v>
      </c>
    </row>
    <row r="208" spans="1:10" ht="15.75" thickBot="1" x14ac:dyDescent="0.3">
      <c r="A208" s="472"/>
      <c r="B208" s="706"/>
      <c r="C208" s="707"/>
      <c r="D208" s="287"/>
      <c r="E208" s="287"/>
      <c r="F208" s="708"/>
      <c r="G208" s="708"/>
      <c r="H208" s="287"/>
      <c r="I208" s="474">
        <f>SUM(D208:H208)</f>
        <v>0</v>
      </c>
      <c r="J208" s="475">
        <f t="shared" si="40"/>
        <v>0</v>
      </c>
    </row>
    <row r="209" spans="1:10" ht="15.75" thickBot="1" x14ac:dyDescent="0.3">
      <c r="A209" s="803" t="s">
        <v>471</v>
      </c>
      <c r="B209" s="804"/>
      <c r="C209" s="500">
        <f>SUM(C208:C208)</f>
        <v>0</v>
      </c>
      <c r="D209" s="500">
        <f t="shared" ref="D209:H209" si="42">SUM(D208:D208)</f>
        <v>0</v>
      </c>
      <c r="E209" s="500">
        <f t="shared" si="42"/>
        <v>0</v>
      </c>
      <c r="F209" s="500">
        <f t="shared" si="42"/>
        <v>0</v>
      </c>
      <c r="G209" s="500">
        <f t="shared" si="42"/>
        <v>0</v>
      </c>
      <c r="H209" s="500">
        <f t="shared" si="42"/>
        <v>0</v>
      </c>
      <c r="I209" s="501">
        <f>SUM(I208:I208)</f>
        <v>0</v>
      </c>
      <c r="J209" s="475">
        <f t="shared" si="40"/>
        <v>0</v>
      </c>
    </row>
    <row r="210" spans="1:10" ht="15.75" thickBot="1" x14ac:dyDescent="0.3">
      <c r="A210" s="803" t="s">
        <v>472</v>
      </c>
      <c r="B210" s="804"/>
      <c r="C210" s="500">
        <f>C207+C209</f>
        <v>1267700</v>
      </c>
      <c r="D210" s="500">
        <f t="shared" ref="D210:H210" si="43">D207+D209</f>
        <v>766720</v>
      </c>
      <c r="E210" s="500">
        <f t="shared" si="43"/>
        <v>8000</v>
      </c>
      <c r="F210" s="500">
        <f t="shared" si="43"/>
        <v>492980</v>
      </c>
      <c r="G210" s="500">
        <f t="shared" si="43"/>
        <v>0</v>
      </c>
      <c r="H210" s="500">
        <f t="shared" si="43"/>
        <v>0</v>
      </c>
      <c r="I210" s="501">
        <f>I207+I209</f>
        <v>1267700</v>
      </c>
      <c r="J210" s="475">
        <f t="shared" si="40"/>
        <v>0</v>
      </c>
    </row>
    <row r="211" spans="1:10" x14ac:dyDescent="0.25">
      <c r="A211" s="502"/>
      <c r="B211" s="502"/>
      <c r="C211" s="503"/>
      <c r="D211" s="504"/>
      <c r="E211" s="709">
        <f>D207+E207</f>
        <v>774720</v>
      </c>
      <c r="F211" s="504">
        <f>SUM(F210:F210)</f>
        <v>492980</v>
      </c>
      <c r="G211" s="504"/>
      <c r="H211" s="710" t="s">
        <v>309</v>
      </c>
      <c r="I211" s="505"/>
      <c r="J211" s="506"/>
    </row>
    <row r="212" spans="1:10" x14ac:dyDescent="0.25">
      <c r="A212" s="467"/>
      <c r="C212" s="467"/>
      <c r="D212" s="467"/>
      <c r="F212" s="711">
        <v>398000</v>
      </c>
      <c r="G212" s="712"/>
      <c r="H212" s="467" t="s">
        <v>473</v>
      </c>
      <c r="I212" s="467"/>
    </row>
    <row r="213" spans="1:10" x14ac:dyDescent="0.25">
      <c r="A213" s="467"/>
      <c r="C213" s="467"/>
      <c r="D213" s="507"/>
      <c r="E213" s="508"/>
      <c r="F213" s="713">
        <f>F212-F211</f>
        <v>-94980</v>
      </c>
      <c r="G213" s="713"/>
      <c r="H213" s="467" t="s">
        <v>315</v>
      </c>
      <c r="I213" s="467"/>
    </row>
    <row r="214" spans="1:10" x14ac:dyDescent="0.25">
      <c r="A214" s="467"/>
      <c r="B214" s="509"/>
      <c r="C214" s="467"/>
      <c r="D214" s="467"/>
      <c r="E214" s="467"/>
      <c r="F214" s="467"/>
      <c r="G214" s="467"/>
      <c r="H214" s="467"/>
      <c r="I214" s="467"/>
      <c r="J214" s="467"/>
    </row>
    <row r="215" spans="1:10" x14ac:dyDescent="0.25">
      <c r="A215" s="509"/>
      <c r="B215" s="509"/>
      <c r="C215" s="509"/>
      <c r="D215" s="509"/>
      <c r="E215" s="509"/>
      <c r="F215" s="509"/>
      <c r="G215" s="509"/>
      <c r="H215" s="509"/>
      <c r="I215" s="509"/>
      <c r="J215" s="509"/>
    </row>
    <row r="216" spans="1:10" x14ac:dyDescent="0.25">
      <c r="A216" s="467"/>
      <c r="B216" s="467" t="s">
        <v>217</v>
      </c>
      <c r="C216" s="467"/>
      <c r="D216" s="467"/>
      <c r="E216" s="467"/>
      <c r="F216" s="467"/>
      <c r="G216" s="467"/>
      <c r="H216" s="467"/>
      <c r="I216" s="467"/>
      <c r="J216" s="467"/>
    </row>
    <row r="217" spans="1:10" x14ac:dyDescent="0.25">
      <c r="A217" s="467"/>
      <c r="B217" s="467" t="s">
        <v>479</v>
      </c>
      <c r="C217" s="467"/>
      <c r="D217" s="467"/>
      <c r="E217" s="467"/>
      <c r="F217" s="467"/>
      <c r="G217" s="467"/>
      <c r="H217" s="467"/>
      <c r="I217" s="467"/>
      <c r="J217" s="467"/>
    </row>
  </sheetData>
  <mergeCells count="32">
    <mergeCell ref="A96:H96"/>
    <mergeCell ref="L100:N100"/>
    <mergeCell ref="A114:B114"/>
    <mergeCell ref="A116:B116"/>
    <mergeCell ref="A117:B117"/>
    <mergeCell ref="A209:B209"/>
    <mergeCell ref="A210:B210"/>
    <mergeCell ref="A158:H158"/>
    <mergeCell ref="L163:N163"/>
    <mergeCell ref="A178:B178"/>
    <mergeCell ref="A189:H189"/>
    <mergeCell ref="A207:B207"/>
    <mergeCell ref="A127:H127"/>
    <mergeCell ref="L132:N132"/>
    <mergeCell ref="A147:B147"/>
    <mergeCell ref="A145:B145"/>
    <mergeCell ref="A148:B148"/>
    <mergeCell ref="A64:H64"/>
    <mergeCell ref="L68:N68"/>
    <mergeCell ref="A83:B83"/>
    <mergeCell ref="A85:B85"/>
    <mergeCell ref="A86:B86"/>
    <mergeCell ref="A32:H32"/>
    <mergeCell ref="L35:N35"/>
    <mergeCell ref="A51:B51"/>
    <mergeCell ref="A53:B53"/>
    <mergeCell ref="A54:B54"/>
    <mergeCell ref="A1:H1"/>
    <mergeCell ref="L3:N3"/>
    <mergeCell ref="A19:B19"/>
    <mergeCell ref="A21:B21"/>
    <mergeCell ref="A22:B22"/>
  </mergeCells>
  <pageMargins left="0.7" right="0.7" top="0.75" bottom="0.75" header="0.3" footer="0.3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2"/>
  <sheetViews>
    <sheetView tabSelected="1" zoomScaleNormal="100" workbookViewId="0">
      <pane xSplit="1" topLeftCell="B1" activePane="topRight" state="frozen"/>
      <selection pane="topRight" sqref="A1:S1"/>
    </sheetView>
  </sheetViews>
  <sheetFormatPr defaultRowHeight="15" x14ac:dyDescent="0.25"/>
  <cols>
    <col min="1" max="1" width="6.42578125" customWidth="1"/>
    <col min="2" max="2" width="64.140625" customWidth="1"/>
    <col min="3" max="18" width="13" customWidth="1"/>
    <col min="19" max="19" width="12.85546875" customWidth="1"/>
    <col min="20" max="20" width="6.5703125" customWidth="1"/>
    <col min="22" max="22" width="8.7109375" customWidth="1"/>
    <col min="23" max="23" width="10.28515625" customWidth="1"/>
    <col min="24" max="24" width="9.85546875" customWidth="1"/>
    <col min="26" max="26" width="9.7109375" customWidth="1"/>
    <col min="29" max="29" width="12.28515625" customWidth="1"/>
  </cols>
  <sheetData>
    <row r="1" spans="1:32" ht="18.75" thickBot="1" x14ac:dyDescent="0.3">
      <c r="A1" s="807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1"/>
    </row>
    <row r="2" spans="1:32" ht="39.75" customHeight="1" thickBot="1" x14ac:dyDescent="0.3">
      <c r="A2" s="809" t="s">
        <v>1</v>
      </c>
      <c r="B2" s="810"/>
      <c r="C2" s="416" t="s">
        <v>376</v>
      </c>
      <c r="D2" s="416" t="s">
        <v>509</v>
      </c>
      <c r="E2" s="416" t="s">
        <v>511</v>
      </c>
      <c r="F2" s="416" t="s">
        <v>512</v>
      </c>
      <c r="G2" s="416" t="s">
        <v>453</v>
      </c>
      <c r="H2" s="416" t="s">
        <v>541</v>
      </c>
      <c r="I2" s="416" t="s">
        <v>497</v>
      </c>
      <c r="J2" s="416" t="s">
        <v>556</v>
      </c>
      <c r="K2" s="416" t="s">
        <v>561</v>
      </c>
      <c r="L2" s="416" t="s">
        <v>605</v>
      </c>
      <c r="M2" s="416" t="s">
        <v>606</v>
      </c>
      <c r="N2" s="416" t="s">
        <v>678</v>
      </c>
      <c r="O2" s="416" t="s">
        <v>679</v>
      </c>
      <c r="P2" s="416" t="s">
        <v>704</v>
      </c>
      <c r="Q2" s="416" t="s">
        <v>727</v>
      </c>
      <c r="R2" s="416" t="s">
        <v>728</v>
      </c>
      <c r="S2" s="416" t="s">
        <v>717</v>
      </c>
      <c r="T2" s="1" t="s">
        <v>407</v>
      </c>
    </row>
    <row r="3" spans="1:32" ht="15.75" thickBot="1" x14ac:dyDescent="0.3">
      <c r="A3" s="811" t="s">
        <v>4</v>
      </c>
      <c r="B3" s="812"/>
      <c r="C3" s="2">
        <f t="shared" ref="C3:S3" si="0">SUM(C4:C10)</f>
        <v>1289980</v>
      </c>
      <c r="D3" s="2">
        <f t="shared" si="0"/>
        <v>1289980</v>
      </c>
      <c r="E3" s="2">
        <f t="shared" si="0"/>
        <v>1289980</v>
      </c>
      <c r="F3" s="2">
        <f t="shared" si="0"/>
        <v>1289980</v>
      </c>
      <c r="G3" s="2">
        <f t="shared" si="0"/>
        <v>1289980</v>
      </c>
      <c r="H3" s="2">
        <f t="shared" si="0"/>
        <v>1289980</v>
      </c>
      <c r="I3" s="2">
        <f t="shared" si="0"/>
        <v>1294880</v>
      </c>
      <c r="J3" s="2">
        <f t="shared" si="0"/>
        <v>1294880</v>
      </c>
      <c r="K3" s="2">
        <f t="shared" si="0"/>
        <v>1295223</v>
      </c>
      <c r="L3" s="2">
        <f t="shared" si="0"/>
        <v>1295223</v>
      </c>
      <c r="M3" s="2">
        <f t="shared" si="0"/>
        <v>1301423</v>
      </c>
      <c r="N3" s="2">
        <f t="shared" si="0"/>
        <v>1301423</v>
      </c>
      <c r="O3" s="2">
        <f t="shared" si="0"/>
        <v>1317160</v>
      </c>
      <c r="P3" s="2">
        <f t="shared" si="0"/>
        <v>1317160</v>
      </c>
      <c r="Q3" s="2">
        <f t="shared" ref="Q3:R3" si="1">SUM(Q4:Q10)</f>
        <v>1317160</v>
      </c>
      <c r="R3" s="2">
        <f t="shared" si="1"/>
        <v>1317160</v>
      </c>
      <c r="S3" s="2">
        <f t="shared" si="0"/>
        <v>874689</v>
      </c>
      <c r="T3" s="655">
        <f>S3/P3</f>
        <v>0.66407194266452063</v>
      </c>
    </row>
    <row r="4" spans="1:32" ht="15.75" thickBot="1" x14ac:dyDescent="0.3">
      <c r="A4" s="3">
        <v>111</v>
      </c>
      <c r="B4" s="124" t="s">
        <v>5</v>
      </c>
      <c r="C4" s="6">
        <v>1214000</v>
      </c>
      <c r="D4" s="6">
        <v>1214000</v>
      </c>
      <c r="E4" s="6">
        <v>1214000</v>
      </c>
      <c r="F4" s="6">
        <v>1214000</v>
      </c>
      <c r="G4" s="6">
        <v>1214000</v>
      </c>
      <c r="H4" s="6">
        <v>1214000</v>
      </c>
      <c r="I4" s="719">
        <f>1214000+4900</f>
        <v>1218900</v>
      </c>
      <c r="J4" s="6">
        <f>1214000+4900</f>
        <v>1218900</v>
      </c>
      <c r="K4" s="719">
        <f>1214000+4900+343</f>
        <v>1219243</v>
      </c>
      <c r="L4" s="6">
        <f t="shared" ref="L4" si="2">1214000+4900+343</f>
        <v>1219243</v>
      </c>
      <c r="M4" s="719">
        <f>1214000+4900+343+4500</f>
        <v>1223743</v>
      </c>
      <c r="N4" s="6">
        <f t="shared" ref="N4" si="3">1214000+4900+343+4500</f>
        <v>1223743</v>
      </c>
      <c r="O4" s="719">
        <f>1214000+4900+343+4500+11257</f>
        <v>1235000</v>
      </c>
      <c r="P4" s="6">
        <f>1214000+4900+343+4500+11257</f>
        <v>1235000</v>
      </c>
      <c r="Q4" s="6">
        <f t="shared" ref="Q4:R4" si="4">1214000+4900+343+4500+11257</f>
        <v>1235000</v>
      </c>
      <c r="R4" s="6">
        <f t="shared" si="4"/>
        <v>1235000</v>
      </c>
      <c r="S4" s="6">
        <v>819892</v>
      </c>
      <c r="T4" s="655">
        <f t="shared" ref="T4:T67" si="5">S4/P4</f>
        <v>0.66388016194331989</v>
      </c>
    </row>
    <row r="5" spans="1:32" ht="15.75" thickBot="1" x14ac:dyDescent="0.3">
      <c r="A5" s="7">
        <v>121</v>
      </c>
      <c r="B5" s="351" t="s">
        <v>6</v>
      </c>
      <c r="C5" s="11">
        <v>40080</v>
      </c>
      <c r="D5" s="11">
        <v>40080</v>
      </c>
      <c r="E5" s="11">
        <v>40080</v>
      </c>
      <c r="F5" s="11">
        <v>40080</v>
      </c>
      <c r="G5" s="11">
        <v>40080</v>
      </c>
      <c r="H5" s="11">
        <v>40080</v>
      </c>
      <c r="I5" s="11">
        <v>40080</v>
      </c>
      <c r="J5" s="11">
        <v>40080</v>
      </c>
      <c r="K5" s="11">
        <v>40080</v>
      </c>
      <c r="L5" s="11">
        <v>40080</v>
      </c>
      <c r="M5" s="741">
        <f>40080+830</f>
        <v>40910</v>
      </c>
      <c r="N5" s="11">
        <f>40080+830</f>
        <v>40910</v>
      </c>
      <c r="O5" s="11">
        <f>40080+830</f>
        <v>40910</v>
      </c>
      <c r="P5" s="11">
        <f>40080+830</f>
        <v>40910</v>
      </c>
      <c r="Q5" s="11">
        <f t="shared" ref="Q5:R5" si="6">40080+830</f>
        <v>40910</v>
      </c>
      <c r="R5" s="11">
        <f t="shared" si="6"/>
        <v>40910</v>
      </c>
      <c r="S5" s="11">
        <v>29375</v>
      </c>
      <c r="T5" s="655">
        <f t="shared" si="5"/>
        <v>0.71803959912001958</v>
      </c>
    </row>
    <row r="6" spans="1:32" x14ac:dyDescent="0.25">
      <c r="A6" s="12">
        <v>133</v>
      </c>
      <c r="B6" s="352" t="s">
        <v>7</v>
      </c>
      <c r="C6" s="16">
        <v>1000</v>
      </c>
      <c r="D6" s="16">
        <v>1000</v>
      </c>
      <c r="E6" s="16">
        <v>1000</v>
      </c>
      <c r="F6" s="16">
        <v>1000</v>
      </c>
      <c r="G6" s="16">
        <v>1000</v>
      </c>
      <c r="H6" s="16">
        <v>1000</v>
      </c>
      <c r="I6" s="16">
        <v>1000</v>
      </c>
      <c r="J6" s="16">
        <v>1000</v>
      </c>
      <c r="K6" s="16">
        <v>1000</v>
      </c>
      <c r="L6" s="16">
        <v>1000</v>
      </c>
      <c r="M6" s="754">
        <f>1000+50</f>
        <v>1050</v>
      </c>
      <c r="N6" s="16">
        <f>1000+50</f>
        <v>1050</v>
      </c>
      <c r="O6" s="16">
        <f>1000+50</f>
        <v>1050</v>
      </c>
      <c r="P6" s="16">
        <f>1000+50</f>
        <v>1050</v>
      </c>
      <c r="Q6" s="16">
        <f t="shared" ref="Q6:R6" si="7">1000+50</f>
        <v>1050</v>
      </c>
      <c r="R6" s="16">
        <f t="shared" si="7"/>
        <v>1050</v>
      </c>
      <c r="S6" s="16">
        <v>1029</v>
      </c>
      <c r="T6" s="655">
        <f t="shared" si="5"/>
        <v>0.98</v>
      </c>
    </row>
    <row r="7" spans="1:32" x14ac:dyDescent="0.25">
      <c r="A7" s="17">
        <v>133</v>
      </c>
      <c r="B7" s="353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400</v>
      </c>
      <c r="I7" s="21">
        <v>400</v>
      </c>
      <c r="J7" s="21">
        <v>400</v>
      </c>
      <c r="K7" s="21">
        <v>400</v>
      </c>
      <c r="L7" s="21">
        <v>400</v>
      </c>
      <c r="M7" s="755">
        <f>400-200</f>
        <v>200</v>
      </c>
      <c r="N7" s="21">
        <f t="shared" ref="N7:R7" si="8">400-200</f>
        <v>200</v>
      </c>
      <c r="O7" s="21">
        <f t="shared" si="8"/>
        <v>200</v>
      </c>
      <c r="P7" s="21">
        <f t="shared" si="8"/>
        <v>200</v>
      </c>
      <c r="Q7" s="21">
        <f t="shared" si="8"/>
        <v>200</v>
      </c>
      <c r="R7" s="21">
        <f t="shared" si="8"/>
        <v>200</v>
      </c>
      <c r="S7" s="21">
        <v>0</v>
      </c>
      <c r="T7" s="655">
        <f t="shared" si="5"/>
        <v>0</v>
      </c>
    </row>
    <row r="8" spans="1:32" x14ac:dyDescent="0.25">
      <c r="A8" s="17">
        <v>133</v>
      </c>
      <c r="B8" s="353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2000</v>
      </c>
      <c r="K8" s="21">
        <v>2000</v>
      </c>
      <c r="L8" s="21">
        <v>2000</v>
      </c>
      <c r="M8" s="755">
        <f>2000-500</f>
        <v>1500</v>
      </c>
      <c r="N8" s="755">
        <f>2000-500-100</f>
        <v>1400</v>
      </c>
      <c r="O8" s="755">
        <f>2000-500+600</f>
        <v>2100</v>
      </c>
      <c r="P8" s="21">
        <f>2000-500+600</f>
        <v>2100</v>
      </c>
      <c r="Q8" s="21">
        <f t="shared" ref="Q8:R8" si="9">2000-500+600</f>
        <v>2100</v>
      </c>
      <c r="R8" s="21">
        <f t="shared" si="9"/>
        <v>2100</v>
      </c>
      <c r="S8" s="21">
        <v>875</v>
      </c>
      <c r="T8" s="655">
        <f t="shared" si="5"/>
        <v>0.41666666666666669</v>
      </c>
    </row>
    <row r="9" spans="1:32" x14ac:dyDescent="0.25">
      <c r="A9" s="17">
        <v>133</v>
      </c>
      <c r="B9" s="353" t="s">
        <v>10</v>
      </c>
      <c r="C9" s="21">
        <v>2500</v>
      </c>
      <c r="D9" s="21">
        <v>2500</v>
      </c>
      <c r="E9" s="21">
        <v>2500</v>
      </c>
      <c r="F9" s="21">
        <v>2500</v>
      </c>
      <c r="G9" s="21">
        <v>2500</v>
      </c>
      <c r="H9" s="21">
        <v>2500</v>
      </c>
      <c r="I9" s="21">
        <v>2500</v>
      </c>
      <c r="J9" s="21">
        <v>2500</v>
      </c>
      <c r="K9" s="21">
        <v>2500</v>
      </c>
      <c r="L9" s="21">
        <v>2500</v>
      </c>
      <c r="M9" s="755">
        <f>2500+1520</f>
        <v>4020</v>
      </c>
      <c r="N9" s="755">
        <f>2500+1520+100</f>
        <v>4120</v>
      </c>
      <c r="O9" s="755">
        <f>2500+1520+1880</f>
        <v>5900</v>
      </c>
      <c r="P9" s="21">
        <f>2500+1520+1880</f>
        <v>5900</v>
      </c>
      <c r="Q9" s="21">
        <f t="shared" ref="Q9:R9" si="10">2500+1520+1880</f>
        <v>5900</v>
      </c>
      <c r="R9" s="21">
        <f t="shared" si="10"/>
        <v>5900</v>
      </c>
      <c r="S9" s="21">
        <v>4317</v>
      </c>
      <c r="T9" s="655">
        <f t="shared" si="5"/>
        <v>0.73169491525423724</v>
      </c>
    </row>
    <row r="10" spans="1:32" ht="15.75" thickBot="1" x14ac:dyDescent="0.3">
      <c r="A10" s="22">
        <v>133</v>
      </c>
      <c r="B10" s="354" t="s">
        <v>11</v>
      </c>
      <c r="C10" s="26">
        <v>30000</v>
      </c>
      <c r="D10" s="26">
        <v>30000</v>
      </c>
      <c r="E10" s="26">
        <v>30000</v>
      </c>
      <c r="F10" s="26">
        <v>30000</v>
      </c>
      <c r="G10" s="26">
        <v>30000</v>
      </c>
      <c r="H10" s="26">
        <v>30000</v>
      </c>
      <c r="I10" s="26">
        <v>30000</v>
      </c>
      <c r="J10" s="26">
        <v>30000</v>
      </c>
      <c r="K10" s="26">
        <v>30000</v>
      </c>
      <c r="L10" s="26">
        <v>30000</v>
      </c>
      <c r="M10" s="26">
        <v>30000</v>
      </c>
      <c r="N10" s="26">
        <v>30000</v>
      </c>
      <c r="O10" s="756">
        <f>30000+2000</f>
        <v>32000</v>
      </c>
      <c r="P10" s="26">
        <f>30000+2000</f>
        <v>32000</v>
      </c>
      <c r="Q10" s="26">
        <f t="shared" ref="Q10:R10" si="11">30000+2000</f>
        <v>32000</v>
      </c>
      <c r="R10" s="26">
        <f t="shared" si="11"/>
        <v>32000</v>
      </c>
      <c r="S10" s="26">
        <v>19201</v>
      </c>
      <c r="T10" s="655">
        <f t="shared" si="5"/>
        <v>0.60003125000000002</v>
      </c>
      <c r="U10" s="464">
        <f t="shared" ref="U10:AE10" si="12">SUM(C6:C10)</f>
        <v>35900</v>
      </c>
      <c r="V10" s="464">
        <f t="shared" si="12"/>
        <v>35900</v>
      </c>
      <c r="W10" s="464">
        <f t="shared" si="12"/>
        <v>35900</v>
      </c>
      <c r="X10" s="464">
        <f t="shared" si="12"/>
        <v>35900</v>
      </c>
      <c r="Y10" s="464">
        <f t="shared" si="12"/>
        <v>35900</v>
      </c>
      <c r="Z10" s="464">
        <f t="shared" si="12"/>
        <v>35900</v>
      </c>
      <c r="AA10" s="464">
        <f t="shared" si="12"/>
        <v>35900</v>
      </c>
      <c r="AB10" s="464">
        <f t="shared" si="12"/>
        <v>35900</v>
      </c>
      <c r="AC10" s="464">
        <f t="shared" si="12"/>
        <v>35900</v>
      </c>
      <c r="AD10" s="464">
        <f t="shared" si="12"/>
        <v>35900</v>
      </c>
      <c r="AE10" s="464">
        <f t="shared" si="12"/>
        <v>36770</v>
      </c>
      <c r="AF10" s="464">
        <f t="shared" ref="AF10" si="13">SUM(S6:S10)</f>
        <v>25422</v>
      </c>
    </row>
    <row r="11" spans="1:32" ht="15.75" thickBot="1" x14ac:dyDescent="0.3">
      <c r="A11" s="811" t="s">
        <v>12</v>
      </c>
      <c r="B11" s="812"/>
      <c r="C11" s="355">
        <f t="shared" ref="C11:S11" si="14">SUM(C12:C31)</f>
        <v>208158</v>
      </c>
      <c r="D11" s="355">
        <f t="shared" si="14"/>
        <v>208158</v>
      </c>
      <c r="E11" s="355">
        <f t="shared" si="14"/>
        <v>208158</v>
      </c>
      <c r="F11" s="355">
        <f t="shared" si="14"/>
        <v>208158</v>
      </c>
      <c r="G11" s="355">
        <f t="shared" si="14"/>
        <v>208158</v>
      </c>
      <c r="H11" s="355">
        <f t="shared" si="14"/>
        <v>208158</v>
      </c>
      <c r="I11" s="355">
        <f t="shared" si="14"/>
        <v>208158</v>
      </c>
      <c r="J11" s="355">
        <f t="shared" si="14"/>
        <v>208158</v>
      </c>
      <c r="K11" s="355">
        <f t="shared" si="14"/>
        <v>208158</v>
      </c>
      <c r="L11" s="355">
        <f t="shared" si="14"/>
        <v>208158</v>
      </c>
      <c r="M11" s="355">
        <f t="shared" si="14"/>
        <v>208158</v>
      </c>
      <c r="N11" s="355">
        <f t="shared" si="14"/>
        <v>208158</v>
      </c>
      <c r="O11" s="355">
        <f t="shared" si="14"/>
        <v>209158</v>
      </c>
      <c r="P11" s="355">
        <f t="shared" si="14"/>
        <v>209158</v>
      </c>
      <c r="Q11" s="355">
        <f t="shared" ref="Q11:R11" si="15">SUM(Q12:Q31)</f>
        <v>209158</v>
      </c>
      <c r="R11" s="355">
        <f t="shared" si="15"/>
        <v>209158</v>
      </c>
      <c r="S11" s="355">
        <f t="shared" si="14"/>
        <v>110551</v>
      </c>
      <c r="T11" s="655">
        <f t="shared" si="5"/>
        <v>0.52855257747731377</v>
      </c>
    </row>
    <row r="12" spans="1:32" x14ac:dyDescent="0.25">
      <c r="A12" s="28">
        <v>212</v>
      </c>
      <c r="B12" s="29" t="s">
        <v>13</v>
      </c>
      <c r="C12" s="32">
        <v>1893</v>
      </c>
      <c r="D12" s="32">
        <v>1893</v>
      </c>
      <c r="E12" s="32">
        <v>1893</v>
      </c>
      <c r="F12" s="32">
        <v>1893</v>
      </c>
      <c r="G12" s="32">
        <v>1893</v>
      </c>
      <c r="H12" s="32">
        <v>1893</v>
      </c>
      <c r="I12" s="32">
        <v>1893</v>
      </c>
      <c r="J12" s="32">
        <v>1893</v>
      </c>
      <c r="K12" s="32">
        <v>1893</v>
      </c>
      <c r="L12" s="32">
        <v>1893</v>
      </c>
      <c r="M12" s="32">
        <v>1893</v>
      </c>
      <c r="N12" s="32">
        <v>1893</v>
      </c>
      <c r="O12" s="32">
        <v>1893</v>
      </c>
      <c r="P12" s="32">
        <v>1893</v>
      </c>
      <c r="Q12" s="32">
        <v>1893</v>
      </c>
      <c r="R12" s="32">
        <v>1893</v>
      </c>
      <c r="S12" s="32">
        <v>828</v>
      </c>
      <c r="T12" s="655">
        <f t="shared" si="5"/>
        <v>0.43740095087163233</v>
      </c>
    </row>
    <row r="13" spans="1:32" x14ac:dyDescent="0.25">
      <c r="A13" s="12">
        <v>212</v>
      </c>
      <c r="B13" s="13" t="s">
        <v>14</v>
      </c>
      <c r="C13" s="16">
        <v>500</v>
      </c>
      <c r="D13" s="16">
        <v>500</v>
      </c>
      <c r="E13" s="16">
        <v>500</v>
      </c>
      <c r="F13" s="16">
        <v>500</v>
      </c>
      <c r="G13" s="16">
        <v>500</v>
      </c>
      <c r="H13" s="16">
        <v>500</v>
      </c>
      <c r="I13" s="16">
        <v>500</v>
      </c>
      <c r="J13" s="16">
        <v>500</v>
      </c>
      <c r="K13" s="16">
        <v>500</v>
      </c>
      <c r="L13" s="16">
        <v>500</v>
      </c>
      <c r="M13" s="16">
        <v>500</v>
      </c>
      <c r="N13" s="16">
        <v>500</v>
      </c>
      <c r="O13" s="16">
        <v>500</v>
      </c>
      <c r="P13" s="16">
        <v>500</v>
      </c>
      <c r="Q13" s="16">
        <v>500</v>
      </c>
      <c r="R13" s="16">
        <v>500</v>
      </c>
      <c r="S13" s="16">
        <v>320</v>
      </c>
      <c r="T13" s="655">
        <f t="shared" si="5"/>
        <v>0.64</v>
      </c>
    </row>
    <row r="14" spans="1:32" x14ac:dyDescent="0.25">
      <c r="A14" s="17">
        <v>212</v>
      </c>
      <c r="B14" s="18" t="s">
        <v>15</v>
      </c>
      <c r="C14" s="33">
        <v>3712</v>
      </c>
      <c r="D14" s="33">
        <v>3712</v>
      </c>
      <c r="E14" s="33">
        <v>3712</v>
      </c>
      <c r="F14" s="33">
        <v>3712</v>
      </c>
      <c r="G14" s="33">
        <v>3712</v>
      </c>
      <c r="H14" s="33">
        <v>3712</v>
      </c>
      <c r="I14" s="33">
        <v>3712</v>
      </c>
      <c r="J14" s="33">
        <v>3712</v>
      </c>
      <c r="K14" s="33">
        <v>3712</v>
      </c>
      <c r="L14" s="33">
        <v>3712</v>
      </c>
      <c r="M14" s="33">
        <v>3712</v>
      </c>
      <c r="N14" s="33">
        <v>3712</v>
      </c>
      <c r="O14" s="33">
        <v>3712</v>
      </c>
      <c r="P14" s="33">
        <v>3712</v>
      </c>
      <c r="Q14" s="33">
        <v>3712</v>
      </c>
      <c r="R14" s="33">
        <v>3712</v>
      </c>
      <c r="S14" s="33">
        <v>2264</v>
      </c>
      <c r="T14" s="655">
        <f t="shared" si="5"/>
        <v>0.60991379310344829</v>
      </c>
    </row>
    <row r="15" spans="1:32" x14ac:dyDescent="0.25">
      <c r="A15" s="17">
        <v>212</v>
      </c>
      <c r="B15" s="18" t="s">
        <v>16</v>
      </c>
      <c r="C15" s="21">
        <v>21393</v>
      </c>
      <c r="D15" s="21">
        <v>21393</v>
      </c>
      <c r="E15" s="21">
        <v>21393</v>
      </c>
      <c r="F15" s="21">
        <v>21393</v>
      </c>
      <c r="G15" s="21">
        <v>21393</v>
      </c>
      <c r="H15" s="21">
        <v>21393</v>
      </c>
      <c r="I15" s="21">
        <v>21393</v>
      </c>
      <c r="J15" s="21">
        <v>21393</v>
      </c>
      <c r="K15" s="21">
        <v>21393</v>
      </c>
      <c r="L15" s="21">
        <v>21393</v>
      </c>
      <c r="M15" s="21">
        <v>21393</v>
      </c>
      <c r="N15" s="21">
        <v>21393</v>
      </c>
      <c r="O15" s="21">
        <v>21393</v>
      </c>
      <c r="P15" s="21">
        <v>21393</v>
      </c>
      <c r="Q15" s="21">
        <v>21393</v>
      </c>
      <c r="R15" s="21">
        <v>21393</v>
      </c>
      <c r="S15" s="21">
        <v>11042</v>
      </c>
      <c r="T15" s="655">
        <f t="shared" si="5"/>
        <v>0.51615014256999958</v>
      </c>
    </row>
    <row r="16" spans="1:32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655">
        <v>0</v>
      </c>
      <c r="U16" s="464">
        <f t="shared" ref="U16:AE16" si="16">SUM(C12:C16)</f>
        <v>27498</v>
      </c>
      <c r="V16" s="464">
        <f t="shared" si="16"/>
        <v>27498</v>
      </c>
      <c r="W16" s="464">
        <f t="shared" si="16"/>
        <v>27498</v>
      </c>
      <c r="X16" s="464">
        <f t="shared" si="16"/>
        <v>27498</v>
      </c>
      <c r="Y16" s="464">
        <f t="shared" si="16"/>
        <v>27498</v>
      </c>
      <c r="Z16" s="464">
        <f t="shared" si="16"/>
        <v>27498</v>
      </c>
      <c r="AA16" s="464">
        <f t="shared" si="16"/>
        <v>27498</v>
      </c>
      <c r="AB16" s="464">
        <f t="shared" si="16"/>
        <v>27498</v>
      </c>
      <c r="AC16" s="464">
        <f t="shared" si="16"/>
        <v>27498</v>
      </c>
      <c r="AD16" s="464">
        <f t="shared" si="16"/>
        <v>27498</v>
      </c>
      <c r="AE16" s="464">
        <f t="shared" si="16"/>
        <v>27498</v>
      </c>
      <c r="AF16" s="464">
        <f t="shared" ref="AF16" si="17">SUM(S12:S16)</f>
        <v>14454</v>
      </c>
    </row>
    <row r="17" spans="1:32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5100</v>
      </c>
      <c r="J17" s="41">
        <v>5100</v>
      </c>
      <c r="K17" s="41">
        <v>5100</v>
      </c>
      <c r="L17" s="41">
        <v>5100</v>
      </c>
      <c r="M17" s="41">
        <v>5100</v>
      </c>
      <c r="N17" s="41">
        <v>5100</v>
      </c>
      <c r="O17" s="41">
        <v>5100</v>
      </c>
      <c r="P17" s="41">
        <v>5100</v>
      </c>
      <c r="Q17" s="41">
        <v>5100</v>
      </c>
      <c r="R17" s="41">
        <v>5100</v>
      </c>
      <c r="S17" s="41">
        <v>2531</v>
      </c>
      <c r="T17" s="655">
        <f t="shared" si="5"/>
        <v>0.49627450980392157</v>
      </c>
    </row>
    <row r="18" spans="1:32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655">
        <v>0</v>
      </c>
    </row>
    <row r="19" spans="1:32" x14ac:dyDescent="0.25">
      <c r="A19" s="12">
        <v>223</v>
      </c>
      <c r="B19" s="13" t="s">
        <v>398</v>
      </c>
      <c r="C19" s="16">
        <v>650</v>
      </c>
      <c r="D19" s="16">
        <v>650</v>
      </c>
      <c r="E19" s="16">
        <v>650</v>
      </c>
      <c r="F19" s="16">
        <v>650</v>
      </c>
      <c r="G19" s="16">
        <v>650</v>
      </c>
      <c r="H19" s="16">
        <v>650</v>
      </c>
      <c r="I19" s="16">
        <v>650</v>
      </c>
      <c r="J19" s="16">
        <v>650</v>
      </c>
      <c r="K19" s="16">
        <v>650</v>
      </c>
      <c r="L19" s="16">
        <v>650</v>
      </c>
      <c r="M19" s="16">
        <v>650</v>
      </c>
      <c r="N19" s="16">
        <v>650</v>
      </c>
      <c r="O19" s="16">
        <v>650</v>
      </c>
      <c r="P19" s="16">
        <v>650</v>
      </c>
      <c r="Q19" s="16">
        <v>650</v>
      </c>
      <c r="R19" s="16">
        <v>650</v>
      </c>
      <c r="S19" s="16">
        <v>446</v>
      </c>
      <c r="T19" s="655">
        <f t="shared" si="5"/>
        <v>0.68615384615384611</v>
      </c>
    </row>
    <row r="20" spans="1:32" x14ac:dyDescent="0.25">
      <c r="A20" s="17">
        <v>223</v>
      </c>
      <c r="B20" s="18" t="s">
        <v>21</v>
      </c>
      <c r="C20" s="21">
        <f t="shared" ref="C20:R20" si="18">19000+3000</f>
        <v>22000</v>
      </c>
      <c r="D20" s="21">
        <f t="shared" si="18"/>
        <v>22000</v>
      </c>
      <c r="E20" s="21">
        <f t="shared" si="18"/>
        <v>22000</v>
      </c>
      <c r="F20" s="21">
        <f t="shared" si="18"/>
        <v>22000</v>
      </c>
      <c r="G20" s="21">
        <f t="shared" si="18"/>
        <v>22000</v>
      </c>
      <c r="H20" s="21">
        <f t="shared" si="18"/>
        <v>22000</v>
      </c>
      <c r="I20" s="21">
        <f t="shared" si="18"/>
        <v>22000</v>
      </c>
      <c r="J20" s="21">
        <f t="shared" si="18"/>
        <v>22000</v>
      </c>
      <c r="K20" s="21">
        <f t="shared" si="18"/>
        <v>22000</v>
      </c>
      <c r="L20" s="21">
        <f t="shared" si="18"/>
        <v>22000</v>
      </c>
      <c r="M20" s="21">
        <f t="shared" si="18"/>
        <v>22000</v>
      </c>
      <c r="N20" s="21">
        <f t="shared" si="18"/>
        <v>22000</v>
      </c>
      <c r="O20" s="21">
        <f t="shared" si="18"/>
        <v>22000</v>
      </c>
      <c r="P20" s="21">
        <f t="shared" si="18"/>
        <v>22000</v>
      </c>
      <c r="Q20" s="21">
        <f t="shared" si="18"/>
        <v>22000</v>
      </c>
      <c r="R20" s="21">
        <f t="shared" si="18"/>
        <v>22000</v>
      </c>
      <c r="S20" s="21">
        <v>11412</v>
      </c>
      <c r="T20" s="655">
        <f t="shared" si="5"/>
        <v>0.5187272727272727</v>
      </c>
    </row>
    <row r="21" spans="1:32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50</v>
      </c>
      <c r="K21" s="21">
        <v>50</v>
      </c>
      <c r="L21" s="21">
        <v>50</v>
      </c>
      <c r="M21" s="21">
        <v>50</v>
      </c>
      <c r="N21" s="21">
        <v>50</v>
      </c>
      <c r="O21" s="21">
        <v>50</v>
      </c>
      <c r="P21" s="21">
        <v>50</v>
      </c>
      <c r="Q21" s="21">
        <v>50</v>
      </c>
      <c r="R21" s="21">
        <v>50</v>
      </c>
      <c r="S21" s="21">
        <v>0</v>
      </c>
      <c r="T21" s="655">
        <f t="shared" si="5"/>
        <v>0</v>
      </c>
    </row>
    <row r="22" spans="1:32" x14ac:dyDescent="0.25">
      <c r="A22" s="17">
        <v>223</v>
      </c>
      <c r="B22" s="18" t="s">
        <v>23</v>
      </c>
      <c r="C22" s="21">
        <v>1500</v>
      </c>
      <c r="D22" s="21">
        <v>1500</v>
      </c>
      <c r="E22" s="21">
        <v>1500</v>
      </c>
      <c r="F22" s="21">
        <v>1500</v>
      </c>
      <c r="G22" s="21">
        <v>1500</v>
      </c>
      <c r="H22" s="21">
        <v>1500</v>
      </c>
      <c r="I22" s="21">
        <v>1500</v>
      </c>
      <c r="J22" s="21">
        <v>1500</v>
      </c>
      <c r="K22" s="21">
        <v>1500</v>
      </c>
      <c r="L22" s="21">
        <v>1500</v>
      </c>
      <c r="M22" s="21">
        <v>1500</v>
      </c>
      <c r="N22" s="21">
        <v>1500</v>
      </c>
      <c r="O22" s="755">
        <f>1500+1000</f>
        <v>2500</v>
      </c>
      <c r="P22" s="21">
        <f>1500+1000</f>
        <v>2500</v>
      </c>
      <c r="Q22" s="21">
        <f t="shared" ref="Q22:R22" si="19">1500+1000</f>
        <v>2500</v>
      </c>
      <c r="R22" s="21">
        <f t="shared" si="19"/>
        <v>2500</v>
      </c>
      <c r="S22" s="21">
        <v>1355</v>
      </c>
      <c r="T22" s="655">
        <f t="shared" si="5"/>
        <v>0.54200000000000004</v>
      </c>
    </row>
    <row r="23" spans="1:32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1000</v>
      </c>
      <c r="K23" s="21">
        <v>1000</v>
      </c>
      <c r="L23" s="21">
        <v>1000</v>
      </c>
      <c r="M23" s="21">
        <v>1000</v>
      </c>
      <c r="N23" s="21">
        <v>1000</v>
      </c>
      <c r="O23" s="21">
        <v>1000</v>
      </c>
      <c r="P23" s="21">
        <v>1000</v>
      </c>
      <c r="Q23" s="21">
        <v>1000</v>
      </c>
      <c r="R23" s="21">
        <v>1000</v>
      </c>
      <c r="S23" s="21">
        <v>244</v>
      </c>
      <c r="T23" s="655">
        <f t="shared" si="5"/>
        <v>0.24399999999999999</v>
      </c>
    </row>
    <row r="24" spans="1:32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1000</v>
      </c>
      <c r="K24" s="21">
        <v>1000</v>
      </c>
      <c r="L24" s="21">
        <v>1000</v>
      </c>
      <c r="M24" s="21">
        <v>1000</v>
      </c>
      <c r="N24" s="21">
        <v>1000</v>
      </c>
      <c r="O24" s="21">
        <v>1000</v>
      </c>
      <c r="P24" s="21">
        <v>1000</v>
      </c>
      <c r="Q24" s="21">
        <v>1000</v>
      </c>
      <c r="R24" s="21">
        <v>1000</v>
      </c>
      <c r="S24" s="21">
        <v>380</v>
      </c>
      <c r="T24" s="655">
        <f t="shared" si="5"/>
        <v>0.38</v>
      </c>
    </row>
    <row r="25" spans="1:32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40000</v>
      </c>
      <c r="J25" s="21">
        <v>40000</v>
      </c>
      <c r="K25" s="21">
        <v>40000</v>
      </c>
      <c r="L25" s="21">
        <v>40000</v>
      </c>
      <c r="M25" s="21">
        <v>40000</v>
      </c>
      <c r="N25" s="21">
        <v>40000</v>
      </c>
      <c r="O25" s="21">
        <v>40000</v>
      </c>
      <c r="P25" s="21">
        <v>40000</v>
      </c>
      <c r="Q25" s="21">
        <v>40000</v>
      </c>
      <c r="R25" s="21">
        <v>40000</v>
      </c>
      <c r="S25" s="21">
        <v>28492</v>
      </c>
      <c r="T25" s="655">
        <f t="shared" si="5"/>
        <v>0.71230000000000004</v>
      </c>
    </row>
    <row r="26" spans="1:32" x14ac:dyDescent="0.25">
      <c r="A26" s="17">
        <v>223</v>
      </c>
      <c r="B26" s="18" t="s">
        <v>29</v>
      </c>
      <c r="C26" s="21">
        <v>44100</v>
      </c>
      <c r="D26" s="21">
        <v>44100</v>
      </c>
      <c r="E26" s="21">
        <v>44100</v>
      </c>
      <c r="F26" s="21">
        <v>44100</v>
      </c>
      <c r="G26" s="21">
        <v>44100</v>
      </c>
      <c r="H26" s="21">
        <v>44100</v>
      </c>
      <c r="I26" s="21">
        <v>44100</v>
      </c>
      <c r="J26" s="21">
        <v>44100</v>
      </c>
      <c r="K26" s="21">
        <v>44100</v>
      </c>
      <c r="L26" s="21">
        <v>44100</v>
      </c>
      <c r="M26" s="21">
        <v>44100</v>
      </c>
      <c r="N26" s="21">
        <v>44100</v>
      </c>
      <c r="O26" s="21">
        <v>44100</v>
      </c>
      <c r="P26" s="21">
        <v>44100</v>
      </c>
      <c r="Q26" s="21">
        <v>44100</v>
      </c>
      <c r="R26" s="21">
        <v>44100</v>
      </c>
      <c r="S26" s="21">
        <v>21486</v>
      </c>
      <c r="T26" s="655">
        <f t="shared" si="5"/>
        <v>0.48721088435374149</v>
      </c>
    </row>
    <row r="27" spans="1:32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60</v>
      </c>
      <c r="K27" s="21">
        <v>60</v>
      </c>
      <c r="L27" s="21">
        <v>60</v>
      </c>
      <c r="M27" s="21">
        <v>60</v>
      </c>
      <c r="N27" s="21">
        <v>60</v>
      </c>
      <c r="O27" s="21">
        <v>60</v>
      </c>
      <c r="P27" s="21">
        <v>60</v>
      </c>
      <c r="Q27" s="21">
        <v>60</v>
      </c>
      <c r="R27" s="21">
        <v>60</v>
      </c>
      <c r="S27" s="21">
        <v>13</v>
      </c>
      <c r="T27" s="655">
        <f t="shared" si="5"/>
        <v>0.21666666666666667</v>
      </c>
    </row>
    <row r="28" spans="1:32" x14ac:dyDescent="0.25">
      <c r="A28" s="17">
        <v>223</v>
      </c>
      <c r="B28" s="18" t="s">
        <v>32</v>
      </c>
      <c r="C28" s="21">
        <v>2100</v>
      </c>
      <c r="D28" s="21">
        <v>2100</v>
      </c>
      <c r="E28" s="21">
        <v>2100</v>
      </c>
      <c r="F28" s="21">
        <v>2100</v>
      </c>
      <c r="G28" s="21">
        <v>2100</v>
      </c>
      <c r="H28" s="21">
        <v>2100</v>
      </c>
      <c r="I28" s="21">
        <v>2100</v>
      </c>
      <c r="J28" s="21">
        <v>2100</v>
      </c>
      <c r="K28" s="21">
        <v>2100</v>
      </c>
      <c r="L28" s="21">
        <v>2100</v>
      </c>
      <c r="M28" s="21">
        <v>2100</v>
      </c>
      <c r="N28" s="21">
        <v>2100</v>
      </c>
      <c r="O28" s="21">
        <v>2100</v>
      </c>
      <c r="P28" s="21">
        <v>2100</v>
      </c>
      <c r="Q28" s="21">
        <v>2100</v>
      </c>
      <c r="R28" s="21">
        <v>2100</v>
      </c>
      <c r="S28" s="21">
        <v>1128</v>
      </c>
      <c r="T28" s="655">
        <f t="shared" si="5"/>
        <v>0.53714285714285714</v>
      </c>
    </row>
    <row r="29" spans="1:32" x14ac:dyDescent="0.25">
      <c r="A29" s="17">
        <v>223</v>
      </c>
      <c r="B29" s="18" t="s">
        <v>271</v>
      </c>
      <c r="C29" s="21">
        <v>2000</v>
      </c>
      <c r="D29" s="21">
        <v>2000</v>
      </c>
      <c r="E29" s="21">
        <v>2000</v>
      </c>
      <c r="F29" s="21">
        <v>2000</v>
      </c>
      <c r="G29" s="21">
        <v>2000</v>
      </c>
      <c r="H29" s="21">
        <v>2000</v>
      </c>
      <c r="I29" s="21">
        <v>2000</v>
      </c>
      <c r="J29" s="21">
        <v>2000</v>
      </c>
      <c r="K29" s="21">
        <v>2000</v>
      </c>
      <c r="L29" s="21">
        <v>2000</v>
      </c>
      <c r="M29" s="21">
        <v>2000</v>
      </c>
      <c r="N29" s="21">
        <v>2000</v>
      </c>
      <c r="O29" s="21">
        <v>2000</v>
      </c>
      <c r="P29" s="21">
        <v>2000</v>
      </c>
      <c r="Q29" s="21">
        <v>2000</v>
      </c>
      <c r="R29" s="21">
        <v>2000</v>
      </c>
      <c r="S29" s="21">
        <v>450</v>
      </c>
      <c r="T29" s="655">
        <f t="shared" si="5"/>
        <v>0.22500000000000001</v>
      </c>
    </row>
    <row r="30" spans="1:32" x14ac:dyDescent="0.25">
      <c r="A30" s="43">
        <v>223</v>
      </c>
      <c r="B30" s="44" t="s">
        <v>33</v>
      </c>
      <c r="C30" s="46">
        <v>61000</v>
      </c>
      <c r="D30" s="46">
        <v>61000</v>
      </c>
      <c r="E30" s="46">
        <v>61000</v>
      </c>
      <c r="F30" s="46">
        <v>61000</v>
      </c>
      <c r="G30" s="46">
        <v>61000</v>
      </c>
      <c r="H30" s="46">
        <v>61000</v>
      </c>
      <c r="I30" s="46">
        <v>61000</v>
      </c>
      <c r="J30" s="46">
        <v>61000</v>
      </c>
      <c r="K30" s="46">
        <v>61000</v>
      </c>
      <c r="L30" s="46">
        <v>61000</v>
      </c>
      <c r="M30" s="46">
        <v>61000</v>
      </c>
      <c r="N30" s="46">
        <v>61000</v>
      </c>
      <c r="O30" s="46">
        <v>61000</v>
      </c>
      <c r="P30" s="46">
        <v>61000</v>
      </c>
      <c r="Q30" s="46">
        <v>61000</v>
      </c>
      <c r="R30" s="46">
        <v>61000</v>
      </c>
      <c r="S30" s="46">
        <v>28160</v>
      </c>
      <c r="T30" s="655">
        <f t="shared" si="5"/>
        <v>0.46163934426229508</v>
      </c>
    </row>
    <row r="31" spans="1:32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100</v>
      </c>
      <c r="J31" s="48">
        <v>100</v>
      </c>
      <c r="K31" s="48">
        <v>100</v>
      </c>
      <c r="L31" s="48">
        <v>100</v>
      </c>
      <c r="M31" s="48">
        <v>100</v>
      </c>
      <c r="N31" s="48">
        <v>100</v>
      </c>
      <c r="O31" s="48">
        <v>100</v>
      </c>
      <c r="P31" s="48">
        <v>100</v>
      </c>
      <c r="Q31" s="48">
        <v>100</v>
      </c>
      <c r="R31" s="48">
        <v>100</v>
      </c>
      <c r="S31" s="48">
        <v>0</v>
      </c>
      <c r="T31" s="655">
        <f t="shared" si="5"/>
        <v>0</v>
      </c>
      <c r="U31" s="27">
        <f t="shared" ref="U31:AE31" si="20">SUM(C19:C31)</f>
        <v>175560</v>
      </c>
      <c r="V31" s="27">
        <f t="shared" si="20"/>
        <v>175560</v>
      </c>
      <c r="W31" s="27">
        <f t="shared" si="20"/>
        <v>175560</v>
      </c>
      <c r="X31" s="27">
        <f t="shared" si="20"/>
        <v>175560</v>
      </c>
      <c r="Y31" s="27">
        <f t="shared" si="20"/>
        <v>175560</v>
      </c>
      <c r="Z31" s="27">
        <f t="shared" si="20"/>
        <v>175560</v>
      </c>
      <c r="AA31" s="27">
        <f t="shared" si="20"/>
        <v>175560</v>
      </c>
      <c r="AB31" s="27">
        <f t="shared" si="20"/>
        <v>175560</v>
      </c>
      <c r="AC31" s="27">
        <f t="shared" si="20"/>
        <v>175560</v>
      </c>
      <c r="AD31" s="27">
        <f t="shared" si="20"/>
        <v>175560</v>
      </c>
      <c r="AE31" s="27">
        <f t="shared" si="20"/>
        <v>175560</v>
      </c>
      <c r="AF31" s="27">
        <f t="shared" ref="AF31" si="21">SUM(S19:S31)</f>
        <v>93566</v>
      </c>
    </row>
    <row r="32" spans="1:32" ht="15.75" thickBot="1" x14ac:dyDescent="0.3">
      <c r="A32" s="760" t="s">
        <v>35</v>
      </c>
      <c r="B32" s="761"/>
      <c r="C32" s="2">
        <f t="shared" ref="C32:S32" si="22">SUM(C33)</f>
        <v>50</v>
      </c>
      <c r="D32" s="2">
        <f t="shared" si="22"/>
        <v>50</v>
      </c>
      <c r="E32" s="2">
        <f t="shared" si="22"/>
        <v>50</v>
      </c>
      <c r="F32" s="2">
        <f t="shared" si="22"/>
        <v>50</v>
      </c>
      <c r="G32" s="2">
        <f t="shared" si="22"/>
        <v>50</v>
      </c>
      <c r="H32" s="2">
        <f t="shared" si="22"/>
        <v>50</v>
      </c>
      <c r="I32" s="2">
        <f t="shared" si="22"/>
        <v>50</v>
      </c>
      <c r="J32" s="2">
        <f t="shared" si="22"/>
        <v>50</v>
      </c>
      <c r="K32" s="2">
        <f t="shared" si="22"/>
        <v>50</v>
      </c>
      <c r="L32" s="2">
        <f t="shared" si="22"/>
        <v>50</v>
      </c>
      <c r="M32" s="2">
        <f t="shared" si="22"/>
        <v>50</v>
      </c>
      <c r="N32" s="2">
        <f t="shared" si="22"/>
        <v>50</v>
      </c>
      <c r="O32" s="2">
        <f t="shared" si="22"/>
        <v>50</v>
      </c>
      <c r="P32" s="2">
        <f t="shared" si="22"/>
        <v>50</v>
      </c>
      <c r="Q32" s="2">
        <f t="shared" si="22"/>
        <v>50</v>
      </c>
      <c r="R32" s="2">
        <f t="shared" si="22"/>
        <v>50</v>
      </c>
      <c r="S32" s="2">
        <f t="shared" si="22"/>
        <v>7</v>
      </c>
      <c r="T32" s="655">
        <f t="shared" si="5"/>
        <v>0.14000000000000001</v>
      </c>
    </row>
    <row r="33" spans="1:35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50</v>
      </c>
      <c r="K33" s="38">
        <v>50</v>
      </c>
      <c r="L33" s="38">
        <v>50</v>
      </c>
      <c r="M33" s="38">
        <v>50</v>
      </c>
      <c r="N33" s="38">
        <v>50</v>
      </c>
      <c r="O33" s="38">
        <v>50</v>
      </c>
      <c r="P33" s="38">
        <v>50</v>
      </c>
      <c r="Q33" s="38">
        <v>50</v>
      </c>
      <c r="R33" s="38">
        <v>50</v>
      </c>
      <c r="S33" s="38">
        <v>7</v>
      </c>
      <c r="T33" s="655">
        <f t="shared" si="5"/>
        <v>0.14000000000000001</v>
      </c>
    </row>
    <row r="34" spans="1:35" ht="15.75" thickBot="1" x14ac:dyDescent="0.3">
      <c r="A34" s="760" t="s">
        <v>37</v>
      </c>
      <c r="B34" s="761"/>
      <c r="C34" s="355">
        <f>SUM(C35:C40)</f>
        <v>47400</v>
      </c>
      <c r="D34" s="355">
        <f>SUM(D35:D40)</f>
        <v>47400</v>
      </c>
      <c r="E34" s="355">
        <f t="shared" ref="E34:S34" si="23">SUM(E35:E40)</f>
        <v>47405</v>
      </c>
      <c r="F34" s="355">
        <f t="shared" si="23"/>
        <v>47405</v>
      </c>
      <c r="G34" s="355">
        <f t="shared" si="23"/>
        <v>47405</v>
      </c>
      <c r="H34" s="355">
        <f t="shared" si="23"/>
        <v>47405</v>
      </c>
      <c r="I34" s="355">
        <f t="shared" si="23"/>
        <v>53405</v>
      </c>
      <c r="J34" s="355">
        <f t="shared" si="23"/>
        <v>53405</v>
      </c>
      <c r="K34" s="355">
        <f t="shared" si="23"/>
        <v>53405</v>
      </c>
      <c r="L34" s="355">
        <f t="shared" si="23"/>
        <v>53405</v>
      </c>
      <c r="M34" s="355">
        <f t="shared" si="23"/>
        <v>53405</v>
      </c>
      <c r="N34" s="355">
        <f t="shared" si="23"/>
        <v>53405</v>
      </c>
      <c r="O34" s="355">
        <f t="shared" si="23"/>
        <v>53405</v>
      </c>
      <c r="P34" s="355">
        <f t="shared" si="23"/>
        <v>53405</v>
      </c>
      <c r="Q34" s="355">
        <f t="shared" ref="Q34:R34" si="24">SUM(Q35:Q40)</f>
        <v>53405</v>
      </c>
      <c r="R34" s="355">
        <f t="shared" si="24"/>
        <v>53405</v>
      </c>
      <c r="S34" s="355">
        <f t="shared" si="23"/>
        <v>20368</v>
      </c>
      <c r="T34" s="655">
        <f t="shared" si="5"/>
        <v>0.38138751053272163</v>
      </c>
    </row>
    <row r="35" spans="1:35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655">
        <v>0</v>
      </c>
    </row>
    <row r="36" spans="1:35" x14ac:dyDescent="0.25">
      <c r="A36" s="52">
        <v>292</v>
      </c>
      <c r="B36" s="53" t="s">
        <v>39</v>
      </c>
      <c r="C36" s="55">
        <v>300</v>
      </c>
      <c r="D36" s="55">
        <v>300</v>
      </c>
      <c r="E36" s="55">
        <v>300</v>
      </c>
      <c r="F36" s="55">
        <v>300</v>
      </c>
      <c r="G36" s="55">
        <v>300</v>
      </c>
      <c r="H36" s="55">
        <v>300</v>
      </c>
      <c r="I36" s="55">
        <v>300</v>
      </c>
      <c r="J36" s="55">
        <v>300</v>
      </c>
      <c r="K36" s="55">
        <v>300</v>
      </c>
      <c r="L36" s="55">
        <v>300</v>
      </c>
      <c r="M36" s="55">
        <v>300</v>
      </c>
      <c r="N36" s="55">
        <v>300</v>
      </c>
      <c r="O36" s="55">
        <v>300</v>
      </c>
      <c r="P36" s="55">
        <v>300</v>
      </c>
      <c r="Q36" s="55">
        <v>300</v>
      </c>
      <c r="R36" s="55">
        <v>300</v>
      </c>
      <c r="S36" s="55">
        <v>25</v>
      </c>
      <c r="T36" s="655">
        <f t="shared" si="5"/>
        <v>8.3333333333333329E-2</v>
      </c>
    </row>
    <row r="37" spans="1:35" x14ac:dyDescent="0.25">
      <c r="A37" s="57">
        <v>292</v>
      </c>
      <c r="B37" s="58" t="s">
        <v>40</v>
      </c>
      <c r="C37" s="61">
        <v>5000</v>
      </c>
      <c r="D37" s="61">
        <v>5000</v>
      </c>
      <c r="E37" s="61">
        <v>5000</v>
      </c>
      <c r="F37" s="61">
        <v>5000</v>
      </c>
      <c r="G37" s="61">
        <v>5000</v>
      </c>
      <c r="H37" s="61">
        <v>5000</v>
      </c>
      <c r="I37" s="61">
        <v>5000</v>
      </c>
      <c r="J37" s="61">
        <v>5000</v>
      </c>
      <c r="K37" s="61">
        <v>5000</v>
      </c>
      <c r="L37" s="61">
        <v>5000</v>
      </c>
      <c r="M37" s="61">
        <v>5000</v>
      </c>
      <c r="N37" s="61">
        <v>5000</v>
      </c>
      <c r="O37" s="61">
        <v>5000</v>
      </c>
      <c r="P37" s="61">
        <v>5000</v>
      </c>
      <c r="Q37" s="61">
        <v>5000</v>
      </c>
      <c r="R37" s="61">
        <v>5000</v>
      </c>
      <c r="S37" s="61">
        <v>413</v>
      </c>
      <c r="T37" s="655">
        <f t="shared" si="5"/>
        <v>8.2600000000000007E-2</v>
      </c>
    </row>
    <row r="38" spans="1:35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500</v>
      </c>
      <c r="J38" s="60">
        <v>500</v>
      </c>
      <c r="K38" s="60">
        <v>500</v>
      </c>
      <c r="L38" s="60">
        <v>500</v>
      </c>
      <c r="M38" s="60">
        <v>500</v>
      </c>
      <c r="N38" s="60">
        <v>500</v>
      </c>
      <c r="O38" s="60">
        <v>500</v>
      </c>
      <c r="P38" s="60">
        <v>500</v>
      </c>
      <c r="Q38" s="60">
        <v>500</v>
      </c>
      <c r="R38" s="60">
        <v>500</v>
      </c>
      <c r="S38" s="60">
        <v>6</v>
      </c>
      <c r="T38" s="655">
        <f t="shared" si="5"/>
        <v>1.2E-2</v>
      </c>
    </row>
    <row r="39" spans="1:35" x14ac:dyDescent="0.25">
      <c r="A39" s="57">
        <v>292</v>
      </c>
      <c r="B39" s="18" t="s">
        <v>42</v>
      </c>
      <c r="C39" s="64">
        <v>310</v>
      </c>
      <c r="D39" s="64">
        <v>310</v>
      </c>
      <c r="E39" s="619">
        <f t="shared" ref="E39:R39" si="25">310+5</f>
        <v>315</v>
      </c>
      <c r="F39" s="64">
        <f t="shared" si="25"/>
        <v>315</v>
      </c>
      <c r="G39" s="64">
        <f t="shared" si="25"/>
        <v>315</v>
      </c>
      <c r="H39" s="64">
        <f t="shared" si="25"/>
        <v>315</v>
      </c>
      <c r="I39" s="64">
        <f t="shared" si="25"/>
        <v>315</v>
      </c>
      <c r="J39" s="64">
        <f t="shared" si="25"/>
        <v>315</v>
      </c>
      <c r="K39" s="64">
        <f t="shared" si="25"/>
        <v>315</v>
      </c>
      <c r="L39" s="64">
        <f t="shared" si="25"/>
        <v>315</v>
      </c>
      <c r="M39" s="64">
        <f t="shared" si="25"/>
        <v>315</v>
      </c>
      <c r="N39" s="64">
        <f t="shared" si="25"/>
        <v>315</v>
      </c>
      <c r="O39" s="64">
        <f t="shared" si="25"/>
        <v>315</v>
      </c>
      <c r="P39" s="64">
        <f t="shared" si="25"/>
        <v>315</v>
      </c>
      <c r="Q39" s="64">
        <f t="shared" si="25"/>
        <v>315</v>
      </c>
      <c r="R39" s="64">
        <f t="shared" si="25"/>
        <v>315</v>
      </c>
      <c r="S39" s="64">
        <v>0</v>
      </c>
      <c r="T39" s="655">
        <f t="shared" si="5"/>
        <v>0</v>
      </c>
    </row>
    <row r="40" spans="1:35" ht="15.75" thickBot="1" x14ac:dyDescent="0.3">
      <c r="A40" s="57">
        <v>292</v>
      </c>
      <c r="B40" s="58" t="s">
        <v>648</v>
      </c>
      <c r="C40" s="60">
        <f>41600-C39</f>
        <v>41290</v>
      </c>
      <c r="D40" s="60">
        <f>41600-D39</f>
        <v>41290</v>
      </c>
      <c r="E40" s="60">
        <f>41290</f>
        <v>41290</v>
      </c>
      <c r="F40" s="60">
        <f>41290</f>
        <v>41290</v>
      </c>
      <c r="G40" s="60">
        <v>41290</v>
      </c>
      <c r="H40" s="60">
        <v>41290</v>
      </c>
      <c r="I40" s="622">
        <f>41290+6000</f>
        <v>47290</v>
      </c>
      <c r="J40" s="60">
        <f>41290+6000</f>
        <v>47290</v>
      </c>
      <c r="K40" s="60">
        <f>41290+6000</f>
        <v>47290</v>
      </c>
      <c r="L40" s="60">
        <f t="shared" ref="L40:R40" si="26">41290+6000</f>
        <v>47290</v>
      </c>
      <c r="M40" s="60">
        <f t="shared" si="26"/>
        <v>47290</v>
      </c>
      <c r="N40" s="60">
        <f t="shared" si="26"/>
        <v>47290</v>
      </c>
      <c r="O40" s="60">
        <f t="shared" si="26"/>
        <v>47290</v>
      </c>
      <c r="P40" s="60">
        <f t="shared" si="26"/>
        <v>47290</v>
      </c>
      <c r="Q40" s="60">
        <f t="shared" si="26"/>
        <v>47290</v>
      </c>
      <c r="R40" s="60">
        <f t="shared" si="26"/>
        <v>47290</v>
      </c>
      <c r="S40" s="60">
        <v>19924</v>
      </c>
      <c r="T40" s="655">
        <f t="shared" si="5"/>
        <v>0.42131528864453371</v>
      </c>
    </row>
    <row r="41" spans="1:35" ht="15.75" thickBot="1" x14ac:dyDescent="0.3">
      <c r="A41" s="65" t="s">
        <v>44</v>
      </c>
      <c r="B41" s="359"/>
      <c r="C41" s="355">
        <f t="shared" ref="C41:S41" si="27">SUM(C42:C66)</f>
        <v>686340</v>
      </c>
      <c r="D41" s="355">
        <f t="shared" si="27"/>
        <v>686340</v>
      </c>
      <c r="E41" s="355">
        <f t="shared" si="27"/>
        <v>712565</v>
      </c>
      <c r="F41" s="355">
        <f t="shared" si="27"/>
        <v>718965</v>
      </c>
      <c r="G41" s="355">
        <f t="shared" si="27"/>
        <v>724965</v>
      </c>
      <c r="H41" s="355">
        <f t="shared" si="27"/>
        <v>728903</v>
      </c>
      <c r="I41" s="355">
        <f t="shared" si="27"/>
        <v>728903</v>
      </c>
      <c r="J41" s="355">
        <f t="shared" si="27"/>
        <v>735124</v>
      </c>
      <c r="K41" s="355">
        <f t="shared" si="27"/>
        <v>735124</v>
      </c>
      <c r="L41" s="355">
        <f t="shared" si="27"/>
        <v>736574</v>
      </c>
      <c r="M41" s="355">
        <f t="shared" si="27"/>
        <v>736574</v>
      </c>
      <c r="N41" s="355">
        <f t="shared" si="27"/>
        <v>756230</v>
      </c>
      <c r="O41" s="355">
        <f t="shared" si="27"/>
        <v>756230</v>
      </c>
      <c r="P41" s="355">
        <f t="shared" si="27"/>
        <v>756230</v>
      </c>
      <c r="Q41" s="355">
        <f t="shared" ref="Q41:R41" si="28">SUM(Q42:Q66)</f>
        <v>777357</v>
      </c>
      <c r="R41" s="355">
        <f t="shared" si="28"/>
        <v>777357</v>
      </c>
      <c r="S41" s="355">
        <f t="shared" si="27"/>
        <v>561324</v>
      </c>
      <c r="T41" s="655">
        <f t="shared" si="5"/>
        <v>0.74226624175184797</v>
      </c>
      <c r="U41" s="464">
        <f t="shared" ref="U41:AH41" si="29">SUM(C43:C62)+C65+C66</f>
        <v>683140</v>
      </c>
      <c r="V41" s="464">
        <f t="shared" si="29"/>
        <v>683140</v>
      </c>
      <c r="W41" s="464">
        <f t="shared" si="29"/>
        <v>709365</v>
      </c>
      <c r="X41" s="464">
        <f t="shared" si="29"/>
        <v>710765</v>
      </c>
      <c r="Y41" s="464">
        <f t="shared" si="29"/>
        <v>716765</v>
      </c>
      <c r="Z41" s="464">
        <f t="shared" si="29"/>
        <v>720703</v>
      </c>
      <c r="AA41" s="464">
        <f t="shared" si="29"/>
        <v>720703</v>
      </c>
      <c r="AB41" s="464">
        <f t="shared" si="29"/>
        <v>723924</v>
      </c>
      <c r="AC41" s="464">
        <f t="shared" si="29"/>
        <v>723924</v>
      </c>
      <c r="AD41" s="464">
        <f t="shared" si="29"/>
        <v>725374</v>
      </c>
      <c r="AE41" s="464">
        <f t="shared" si="29"/>
        <v>725374</v>
      </c>
      <c r="AF41" s="464">
        <f t="shared" si="29"/>
        <v>745030</v>
      </c>
      <c r="AG41" s="464">
        <f t="shared" si="29"/>
        <v>745030</v>
      </c>
      <c r="AH41" s="464">
        <f t="shared" si="29"/>
        <v>745030</v>
      </c>
      <c r="AI41" s="464">
        <f t="shared" ref="AI41" si="30">SUM(S43:S62)+S65+S66</f>
        <v>550124</v>
      </c>
    </row>
    <row r="42" spans="1:35" x14ac:dyDescent="0.25">
      <c r="A42" s="67">
        <v>311</v>
      </c>
      <c r="B42" s="360" t="s">
        <v>45</v>
      </c>
      <c r="C42" s="68">
        <v>0</v>
      </c>
      <c r="D42" s="68">
        <v>0</v>
      </c>
      <c r="E42" s="68">
        <v>0</v>
      </c>
      <c r="F42" s="696">
        <v>5000</v>
      </c>
      <c r="G42" s="68">
        <f>5000</f>
        <v>5000</v>
      </c>
      <c r="H42" s="68">
        <f>5000</f>
        <v>5000</v>
      </c>
      <c r="I42" s="68">
        <f>5000</f>
        <v>5000</v>
      </c>
      <c r="J42" s="696">
        <f>5000+3000</f>
        <v>8000</v>
      </c>
      <c r="K42" s="68">
        <f>5000+3000</f>
        <v>8000</v>
      </c>
      <c r="L42" s="68">
        <f t="shared" ref="L42:R42" si="31">5000+3000</f>
        <v>8000</v>
      </c>
      <c r="M42" s="68">
        <f t="shared" si="31"/>
        <v>8000</v>
      </c>
      <c r="N42" s="68">
        <f t="shared" si="31"/>
        <v>8000</v>
      </c>
      <c r="O42" s="68">
        <f t="shared" si="31"/>
        <v>8000</v>
      </c>
      <c r="P42" s="68">
        <f t="shared" si="31"/>
        <v>8000</v>
      </c>
      <c r="Q42" s="68">
        <f t="shared" si="31"/>
        <v>8000</v>
      </c>
      <c r="R42" s="68">
        <f t="shared" si="31"/>
        <v>8000</v>
      </c>
      <c r="S42" s="68">
        <v>8000</v>
      </c>
      <c r="T42" s="655">
        <f t="shared" si="5"/>
        <v>1</v>
      </c>
    </row>
    <row r="43" spans="1:35" x14ac:dyDescent="0.25">
      <c r="A43" s="71">
        <v>312</v>
      </c>
      <c r="B43" s="76" t="s">
        <v>252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655">
        <v>0</v>
      </c>
    </row>
    <row r="44" spans="1:35" x14ac:dyDescent="0.25">
      <c r="A44" s="67">
        <v>312</v>
      </c>
      <c r="B44" s="360" t="s">
        <v>279</v>
      </c>
      <c r="C44" s="68">
        <v>4000</v>
      </c>
      <c r="D44" s="68">
        <v>4000</v>
      </c>
      <c r="E44" s="68">
        <v>4000</v>
      </c>
      <c r="F44" s="68">
        <v>4000</v>
      </c>
      <c r="G44" s="68">
        <v>4000</v>
      </c>
      <c r="H44" s="68">
        <v>4000</v>
      </c>
      <c r="I44" s="68">
        <v>4000</v>
      </c>
      <c r="J44" s="68">
        <v>4000</v>
      </c>
      <c r="K44" s="68">
        <v>4000</v>
      </c>
      <c r="L44" s="68">
        <v>4000</v>
      </c>
      <c r="M44" s="68">
        <v>4000</v>
      </c>
      <c r="N44" s="68">
        <v>4000</v>
      </c>
      <c r="O44" s="68">
        <v>4000</v>
      </c>
      <c r="P44" s="68">
        <v>4000</v>
      </c>
      <c r="Q44" s="68">
        <v>4000</v>
      </c>
      <c r="R44" s="68">
        <v>4000</v>
      </c>
      <c r="S44" s="68">
        <v>1250</v>
      </c>
      <c r="T44" s="655">
        <f t="shared" si="5"/>
        <v>0.3125</v>
      </c>
    </row>
    <row r="45" spans="1:35" x14ac:dyDescent="0.25">
      <c r="A45" s="67">
        <v>312</v>
      </c>
      <c r="B45" s="360" t="s">
        <v>272</v>
      </c>
      <c r="C45" s="70">
        <v>4750</v>
      </c>
      <c r="D45" s="70">
        <v>4750</v>
      </c>
      <c r="E45" s="70">
        <v>4750</v>
      </c>
      <c r="F45" s="70">
        <v>4750</v>
      </c>
      <c r="G45" s="70">
        <v>4750</v>
      </c>
      <c r="H45" s="70">
        <v>4750</v>
      </c>
      <c r="I45" s="70">
        <v>4750</v>
      </c>
      <c r="J45" s="70">
        <v>4750</v>
      </c>
      <c r="K45" s="70">
        <v>4750</v>
      </c>
      <c r="L45" s="70">
        <v>4750</v>
      </c>
      <c r="M45" s="70">
        <v>4750</v>
      </c>
      <c r="N45" s="70">
        <v>4750</v>
      </c>
      <c r="O45" s="70">
        <v>4750</v>
      </c>
      <c r="P45" s="70">
        <v>4750</v>
      </c>
      <c r="Q45" s="70">
        <v>4750</v>
      </c>
      <c r="R45" s="70">
        <v>4750</v>
      </c>
      <c r="S45" s="70">
        <v>4619</v>
      </c>
      <c r="T45" s="655">
        <f t="shared" si="5"/>
        <v>0.97242105263157896</v>
      </c>
    </row>
    <row r="46" spans="1:35" x14ac:dyDescent="0.25">
      <c r="A46" s="71">
        <v>312</v>
      </c>
      <c r="B46" s="76" t="s">
        <v>480</v>
      </c>
      <c r="C46" s="73">
        <v>0</v>
      </c>
      <c r="D46" s="73">
        <v>0</v>
      </c>
      <c r="E46" s="73">
        <v>0</v>
      </c>
      <c r="F46" s="73">
        <v>0</v>
      </c>
      <c r="G46" s="697">
        <f>6000</f>
        <v>6000</v>
      </c>
      <c r="H46" s="73">
        <f>6000</f>
        <v>6000</v>
      </c>
      <c r="I46" s="73">
        <f>6000</f>
        <v>6000</v>
      </c>
      <c r="J46" s="73">
        <f>6000</f>
        <v>6000</v>
      </c>
      <c r="K46" s="73">
        <f>6000</f>
        <v>6000</v>
      </c>
      <c r="L46" s="73">
        <f>6000</f>
        <v>6000</v>
      </c>
      <c r="M46" s="73">
        <f>6000</f>
        <v>6000</v>
      </c>
      <c r="N46" s="73">
        <f>6000</f>
        <v>6000</v>
      </c>
      <c r="O46" s="73">
        <f>6000</f>
        <v>6000</v>
      </c>
      <c r="P46" s="73">
        <f>6000</f>
        <v>6000</v>
      </c>
      <c r="Q46" s="73">
        <f>6000</f>
        <v>6000</v>
      </c>
      <c r="R46" s="73">
        <f>6000</f>
        <v>6000</v>
      </c>
      <c r="S46" s="73">
        <v>2881</v>
      </c>
      <c r="T46" s="655">
        <f t="shared" si="5"/>
        <v>0.48016666666666669</v>
      </c>
    </row>
    <row r="47" spans="1:35" x14ac:dyDescent="0.25">
      <c r="A47" s="69">
        <v>312</v>
      </c>
      <c r="B47" s="450" t="s">
        <v>649</v>
      </c>
      <c r="C47" s="70">
        <v>2000</v>
      </c>
      <c r="D47" s="70">
        <v>2000</v>
      </c>
      <c r="E47" s="70">
        <v>2000</v>
      </c>
      <c r="F47" s="70">
        <v>2000</v>
      </c>
      <c r="G47" s="70">
        <v>2000</v>
      </c>
      <c r="H47" s="70">
        <v>2000</v>
      </c>
      <c r="I47" s="70">
        <v>2000</v>
      </c>
      <c r="J47" s="70">
        <v>2000</v>
      </c>
      <c r="K47" s="70">
        <v>2000</v>
      </c>
      <c r="L47" s="70">
        <v>2000</v>
      </c>
      <c r="M47" s="70">
        <v>2000</v>
      </c>
      <c r="N47" s="70">
        <v>2000</v>
      </c>
      <c r="O47" s="70">
        <v>2000</v>
      </c>
      <c r="P47" s="70">
        <v>2000</v>
      </c>
      <c r="Q47" s="70">
        <v>2000</v>
      </c>
      <c r="R47" s="70">
        <v>2000</v>
      </c>
      <c r="S47" s="70">
        <v>767</v>
      </c>
      <c r="T47" s="655">
        <f t="shared" si="5"/>
        <v>0.38350000000000001</v>
      </c>
    </row>
    <row r="48" spans="1:35" x14ac:dyDescent="0.25">
      <c r="A48" s="71">
        <v>312</v>
      </c>
      <c r="B48" s="353" t="s">
        <v>231</v>
      </c>
      <c r="C48" s="16">
        <v>7900</v>
      </c>
      <c r="D48" s="16">
        <v>7900</v>
      </c>
      <c r="E48" s="16">
        <v>7900</v>
      </c>
      <c r="F48" s="16">
        <v>7900</v>
      </c>
      <c r="G48" s="16">
        <v>7900</v>
      </c>
      <c r="H48" s="16">
        <v>7900</v>
      </c>
      <c r="I48" s="16">
        <v>7900</v>
      </c>
      <c r="J48" s="16">
        <v>7900</v>
      </c>
      <c r="K48" s="16">
        <v>7900</v>
      </c>
      <c r="L48" s="16">
        <v>7900</v>
      </c>
      <c r="M48" s="16">
        <v>7900</v>
      </c>
      <c r="N48" s="16">
        <v>7900</v>
      </c>
      <c r="O48" s="16">
        <v>7900</v>
      </c>
      <c r="P48" s="16">
        <v>7900</v>
      </c>
      <c r="Q48" s="16">
        <v>7900</v>
      </c>
      <c r="R48" s="16">
        <v>7900</v>
      </c>
      <c r="S48" s="16">
        <v>5617</v>
      </c>
      <c r="T48" s="655">
        <f t="shared" si="5"/>
        <v>0.71101265822784809</v>
      </c>
    </row>
    <row r="49" spans="1:35" x14ac:dyDescent="0.25">
      <c r="A49" s="71">
        <v>312</v>
      </c>
      <c r="B49" s="353" t="s">
        <v>232</v>
      </c>
      <c r="C49" s="16">
        <v>150</v>
      </c>
      <c r="D49" s="16">
        <v>150</v>
      </c>
      <c r="E49" s="16">
        <v>150</v>
      </c>
      <c r="F49" s="16">
        <v>150</v>
      </c>
      <c r="G49" s="16">
        <v>150</v>
      </c>
      <c r="H49" s="16">
        <v>150</v>
      </c>
      <c r="I49" s="16">
        <v>150</v>
      </c>
      <c r="J49" s="16">
        <v>150</v>
      </c>
      <c r="K49" s="16">
        <v>150</v>
      </c>
      <c r="L49" s="16">
        <v>150</v>
      </c>
      <c r="M49" s="16">
        <v>150</v>
      </c>
      <c r="N49" s="16">
        <v>150</v>
      </c>
      <c r="O49" s="16">
        <v>150</v>
      </c>
      <c r="P49" s="16">
        <v>150</v>
      </c>
      <c r="Q49" s="16">
        <v>150</v>
      </c>
      <c r="R49" s="16">
        <v>150</v>
      </c>
      <c r="S49" s="16">
        <v>0</v>
      </c>
      <c r="T49" s="655">
        <f t="shared" si="5"/>
        <v>0</v>
      </c>
    </row>
    <row r="50" spans="1:35" x14ac:dyDescent="0.25">
      <c r="A50" s="71">
        <v>312</v>
      </c>
      <c r="B50" s="118" t="s">
        <v>51</v>
      </c>
      <c r="C50" s="73">
        <v>2950</v>
      </c>
      <c r="D50" s="73">
        <v>2950</v>
      </c>
      <c r="E50" s="73">
        <v>2950</v>
      </c>
      <c r="F50" s="73">
        <v>2950</v>
      </c>
      <c r="G50" s="73">
        <v>2950</v>
      </c>
      <c r="H50" s="73">
        <v>2950</v>
      </c>
      <c r="I50" s="73">
        <v>2950</v>
      </c>
      <c r="J50" s="73">
        <v>2950</v>
      </c>
      <c r="K50" s="73">
        <v>2950</v>
      </c>
      <c r="L50" s="73">
        <v>2950</v>
      </c>
      <c r="M50" s="73">
        <v>2950</v>
      </c>
      <c r="N50" s="73">
        <v>2950</v>
      </c>
      <c r="O50" s="73">
        <v>2950</v>
      </c>
      <c r="P50" s="73">
        <v>2950</v>
      </c>
      <c r="Q50" s="73">
        <v>2950</v>
      </c>
      <c r="R50" s="73">
        <v>2950</v>
      </c>
      <c r="S50" s="73">
        <v>88</v>
      </c>
      <c r="T50" s="655">
        <f t="shared" si="5"/>
        <v>2.9830508474576273E-2</v>
      </c>
    </row>
    <row r="51" spans="1:35" ht="15.75" thickBot="1" x14ac:dyDescent="0.3">
      <c r="A51" s="74">
        <v>312</v>
      </c>
      <c r="B51" s="82" t="s">
        <v>54</v>
      </c>
      <c r="C51" s="75">
        <v>40</v>
      </c>
      <c r="D51" s="75">
        <v>40</v>
      </c>
      <c r="E51" s="75">
        <v>40</v>
      </c>
      <c r="F51" s="75">
        <v>40</v>
      </c>
      <c r="G51" s="75">
        <v>40</v>
      </c>
      <c r="H51" s="75">
        <v>40</v>
      </c>
      <c r="I51" s="75">
        <v>40</v>
      </c>
      <c r="J51" s="75">
        <v>40</v>
      </c>
      <c r="K51" s="75">
        <v>40</v>
      </c>
      <c r="L51" s="75">
        <v>40</v>
      </c>
      <c r="M51" s="75">
        <v>40</v>
      </c>
      <c r="N51" s="75">
        <v>40</v>
      </c>
      <c r="O51" s="75">
        <v>40</v>
      </c>
      <c r="P51" s="75">
        <v>40</v>
      </c>
      <c r="Q51" s="75">
        <v>40</v>
      </c>
      <c r="R51" s="75">
        <v>40</v>
      </c>
      <c r="S51" s="75">
        <v>37</v>
      </c>
      <c r="T51" s="655">
        <f t="shared" si="5"/>
        <v>0.92500000000000004</v>
      </c>
    </row>
    <row r="52" spans="1:35" ht="15.75" thickBot="1" x14ac:dyDescent="0.3">
      <c r="A52" s="349">
        <v>312</v>
      </c>
      <c r="B52" s="361" t="s">
        <v>399</v>
      </c>
      <c r="C52" s="350">
        <v>4100</v>
      </c>
      <c r="D52" s="350">
        <v>4100</v>
      </c>
      <c r="E52" s="350">
        <v>4100</v>
      </c>
      <c r="F52" s="350">
        <v>4100</v>
      </c>
      <c r="G52" s="350">
        <v>4100</v>
      </c>
      <c r="H52" s="350">
        <v>4100</v>
      </c>
      <c r="I52" s="350">
        <v>4100</v>
      </c>
      <c r="J52" s="350">
        <v>4100</v>
      </c>
      <c r="K52" s="350">
        <v>4100</v>
      </c>
      <c r="L52" s="350">
        <v>4100</v>
      </c>
      <c r="M52" s="350">
        <v>4100</v>
      </c>
      <c r="N52" s="350">
        <v>4100</v>
      </c>
      <c r="O52" s="350">
        <v>4100</v>
      </c>
      <c r="P52" s="350">
        <v>4100</v>
      </c>
      <c r="Q52" s="350">
        <v>4100</v>
      </c>
      <c r="R52" s="350">
        <v>4100</v>
      </c>
      <c r="S52" s="350">
        <v>2190</v>
      </c>
      <c r="T52" s="655">
        <f t="shared" si="5"/>
        <v>0.53414634146341466</v>
      </c>
    </row>
    <row r="53" spans="1:35" x14ac:dyDescent="0.25">
      <c r="A53" s="71">
        <v>312</v>
      </c>
      <c r="B53" s="85" t="s">
        <v>55</v>
      </c>
      <c r="C53" s="16">
        <v>19100</v>
      </c>
      <c r="D53" s="16">
        <v>19100</v>
      </c>
      <c r="E53" s="16">
        <v>19100</v>
      </c>
      <c r="F53" s="16">
        <v>19100</v>
      </c>
      <c r="G53" s="16">
        <v>19100</v>
      </c>
      <c r="H53" s="16">
        <v>19100</v>
      </c>
      <c r="I53" s="16">
        <v>19100</v>
      </c>
      <c r="J53" s="16">
        <v>19100</v>
      </c>
      <c r="K53" s="16">
        <v>19100</v>
      </c>
      <c r="L53" s="16">
        <v>19100</v>
      </c>
      <c r="M53" s="16">
        <v>19100</v>
      </c>
      <c r="N53" s="16">
        <v>19100</v>
      </c>
      <c r="O53" s="16">
        <v>19100</v>
      </c>
      <c r="P53" s="16">
        <v>19100</v>
      </c>
      <c r="Q53" s="16">
        <v>19100</v>
      </c>
      <c r="R53" s="16">
        <v>19100</v>
      </c>
      <c r="S53" s="16">
        <v>14533</v>
      </c>
      <c r="T53" s="655">
        <f t="shared" si="5"/>
        <v>0.76089005235602092</v>
      </c>
    </row>
    <row r="54" spans="1:35" x14ac:dyDescent="0.25">
      <c r="A54" s="71">
        <v>312</v>
      </c>
      <c r="B54" s="118" t="s">
        <v>56</v>
      </c>
      <c r="C54" s="16">
        <v>11000</v>
      </c>
      <c r="D54" s="16">
        <v>11000</v>
      </c>
      <c r="E54" s="16">
        <v>11000</v>
      </c>
      <c r="F54" s="16">
        <v>11000</v>
      </c>
      <c r="G54" s="16">
        <v>11000</v>
      </c>
      <c r="H54" s="16">
        <v>11000</v>
      </c>
      <c r="I54" s="16">
        <v>11000</v>
      </c>
      <c r="J54" s="16">
        <v>11000</v>
      </c>
      <c r="K54" s="16">
        <v>11000</v>
      </c>
      <c r="L54" s="16">
        <v>11000</v>
      </c>
      <c r="M54" s="16">
        <v>11000</v>
      </c>
      <c r="N54" s="16">
        <v>11000</v>
      </c>
      <c r="O54" s="16">
        <v>11000</v>
      </c>
      <c r="P54" s="16">
        <v>11000</v>
      </c>
      <c r="Q54" s="16">
        <v>11000</v>
      </c>
      <c r="R54" s="16">
        <v>11000</v>
      </c>
      <c r="S54" s="16">
        <v>8250</v>
      </c>
      <c r="T54" s="655">
        <f t="shared" si="5"/>
        <v>0.75</v>
      </c>
    </row>
    <row r="55" spans="1:35" ht="15.75" thickBot="1" x14ac:dyDescent="0.3">
      <c r="A55" s="77">
        <v>312</v>
      </c>
      <c r="B55" s="165" t="s">
        <v>57</v>
      </c>
      <c r="C55" s="79">
        <v>8600</v>
      </c>
      <c r="D55" s="79">
        <v>8600</v>
      </c>
      <c r="E55" s="79">
        <v>8600</v>
      </c>
      <c r="F55" s="79">
        <v>8600</v>
      </c>
      <c r="G55" s="79">
        <v>8600</v>
      </c>
      <c r="H55" s="79">
        <v>8600</v>
      </c>
      <c r="I55" s="79">
        <v>8600</v>
      </c>
      <c r="J55" s="79">
        <v>8600</v>
      </c>
      <c r="K55" s="79">
        <v>8600</v>
      </c>
      <c r="L55" s="79">
        <v>8600</v>
      </c>
      <c r="M55" s="79">
        <v>8600</v>
      </c>
      <c r="N55" s="79">
        <v>8600</v>
      </c>
      <c r="O55" s="79">
        <v>8600</v>
      </c>
      <c r="P55" s="79">
        <v>8600</v>
      </c>
      <c r="Q55" s="79">
        <v>8600</v>
      </c>
      <c r="R55" s="79">
        <v>8600</v>
      </c>
      <c r="S55" s="79">
        <v>4210</v>
      </c>
      <c r="T55" s="655">
        <f t="shared" si="5"/>
        <v>0.48953488372093024</v>
      </c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</row>
    <row r="56" spans="1:35" ht="15.75" thickBot="1" x14ac:dyDescent="0.3">
      <c r="A56" s="77">
        <v>312</v>
      </c>
      <c r="B56" s="165" t="s">
        <v>540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20">
        <v>3200</v>
      </c>
      <c r="I56" s="79">
        <v>3200</v>
      </c>
      <c r="J56" s="79">
        <v>3200</v>
      </c>
      <c r="K56" s="79">
        <v>3200</v>
      </c>
      <c r="L56" s="79">
        <v>3200</v>
      </c>
      <c r="M56" s="79">
        <v>3200</v>
      </c>
      <c r="N56" s="79">
        <v>3200</v>
      </c>
      <c r="O56" s="79">
        <v>3200</v>
      </c>
      <c r="P56" s="79">
        <v>3200</v>
      </c>
      <c r="Q56" s="79">
        <v>3200</v>
      </c>
      <c r="R56" s="79">
        <v>3200</v>
      </c>
      <c r="S56" s="79">
        <v>3200</v>
      </c>
      <c r="T56" s="655">
        <f t="shared" si="5"/>
        <v>1</v>
      </c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</row>
    <row r="57" spans="1:35" ht="15.75" thickBot="1" x14ac:dyDescent="0.3">
      <c r="A57" s="74">
        <v>312</v>
      </c>
      <c r="B57" s="82" t="s">
        <v>60</v>
      </c>
      <c r="C57" s="75">
        <v>0</v>
      </c>
      <c r="D57" s="75">
        <v>0</v>
      </c>
      <c r="E57" s="633">
        <f>2000</f>
        <v>2000</v>
      </c>
      <c r="F57" s="75">
        <f>2000</f>
        <v>2000</v>
      </c>
      <c r="G57" s="75">
        <f>2000</f>
        <v>2000</v>
      </c>
      <c r="H57" s="75">
        <f>2000</f>
        <v>2000</v>
      </c>
      <c r="I57" s="75">
        <f>2000</f>
        <v>2000</v>
      </c>
      <c r="J57" s="75">
        <f>2000</f>
        <v>2000</v>
      </c>
      <c r="K57" s="75">
        <f>2000</f>
        <v>2000</v>
      </c>
      <c r="L57" s="633">
        <f>2000+1200</f>
        <v>3200</v>
      </c>
      <c r="M57" s="75">
        <f>2000+1200</f>
        <v>3200</v>
      </c>
      <c r="N57" s="75">
        <f t="shared" ref="N57:R57" si="32">2000+1200</f>
        <v>3200</v>
      </c>
      <c r="O57" s="75">
        <f t="shared" si="32"/>
        <v>3200</v>
      </c>
      <c r="P57" s="75">
        <f t="shared" si="32"/>
        <v>3200</v>
      </c>
      <c r="Q57" s="75">
        <f t="shared" si="32"/>
        <v>3200</v>
      </c>
      <c r="R57" s="75">
        <f t="shared" si="32"/>
        <v>3200</v>
      </c>
      <c r="S57" s="75">
        <v>3200</v>
      </c>
      <c r="T57" s="655">
        <f t="shared" si="5"/>
        <v>1</v>
      </c>
    </row>
    <row r="58" spans="1:35" x14ac:dyDescent="0.25">
      <c r="A58" s="71">
        <v>312</v>
      </c>
      <c r="B58" s="352" t="s">
        <v>61</v>
      </c>
      <c r="C58" s="83">
        <v>5000</v>
      </c>
      <c r="D58" s="83">
        <v>5000</v>
      </c>
      <c r="E58" s="83">
        <v>5000</v>
      </c>
      <c r="F58" s="83">
        <v>5000</v>
      </c>
      <c r="G58" s="83">
        <v>5000</v>
      </c>
      <c r="H58" s="83">
        <v>5000</v>
      </c>
      <c r="I58" s="83">
        <v>5000</v>
      </c>
      <c r="J58" s="83">
        <v>5000</v>
      </c>
      <c r="K58" s="83">
        <v>5000</v>
      </c>
      <c r="L58" s="83">
        <v>5000</v>
      </c>
      <c r="M58" s="83">
        <v>5000</v>
      </c>
      <c r="N58" s="83">
        <v>5000</v>
      </c>
      <c r="O58" s="83">
        <v>5000</v>
      </c>
      <c r="P58" s="83">
        <v>5000</v>
      </c>
      <c r="Q58" s="83">
        <v>5000</v>
      </c>
      <c r="R58" s="83">
        <v>5000</v>
      </c>
      <c r="S58" s="83">
        <v>4838</v>
      </c>
      <c r="T58" s="655">
        <f t="shared" si="5"/>
        <v>0.96760000000000002</v>
      </c>
    </row>
    <row r="59" spans="1:35" x14ac:dyDescent="0.25">
      <c r="A59" s="84">
        <v>312</v>
      </c>
      <c r="B59" s="362" t="s">
        <v>62</v>
      </c>
      <c r="C59" s="21">
        <v>3700</v>
      </c>
      <c r="D59" s="21">
        <v>3700</v>
      </c>
      <c r="E59" s="21">
        <v>3700</v>
      </c>
      <c r="F59" s="21">
        <v>3700</v>
      </c>
      <c r="G59" s="21">
        <v>3700</v>
      </c>
      <c r="H59" s="21">
        <v>3700</v>
      </c>
      <c r="I59" s="21">
        <v>3700</v>
      </c>
      <c r="J59" s="21">
        <v>3700</v>
      </c>
      <c r="K59" s="21">
        <v>3700</v>
      </c>
      <c r="L59" s="21">
        <v>3700</v>
      </c>
      <c r="M59" s="21">
        <v>3700</v>
      </c>
      <c r="N59" s="21">
        <v>3700</v>
      </c>
      <c r="O59" s="21">
        <v>3700</v>
      </c>
      <c r="P59" s="21">
        <v>3700</v>
      </c>
      <c r="Q59" s="21">
        <v>3700</v>
      </c>
      <c r="R59" s="21">
        <v>3700</v>
      </c>
      <c r="S59" s="21">
        <v>3593</v>
      </c>
      <c r="T59" s="655">
        <f t="shared" si="5"/>
        <v>0.97108108108108104</v>
      </c>
    </row>
    <row r="60" spans="1:35" x14ac:dyDescent="0.25">
      <c r="A60" s="84">
        <v>312</v>
      </c>
      <c r="B60" s="363" t="s">
        <v>320</v>
      </c>
      <c r="C60" s="33">
        <v>3000</v>
      </c>
      <c r="D60" s="33">
        <v>3000</v>
      </c>
      <c r="E60" s="651">
        <f t="shared" ref="E60:M60" si="33">3000+2406</f>
        <v>5406</v>
      </c>
      <c r="F60" s="33">
        <f t="shared" si="33"/>
        <v>5406</v>
      </c>
      <c r="G60" s="33">
        <f t="shared" si="33"/>
        <v>5406</v>
      </c>
      <c r="H60" s="33">
        <f t="shared" si="33"/>
        <v>5406</v>
      </c>
      <c r="I60" s="33">
        <f t="shared" si="33"/>
        <v>5406</v>
      </c>
      <c r="J60" s="33">
        <f t="shared" si="33"/>
        <v>5406</v>
      </c>
      <c r="K60" s="33">
        <f t="shared" si="33"/>
        <v>5406</v>
      </c>
      <c r="L60" s="33">
        <f t="shared" si="33"/>
        <v>5406</v>
      </c>
      <c r="M60" s="33">
        <f t="shared" si="33"/>
        <v>5406</v>
      </c>
      <c r="N60" s="651">
        <f>3000+2406+1802</f>
        <v>7208</v>
      </c>
      <c r="O60" s="33">
        <f>3000+2406+1802</f>
        <v>7208</v>
      </c>
      <c r="P60" s="33">
        <f>3000+2406+1802</f>
        <v>7208</v>
      </c>
      <c r="Q60" s="33">
        <f t="shared" ref="Q60:R60" si="34">3000+2406+1802</f>
        <v>7208</v>
      </c>
      <c r="R60" s="33">
        <f t="shared" si="34"/>
        <v>7208</v>
      </c>
      <c r="S60" s="33">
        <v>7208</v>
      </c>
      <c r="T60" s="655">
        <f t="shared" si="5"/>
        <v>1</v>
      </c>
    </row>
    <row r="61" spans="1:35" x14ac:dyDescent="0.25">
      <c r="A61" s="71">
        <v>312</v>
      </c>
      <c r="B61" s="118" t="s">
        <v>680</v>
      </c>
      <c r="C61" s="16">
        <f t="shared" ref="C61:M61" si="35">89800-64300</f>
        <v>25500</v>
      </c>
      <c r="D61" s="16">
        <f t="shared" si="35"/>
        <v>25500</v>
      </c>
      <c r="E61" s="16">
        <f t="shared" si="35"/>
        <v>25500</v>
      </c>
      <c r="F61" s="16">
        <f t="shared" si="35"/>
        <v>25500</v>
      </c>
      <c r="G61" s="16">
        <f t="shared" si="35"/>
        <v>25500</v>
      </c>
      <c r="H61" s="16">
        <f t="shared" si="35"/>
        <v>25500</v>
      </c>
      <c r="I61" s="16">
        <f t="shared" si="35"/>
        <v>25500</v>
      </c>
      <c r="J61" s="16">
        <f t="shared" si="35"/>
        <v>25500</v>
      </c>
      <c r="K61" s="16">
        <f t="shared" si="35"/>
        <v>25500</v>
      </c>
      <c r="L61" s="16">
        <f t="shared" si="35"/>
        <v>25500</v>
      </c>
      <c r="M61" s="16">
        <f t="shared" si="35"/>
        <v>25500</v>
      </c>
      <c r="N61" s="754">
        <f>89800-64300+11800</f>
        <v>37300</v>
      </c>
      <c r="O61" s="16">
        <f>89800-64300+11800</f>
        <v>37300</v>
      </c>
      <c r="P61" s="16">
        <f>89800-64300+11800</f>
        <v>37300</v>
      </c>
      <c r="Q61" s="16">
        <f t="shared" ref="Q61:R61" si="36">89800-64300+11800</f>
        <v>37300</v>
      </c>
      <c r="R61" s="16">
        <f t="shared" si="36"/>
        <v>37300</v>
      </c>
      <c r="S61" s="16">
        <v>37246</v>
      </c>
      <c r="T61" s="655">
        <f t="shared" si="5"/>
        <v>0.99855227882037534</v>
      </c>
    </row>
    <row r="62" spans="1:35" ht="15.75" thickBot="1" x14ac:dyDescent="0.3">
      <c r="A62" s="77">
        <v>312</v>
      </c>
      <c r="B62" s="165" t="s">
        <v>64</v>
      </c>
      <c r="C62" s="79">
        <v>46400</v>
      </c>
      <c r="D62" s="79">
        <v>46400</v>
      </c>
      <c r="E62" s="79">
        <v>46400</v>
      </c>
      <c r="F62" s="79">
        <v>46400</v>
      </c>
      <c r="G62" s="79">
        <v>46400</v>
      </c>
      <c r="H62" s="79">
        <v>46400</v>
      </c>
      <c r="I62" s="79">
        <v>46400</v>
      </c>
      <c r="J62" s="79">
        <v>46400</v>
      </c>
      <c r="K62" s="79">
        <v>46400</v>
      </c>
      <c r="L62" s="79">
        <v>46400</v>
      </c>
      <c r="M62" s="79">
        <v>46400</v>
      </c>
      <c r="N62" s="79">
        <v>46400</v>
      </c>
      <c r="O62" s="79">
        <v>46400</v>
      </c>
      <c r="P62" s="79">
        <v>46400</v>
      </c>
      <c r="Q62" s="79">
        <v>46400</v>
      </c>
      <c r="R62" s="79">
        <v>46400</v>
      </c>
      <c r="S62" s="79">
        <v>20582</v>
      </c>
      <c r="T62" s="655">
        <f t="shared" si="5"/>
        <v>0.44357758620689658</v>
      </c>
    </row>
    <row r="63" spans="1:35" x14ac:dyDescent="0.25">
      <c r="A63" s="71">
        <v>315</v>
      </c>
      <c r="B63" s="76" t="s">
        <v>59</v>
      </c>
      <c r="C63" s="16">
        <v>3000</v>
      </c>
      <c r="D63" s="16">
        <v>3000</v>
      </c>
      <c r="E63" s="16">
        <v>3000</v>
      </c>
      <c r="F63" s="16">
        <v>3000</v>
      </c>
      <c r="G63" s="16">
        <v>3000</v>
      </c>
      <c r="H63" s="16">
        <v>3000</v>
      </c>
      <c r="I63" s="16">
        <v>3000</v>
      </c>
      <c r="J63" s="16">
        <v>3000</v>
      </c>
      <c r="K63" s="16">
        <v>3000</v>
      </c>
      <c r="L63" s="16">
        <v>3000</v>
      </c>
      <c r="M63" s="16">
        <v>3000</v>
      </c>
      <c r="N63" s="16">
        <v>3000</v>
      </c>
      <c r="O63" s="16">
        <v>3000</v>
      </c>
      <c r="P63" s="16">
        <v>3000</v>
      </c>
      <c r="Q63" s="16">
        <v>3000</v>
      </c>
      <c r="R63" s="16">
        <v>3000</v>
      </c>
      <c r="S63" s="16">
        <v>3000</v>
      </c>
      <c r="T63" s="655">
        <f t="shared" si="5"/>
        <v>1</v>
      </c>
    </row>
    <row r="64" spans="1:35" ht="15.75" thickBot="1" x14ac:dyDescent="0.3">
      <c r="A64" s="77">
        <v>315</v>
      </c>
      <c r="B64" s="78" t="s">
        <v>319</v>
      </c>
      <c r="C64" s="79">
        <v>200</v>
      </c>
      <c r="D64" s="79">
        <v>200</v>
      </c>
      <c r="E64" s="79">
        <v>200</v>
      </c>
      <c r="F64" s="79">
        <v>200</v>
      </c>
      <c r="G64" s="79">
        <v>200</v>
      </c>
      <c r="H64" s="79">
        <v>200</v>
      </c>
      <c r="I64" s="79">
        <v>200</v>
      </c>
      <c r="J64" s="79">
        <v>200</v>
      </c>
      <c r="K64" s="79">
        <v>200</v>
      </c>
      <c r="L64" s="79">
        <v>200</v>
      </c>
      <c r="M64" s="79">
        <v>200</v>
      </c>
      <c r="N64" s="79">
        <v>200</v>
      </c>
      <c r="O64" s="79">
        <v>200</v>
      </c>
      <c r="P64" s="79">
        <v>200</v>
      </c>
      <c r="Q64" s="79">
        <v>200</v>
      </c>
      <c r="R64" s="79">
        <v>200</v>
      </c>
      <c r="S64" s="79">
        <v>200</v>
      </c>
      <c r="T64" s="655">
        <f t="shared" si="5"/>
        <v>1</v>
      </c>
      <c r="U64" s="464">
        <f t="shared" ref="U64:AG64" si="37">SUM(C63:C64)</f>
        <v>3200</v>
      </c>
      <c r="V64" s="464">
        <f t="shared" si="37"/>
        <v>3200</v>
      </c>
      <c r="W64" s="464">
        <f t="shared" si="37"/>
        <v>3200</v>
      </c>
      <c r="X64" s="464">
        <f t="shared" si="37"/>
        <v>3200</v>
      </c>
      <c r="Y64" s="464">
        <f t="shared" si="37"/>
        <v>3200</v>
      </c>
      <c r="Z64" s="464">
        <f t="shared" si="37"/>
        <v>3200</v>
      </c>
      <c r="AA64" s="464">
        <f t="shared" si="37"/>
        <v>3200</v>
      </c>
      <c r="AB64" s="464">
        <f t="shared" si="37"/>
        <v>3200</v>
      </c>
      <c r="AC64" s="464">
        <f t="shared" si="37"/>
        <v>3200</v>
      </c>
      <c r="AD64" s="464">
        <f t="shared" si="37"/>
        <v>3200</v>
      </c>
      <c r="AE64" s="464">
        <f t="shared" si="37"/>
        <v>3200</v>
      </c>
      <c r="AF64" s="464">
        <f t="shared" si="37"/>
        <v>3200</v>
      </c>
      <c r="AG64" s="464">
        <f t="shared" si="37"/>
        <v>3200</v>
      </c>
      <c r="AH64" s="464">
        <f t="shared" ref="AH64:AI64" si="38">SUM(P63:P64)</f>
        <v>3200</v>
      </c>
      <c r="AI64" s="464">
        <f t="shared" si="38"/>
        <v>3200</v>
      </c>
    </row>
    <row r="65" spans="1:36" ht="15.75" x14ac:dyDescent="0.25">
      <c r="A65" s="521">
        <v>312</v>
      </c>
      <c r="B65" s="522" t="s">
        <v>254</v>
      </c>
      <c r="C65" s="526">
        <v>0</v>
      </c>
      <c r="D65" s="526">
        <v>0</v>
      </c>
      <c r="E65" s="526">
        <v>0</v>
      </c>
      <c r="F65" s="526">
        <v>0</v>
      </c>
      <c r="G65" s="526">
        <v>0</v>
      </c>
      <c r="H65" s="526">
        <v>0</v>
      </c>
      <c r="I65" s="526">
        <v>0</v>
      </c>
      <c r="J65" s="526">
        <v>0</v>
      </c>
      <c r="K65" s="526">
        <v>0</v>
      </c>
      <c r="L65" s="526">
        <v>0</v>
      </c>
      <c r="M65" s="526">
        <v>0</v>
      </c>
      <c r="N65" s="526">
        <v>0</v>
      </c>
      <c r="O65" s="526">
        <v>0</v>
      </c>
      <c r="P65" s="526">
        <v>0</v>
      </c>
      <c r="Q65" s="526">
        <v>0</v>
      </c>
      <c r="R65" s="526">
        <v>0</v>
      </c>
      <c r="S65" s="526">
        <v>0</v>
      </c>
      <c r="T65" s="655">
        <v>0</v>
      </c>
    </row>
    <row r="66" spans="1:36" ht="16.5" thickBot="1" x14ac:dyDescent="0.3">
      <c r="A66" s="86">
        <v>312</v>
      </c>
      <c r="B66" s="87" t="s">
        <v>65</v>
      </c>
      <c r="C66" s="88">
        <v>534950</v>
      </c>
      <c r="D66" s="88">
        <v>534950</v>
      </c>
      <c r="E66" s="620">
        <f>534950+21819</f>
        <v>556769</v>
      </c>
      <c r="F66" s="620">
        <f>534950+21819+1400</f>
        <v>558169</v>
      </c>
      <c r="G66" s="695">
        <f>534950+21819+1400</f>
        <v>558169</v>
      </c>
      <c r="H66" s="620">
        <f>534950+21819+1400+600+138</f>
        <v>558907</v>
      </c>
      <c r="I66" s="695">
        <f>534950+21819+1400+600+138</f>
        <v>558907</v>
      </c>
      <c r="J66" s="620">
        <f>534950+21819+1400+600+138+337+2884</f>
        <v>562128</v>
      </c>
      <c r="K66" s="695">
        <f>534950+21819+1400+600+138+3221</f>
        <v>562128</v>
      </c>
      <c r="L66" s="620">
        <f>534950+21819+1400+600+138+3221+450-200</f>
        <v>562378</v>
      </c>
      <c r="M66" s="695">
        <f>534950+21819+1400+600+138+3221+250</f>
        <v>562378</v>
      </c>
      <c r="N66" s="620">
        <f>534950+21819+1400+600+138+3221+250+6054</f>
        <v>568432</v>
      </c>
      <c r="O66" s="695">
        <f>534950+21819+1400+600+138+3221+250+6054</f>
        <v>568432</v>
      </c>
      <c r="P66" s="695">
        <f>534950+21819+1400+600+138+3221+250+6054</f>
        <v>568432</v>
      </c>
      <c r="Q66" s="620">
        <f>534950+21819+1400+600+138+3221+250+6054+8938+12189</f>
        <v>589559</v>
      </c>
      <c r="R66" s="695">
        <f>534950+21819+1400+600+138+3221+250+6054+8938+12189</f>
        <v>589559</v>
      </c>
      <c r="S66" s="88">
        <v>425815</v>
      </c>
      <c r="T66" s="655">
        <f t="shared" si="5"/>
        <v>0.74910455428265821</v>
      </c>
      <c r="U66" s="464">
        <f t="shared" ref="U66:U74" si="39">D66-C66</f>
        <v>0</v>
      </c>
      <c r="V66" s="464">
        <f t="shared" ref="V66:V74" si="40">E66-D66</f>
        <v>21819</v>
      </c>
      <c r="W66" s="464">
        <f t="shared" ref="W66:W74" si="41">F66-E66</f>
        <v>1400</v>
      </c>
      <c r="X66" s="464">
        <f t="shared" ref="X66:X74" si="42">G66-F66</f>
        <v>0</v>
      </c>
      <c r="Y66" s="464">
        <f t="shared" ref="Y66:Y74" si="43">H66-G66</f>
        <v>738</v>
      </c>
      <c r="Z66" s="464">
        <f t="shared" ref="Z66:Z74" si="44">I66-H66</f>
        <v>0</v>
      </c>
      <c r="AA66" s="464">
        <f t="shared" ref="AA66:AA74" si="45">J66-I66</f>
        <v>3221</v>
      </c>
      <c r="AB66" s="464">
        <f t="shared" ref="AB66:AB74" si="46">K66-J66</f>
        <v>0</v>
      </c>
      <c r="AC66" s="464">
        <f t="shared" ref="AC66:AC74" si="47">L66-K66</f>
        <v>250</v>
      </c>
      <c r="AD66" s="464">
        <f t="shared" ref="AD66:AD74" si="48">M66-L66</f>
        <v>0</v>
      </c>
      <c r="AE66" s="464">
        <f t="shared" ref="AE66:AE74" si="49">N66-M66</f>
        <v>6054</v>
      </c>
      <c r="AF66" s="464">
        <f t="shared" ref="AF66:AF74" si="50">O66-N66</f>
        <v>0</v>
      </c>
      <c r="AG66" s="464">
        <f t="shared" ref="AG66:AG74" si="51">P66-O66</f>
        <v>0</v>
      </c>
      <c r="AH66" s="464">
        <f t="shared" ref="AH66:AI74" si="52">Q66-P66</f>
        <v>21127</v>
      </c>
      <c r="AI66" s="464">
        <f t="shared" si="52"/>
        <v>0</v>
      </c>
      <c r="AJ66" s="464"/>
    </row>
    <row r="67" spans="1:36" ht="16.5" thickBot="1" x14ac:dyDescent="0.3">
      <c r="A67" s="89" t="s">
        <v>66</v>
      </c>
      <c r="B67" s="364"/>
      <c r="C67" s="90">
        <f t="shared" ref="C67:S67" si="53">SUM(C3+C11+C32+C34+C41)</f>
        <v>2231928</v>
      </c>
      <c r="D67" s="90">
        <f t="shared" si="53"/>
        <v>2231928</v>
      </c>
      <c r="E67" s="90">
        <f t="shared" si="53"/>
        <v>2258158</v>
      </c>
      <c r="F67" s="90">
        <f t="shared" si="53"/>
        <v>2264558</v>
      </c>
      <c r="G67" s="90">
        <f t="shared" si="53"/>
        <v>2270558</v>
      </c>
      <c r="H67" s="90">
        <f t="shared" si="53"/>
        <v>2274496</v>
      </c>
      <c r="I67" s="90">
        <f t="shared" si="53"/>
        <v>2285396</v>
      </c>
      <c r="J67" s="90">
        <f t="shared" si="53"/>
        <v>2291617</v>
      </c>
      <c r="K67" s="90">
        <f t="shared" si="53"/>
        <v>2291960</v>
      </c>
      <c r="L67" s="90">
        <f t="shared" si="53"/>
        <v>2293410</v>
      </c>
      <c r="M67" s="90">
        <f t="shared" si="53"/>
        <v>2299610</v>
      </c>
      <c r="N67" s="90">
        <f t="shared" si="53"/>
        <v>2319266</v>
      </c>
      <c r="O67" s="90">
        <f t="shared" si="53"/>
        <v>2336003</v>
      </c>
      <c r="P67" s="90">
        <f t="shared" si="53"/>
        <v>2336003</v>
      </c>
      <c r="Q67" s="90">
        <f t="shared" ref="Q67:R67" si="54">SUM(Q3+Q11+Q32+Q34+Q41)</f>
        <v>2357130</v>
      </c>
      <c r="R67" s="90">
        <f t="shared" si="54"/>
        <v>2357130</v>
      </c>
      <c r="S67" s="90">
        <f t="shared" si="53"/>
        <v>1566939</v>
      </c>
      <c r="T67" s="655">
        <f t="shared" si="5"/>
        <v>0.67077782006273112</v>
      </c>
      <c r="U67" s="464">
        <f t="shared" si="39"/>
        <v>0</v>
      </c>
      <c r="V67" s="464">
        <f t="shared" si="40"/>
        <v>26230</v>
      </c>
      <c r="W67" s="464">
        <f t="shared" si="41"/>
        <v>6400</v>
      </c>
      <c r="X67" s="464">
        <f t="shared" si="42"/>
        <v>6000</v>
      </c>
      <c r="Y67" s="464">
        <f t="shared" si="43"/>
        <v>3938</v>
      </c>
      <c r="Z67" s="464">
        <f t="shared" si="44"/>
        <v>10900</v>
      </c>
      <c r="AA67" s="464">
        <f t="shared" si="45"/>
        <v>6221</v>
      </c>
      <c r="AB67" s="464">
        <f t="shared" si="46"/>
        <v>343</v>
      </c>
      <c r="AC67" s="464">
        <f t="shared" si="47"/>
        <v>1450</v>
      </c>
      <c r="AD67" s="464">
        <f t="shared" si="48"/>
        <v>6200</v>
      </c>
      <c r="AE67" s="464">
        <f t="shared" si="49"/>
        <v>19656</v>
      </c>
      <c r="AF67" s="464">
        <f t="shared" si="50"/>
        <v>16737</v>
      </c>
      <c r="AG67" s="464">
        <f t="shared" si="51"/>
        <v>0</v>
      </c>
      <c r="AH67" s="464">
        <f t="shared" si="52"/>
        <v>21127</v>
      </c>
      <c r="AI67" s="464">
        <f t="shared" si="52"/>
        <v>0</v>
      </c>
      <c r="AJ67" s="464"/>
    </row>
    <row r="68" spans="1:36" x14ac:dyDescent="0.25">
      <c r="A68" s="91" t="s">
        <v>67</v>
      </c>
      <c r="B68" s="92" t="s">
        <v>68</v>
      </c>
      <c r="C68" s="93">
        <v>2450</v>
      </c>
      <c r="D68" s="93">
        <v>2450</v>
      </c>
      <c r="E68" s="93">
        <v>2450</v>
      </c>
      <c r="F68" s="93">
        <v>2450</v>
      </c>
      <c r="G68" s="93">
        <v>2450</v>
      </c>
      <c r="H68" s="93">
        <v>2450</v>
      </c>
      <c r="I68" s="93">
        <v>2450</v>
      </c>
      <c r="J68" s="93">
        <v>2450</v>
      </c>
      <c r="K68" s="93">
        <v>2450</v>
      </c>
      <c r="L68" s="93">
        <v>2450</v>
      </c>
      <c r="M68" s="93">
        <v>2450</v>
      </c>
      <c r="N68" s="93">
        <v>2450</v>
      </c>
      <c r="O68" s="93">
        <v>2450</v>
      </c>
      <c r="P68" s="93">
        <v>2450</v>
      </c>
      <c r="Q68" s="623">
        <f>2450+2084</f>
        <v>4534</v>
      </c>
      <c r="R68" s="93">
        <f>2450+2084</f>
        <v>4534</v>
      </c>
      <c r="S68" s="93">
        <v>47</v>
      </c>
      <c r="T68" s="655">
        <f t="shared" ref="T68:T130" si="55">S68/P68</f>
        <v>1.9183673469387756E-2</v>
      </c>
      <c r="U68" s="464">
        <f t="shared" si="39"/>
        <v>0</v>
      </c>
      <c r="V68" s="464">
        <f t="shared" si="40"/>
        <v>0</v>
      </c>
      <c r="W68" s="464">
        <f t="shared" si="41"/>
        <v>0</v>
      </c>
      <c r="X68" s="464">
        <f t="shared" si="42"/>
        <v>0</v>
      </c>
      <c r="Y68" s="464">
        <f t="shared" si="43"/>
        <v>0</v>
      </c>
      <c r="Z68" s="464">
        <f t="shared" si="44"/>
        <v>0</v>
      </c>
      <c r="AA68" s="464">
        <f t="shared" si="45"/>
        <v>0</v>
      </c>
      <c r="AB68" s="464">
        <f t="shared" si="46"/>
        <v>0</v>
      </c>
      <c r="AC68" s="464">
        <f t="shared" si="47"/>
        <v>0</v>
      </c>
      <c r="AD68" s="464">
        <f t="shared" si="48"/>
        <v>0</v>
      </c>
      <c r="AE68" s="464">
        <f t="shared" si="49"/>
        <v>0</v>
      </c>
      <c r="AF68" s="464">
        <f t="shared" si="50"/>
        <v>0</v>
      </c>
      <c r="AG68" s="464">
        <f t="shared" si="51"/>
        <v>0</v>
      </c>
      <c r="AH68" s="464">
        <f t="shared" si="52"/>
        <v>2084</v>
      </c>
      <c r="AI68" s="464">
        <f t="shared" si="52"/>
        <v>0</v>
      </c>
      <c r="AJ68" s="464"/>
    </row>
    <row r="69" spans="1:36" ht="15.75" thickBot="1" x14ac:dyDescent="0.3">
      <c r="A69" s="94" t="s">
        <v>67</v>
      </c>
      <c r="B69" s="92" t="s">
        <v>69</v>
      </c>
      <c r="C69" s="95">
        <v>2000</v>
      </c>
      <c r="D69" s="95">
        <v>2000</v>
      </c>
      <c r="E69" s="95">
        <v>2000</v>
      </c>
      <c r="F69" s="95">
        <v>2000</v>
      </c>
      <c r="G69" s="95">
        <v>2000</v>
      </c>
      <c r="H69" s="95">
        <v>2000</v>
      </c>
      <c r="I69" s="95">
        <v>2000</v>
      </c>
      <c r="J69" s="95">
        <v>2000</v>
      </c>
      <c r="K69" s="95">
        <v>2000</v>
      </c>
      <c r="L69" s="95">
        <v>2000</v>
      </c>
      <c r="M69" s="95">
        <v>2000</v>
      </c>
      <c r="N69" s="95">
        <v>2000</v>
      </c>
      <c r="O69" s="95">
        <v>2000</v>
      </c>
      <c r="P69" s="95">
        <v>2000</v>
      </c>
      <c r="Q69" s="95">
        <v>2000</v>
      </c>
      <c r="R69" s="95">
        <v>2000</v>
      </c>
      <c r="S69" s="95">
        <v>924</v>
      </c>
      <c r="T69" s="655">
        <f t="shared" si="55"/>
        <v>0.46200000000000002</v>
      </c>
      <c r="U69" s="464">
        <f t="shared" si="39"/>
        <v>0</v>
      </c>
      <c r="V69" s="464">
        <f t="shared" si="40"/>
        <v>0</v>
      </c>
      <c r="W69" s="464">
        <f t="shared" si="41"/>
        <v>0</v>
      </c>
      <c r="X69" s="464">
        <f t="shared" si="42"/>
        <v>0</v>
      </c>
      <c r="Y69" s="464">
        <f t="shared" si="43"/>
        <v>0</v>
      </c>
      <c r="Z69" s="464">
        <f t="shared" si="44"/>
        <v>0</v>
      </c>
      <c r="AA69" s="464">
        <f t="shared" si="45"/>
        <v>0</v>
      </c>
      <c r="AB69" s="464">
        <f t="shared" si="46"/>
        <v>0</v>
      </c>
      <c r="AC69" s="464">
        <f t="shared" si="47"/>
        <v>0</v>
      </c>
      <c r="AD69" s="464">
        <f t="shared" si="48"/>
        <v>0</v>
      </c>
      <c r="AE69" s="464">
        <f t="shared" si="49"/>
        <v>0</v>
      </c>
      <c r="AF69" s="464">
        <f t="shared" si="50"/>
        <v>0</v>
      </c>
      <c r="AG69" s="464">
        <f t="shared" si="51"/>
        <v>0</v>
      </c>
      <c r="AH69" s="464">
        <f t="shared" si="52"/>
        <v>0</v>
      </c>
      <c r="AI69" s="464">
        <f t="shared" si="52"/>
        <v>0</v>
      </c>
      <c r="AJ69" s="464"/>
    </row>
    <row r="70" spans="1:36" ht="15.75" thickBot="1" x14ac:dyDescent="0.3">
      <c r="A70" s="813" t="s">
        <v>71</v>
      </c>
      <c r="B70" s="814"/>
      <c r="C70" s="99">
        <f t="shared" ref="C70:S70" si="56">SUM(C68:C69)</f>
        <v>4450</v>
      </c>
      <c r="D70" s="99">
        <f t="shared" si="56"/>
        <v>4450</v>
      </c>
      <c r="E70" s="99">
        <f t="shared" si="56"/>
        <v>4450</v>
      </c>
      <c r="F70" s="99">
        <f t="shared" si="56"/>
        <v>4450</v>
      </c>
      <c r="G70" s="99">
        <f t="shared" si="56"/>
        <v>4450</v>
      </c>
      <c r="H70" s="99">
        <f t="shared" si="56"/>
        <v>4450</v>
      </c>
      <c r="I70" s="99">
        <f t="shared" si="56"/>
        <v>4450</v>
      </c>
      <c r="J70" s="99">
        <f t="shared" ref="J70:P70" si="57">SUM(J68:J69)</f>
        <v>4450</v>
      </c>
      <c r="K70" s="99">
        <f t="shared" si="57"/>
        <v>4450</v>
      </c>
      <c r="L70" s="99">
        <f t="shared" si="57"/>
        <v>4450</v>
      </c>
      <c r="M70" s="99">
        <f t="shared" si="57"/>
        <v>4450</v>
      </c>
      <c r="N70" s="99">
        <f t="shared" si="57"/>
        <v>4450</v>
      </c>
      <c r="O70" s="99">
        <f t="shared" si="57"/>
        <v>4450</v>
      </c>
      <c r="P70" s="99">
        <f t="shared" si="57"/>
        <v>4450</v>
      </c>
      <c r="Q70" s="99">
        <f t="shared" ref="Q70:R70" si="58">SUM(Q68:Q69)</f>
        <v>6534</v>
      </c>
      <c r="R70" s="99">
        <f t="shared" si="58"/>
        <v>6534</v>
      </c>
      <c r="S70" s="99">
        <f t="shared" si="56"/>
        <v>971</v>
      </c>
      <c r="T70" s="655">
        <f t="shared" si="55"/>
        <v>0.21820224719101122</v>
      </c>
      <c r="U70" s="464">
        <f t="shared" si="39"/>
        <v>0</v>
      </c>
      <c r="V70" s="464">
        <f t="shared" si="40"/>
        <v>0</v>
      </c>
      <c r="W70" s="464">
        <f t="shared" si="41"/>
        <v>0</v>
      </c>
      <c r="X70" s="464">
        <f t="shared" si="42"/>
        <v>0</v>
      </c>
      <c r="Y70" s="464">
        <f t="shared" si="43"/>
        <v>0</v>
      </c>
      <c r="Z70" s="464">
        <f t="shared" si="44"/>
        <v>0</v>
      </c>
      <c r="AA70" s="464">
        <f t="shared" si="45"/>
        <v>0</v>
      </c>
      <c r="AB70" s="464">
        <f t="shared" si="46"/>
        <v>0</v>
      </c>
      <c r="AC70" s="464">
        <f t="shared" si="47"/>
        <v>0</v>
      </c>
      <c r="AD70" s="464">
        <f t="shared" si="48"/>
        <v>0</v>
      </c>
      <c r="AE70" s="464">
        <f t="shared" si="49"/>
        <v>0</v>
      </c>
      <c r="AF70" s="464">
        <f t="shared" si="50"/>
        <v>0</v>
      </c>
      <c r="AG70" s="464">
        <f t="shared" si="51"/>
        <v>0</v>
      </c>
      <c r="AH70" s="464">
        <f t="shared" si="52"/>
        <v>2084</v>
      </c>
      <c r="AI70" s="464">
        <f t="shared" si="52"/>
        <v>0</v>
      </c>
      <c r="AJ70" s="464"/>
    </row>
    <row r="71" spans="1:36" ht="15.75" thickBot="1" x14ac:dyDescent="0.3">
      <c r="A71" s="100" t="s">
        <v>67</v>
      </c>
      <c r="B71" s="101" t="s">
        <v>72</v>
      </c>
      <c r="C71" s="455">
        <v>11470</v>
      </c>
      <c r="D71" s="455">
        <v>11470</v>
      </c>
      <c r="E71" s="455">
        <v>11470</v>
      </c>
      <c r="F71" s="455">
        <v>11470</v>
      </c>
      <c r="G71" s="455">
        <v>11470</v>
      </c>
      <c r="H71" s="455">
        <v>11470</v>
      </c>
      <c r="I71" s="455">
        <v>11470</v>
      </c>
      <c r="J71" s="455">
        <v>11470</v>
      </c>
      <c r="K71" s="455">
        <v>11470</v>
      </c>
      <c r="L71" s="455">
        <v>11470</v>
      </c>
      <c r="M71" s="455">
        <v>11470</v>
      </c>
      <c r="N71" s="455">
        <v>11470</v>
      </c>
      <c r="O71" s="455">
        <v>11470</v>
      </c>
      <c r="P71" s="455">
        <v>11470</v>
      </c>
      <c r="Q71" s="455">
        <v>11470</v>
      </c>
      <c r="R71" s="455">
        <v>11470</v>
      </c>
      <c r="S71" s="455">
        <v>5520</v>
      </c>
      <c r="T71" s="655">
        <f t="shared" si="55"/>
        <v>0.48125544899738448</v>
      </c>
      <c r="U71" s="464">
        <f t="shared" si="39"/>
        <v>0</v>
      </c>
      <c r="V71" s="464">
        <f t="shared" si="40"/>
        <v>0</v>
      </c>
      <c r="W71" s="464">
        <f t="shared" si="41"/>
        <v>0</v>
      </c>
      <c r="X71" s="464">
        <f t="shared" si="42"/>
        <v>0</v>
      </c>
      <c r="Y71" s="464">
        <f t="shared" si="43"/>
        <v>0</v>
      </c>
      <c r="Z71" s="464">
        <f t="shared" si="44"/>
        <v>0</v>
      </c>
      <c r="AA71" s="464">
        <f t="shared" si="45"/>
        <v>0</v>
      </c>
      <c r="AB71" s="464">
        <f t="shared" si="46"/>
        <v>0</v>
      </c>
      <c r="AC71" s="464">
        <f t="shared" si="47"/>
        <v>0</v>
      </c>
      <c r="AD71" s="464">
        <f t="shared" si="48"/>
        <v>0</v>
      </c>
      <c r="AE71" s="464">
        <f t="shared" si="49"/>
        <v>0</v>
      </c>
      <c r="AF71" s="464">
        <f t="shared" si="50"/>
        <v>0</v>
      </c>
      <c r="AG71" s="464">
        <f t="shared" si="51"/>
        <v>0</v>
      </c>
      <c r="AH71" s="464">
        <f t="shared" si="52"/>
        <v>0</v>
      </c>
      <c r="AI71" s="464">
        <f t="shared" si="52"/>
        <v>0</v>
      </c>
      <c r="AJ71" s="464"/>
    </row>
    <row r="72" spans="1:36" ht="15.75" thickBot="1" x14ac:dyDescent="0.3">
      <c r="A72" s="813" t="s">
        <v>275</v>
      </c>
      <c r="B72" s="814"/>
      <c r="C72" s="451">
        <f t="shared" ref="C72:S72" si="59">SUM(C71:C71)</f>
        <v>11470</v>
      </c>
      <c r="D72" s="451">
        <f t="shared" si="59"/>
        <v>11470</v>
      </c>
      <c r="E72" s="451">
        <f t="shared" si="59"/>
        <v>11470</v>
      </c>
      <c r="F72" s="451">
        <f t="shared" si="59"/>
        <v>11470</v>
      </c>
      <c r="G72" s="451">
        <f t="shared" si="59"/>
        <v>11470</v>
      </c>
      <c r="H72" s="451">
        <f t="shared" si="59"/>
        <v>11470</v>
      </c>
      <c r="I72" s="451">
        <f t="shared" si="59"/>
        <v>11470</v>
      </c>
      <c r="J72" s="451">
        <f t="shared" si="59"/>
        <v>11470</v>
      </c>
      <c r="K72" s="451">
        <f t="shared" si="59"/>
        <v>11470</v>
      </c>
      <c r="L72" s="451">
        <f t="shared" si="59"/>
        <v>11470</v>
      </c>
      <c r="M72" s="451">
        <f t="shared" si="59"/>
        <v>11470</v>
      </c>
      <c r="N72" s="451">
        <f t="shared" si="59"/>
        <v>11470</v>
      </c>
      <c r="O72" s="451">
        <f t="shared" si="59"/>
        <v>11470</v>
      </c>
      <c r="P72" s="451">
        <f t="shared" si="59"/>
        <v>11470</v>
      </c>
      <c r="Q72" s="451">
        <f t="shared" ref="Q72:R72" si="60">SUM(Q71:Q71)</f>
        <v>11470</v>
      </c>
      <c r="R72" s="451">
        <f t="shared" si="60"/>
        <v>11470</v>
      </c>
      <c r="S72" s="451">
        <f t="shared" si="59"/>
        <v>5520</v>
      </c>
      <c r="T72" s="655">
        <f t="shared" si="55"/>
        <v>0.48125544899738448</v>
      </c>
      <c r="U72" s="464">
        <f t="shared" si="39"/>
        <v>0</v>
      </c>
      <c r="V72" s="464">
        <f t="shared" si="40"/>
        <v>0</v>
      </c>
      <c r="W72" s="464">
        <f t="shared" si="41"/>
        <v>0</v>
      </c>
      <c r="X72" s="464">
        <f t="shared" si="42"/>
        <v>0</v>
      </c>
      <c r="Y72" s="464">
        <f t="shared" si="43"/>
        <v>0</v>
      </c>
      <c r="Z72" s="464">
        <f t="shared" si="44"/>
        <v>0</v>
      </c>
      <c r="AA72" s="464">
        <f t="shared" si="45"/>
        <v>0</v>
      </c>
      <c r="AB72" s="464">
        <f t="shared" si="46"/>
        <v>0</v>
      </c>
      <c r="AC72" s="464">
        <f t="shared" si="47"/>
        <v>0</v>
      </c>
      <c r="AD72" s="464">
        <f t="shared" si="48"/>
        <v>0</v>
      </c>
      <c r="AE72" s="464">
        <f t="shared" si="49"/>
        <v>0</v>
      </c>
      <c r="AF72" s="464">
        <f t="shared" si="50"/>
        <v>0</v>
      </c>
      <c r="AG72" s="464">
        <f t="shared" si="51"/>
        <v>0</v>
      </c>
      <c r="AH72" s="464">
        <f t="shared" si="52"/>
        <v>0</v>
      </c>
      <c r="AI72" s="464">
        <f t="shared" si="52"/>
        <v>0</v>
      </c>
      <c r="AJ72" s="464"/>
    </row>
    <row r="73" spans="1:36" ht="16.5" thickBot="1" x14ac:dyDescent="0.3">
      <c r="A73" s="815" t="s">
        <v>73</v>
      </c>
      <c r="B73" s="816"/>
      <c r="C73" s="103">
        <f t="shared" ref="C73:S73" si="61">C70+C72</f>
        <v>15920</v>
      </c>
      <c r="D73" s="103">
        <f t="shared" si="61"/>
        <v>15920</v>
      </c>
      <c r="E73" s="103">
        <f t="shared" si="61"/>
        <v>15920</v>
      </c>
      <c r="F73" s="103">
        <f t="shared" si="61"/>
        <v>15920</v>
      </c>
      <c r="G73" s="103">
        <f t="shared" si="61"/>
        <v>15920</v>
      </c>
      <c r="H73" s="103">
        <f t="shared" si="61"/>
        <v>15920</v>
      </c>
      <c r="I73" s="103">
        <f t="shared" si="61"/>
        <v>15920</v>
      </c>
      <c r="J73" s="103">
        <f t="shared" si="61"/>
        <v>15920</v>
      </c>
      <c r="K73" s="103">
        <f t="shared" si="61"/>
        <v>15920</v>
      </c>
      <c r="L73" s="103">
        <f t="shared" si="61"/>
        <v>15920</v>
      </c>
      <c r="M73" s="103">
        <f t="shared" si="61"/>
        <v>15920</v>
      </c>
      <c r="N73" s="103">
        <f t="shared" si="61"/>
        <v>15920</v>
      </c>
      <c r="O73" s="103">
        <f t="shared" si="61"/>
        <v>15920</v>
      </c>
      <c r="P73" s="103">
        <f t="shared" si="61"/>
        <v>15920</v>
      </c>
      <c r="Q73" s="103">
        <f t="shared" ref="Q73:R73" si="62">Q70+Q72</f>
        <v>18004</v>
      </c>
      <c r="R73" s="103">
        <f t="shared" si="62"/>
        <v>18004</v>
      </c>
      <c r="S73" s="103">
        <f t="shared" si="61"/>
        <v>6491</v>
      </c>
      <c r="T73" s="655">
        <f t="shared" si="55"/>
        <v>0.40772613065326635</v>
      </c>
      <c r="U73" s="464">
        <f t="shared" si="39"/>
        <v>0</v>
      </c>
      <c r="V73" s="464">
        <f t="shared" si="40"/>
        <v>0</v>
      </c>
      <c r="W73" s="464">
        <f t="shared" si="41"/>
        <v>0</v>
      </c>
      <c r="X73" s="464">
        <f t="shared" si="42"/>
        <v>0</v>
      </c>
      <c r="Y73" s="464">
        <f t="shared" si="43"/>
        <v>0</v>
      </c>
      <c r="Z73" s="464">
        <f t="shared" si="44"/>
        <v>0</v>
      </c>
      <c r="AA73" s="464">
        <f t="shared" si="45"/>
        <v>0</v>
      </c>
      <c r="AB73" s="464">
        <f t="shared" si="46"/>
        <v>0</v>
      </c>
      <c r="AC73" s="464">
        <f t="shared" si="47"/>
        <v>0</v>
      </c>
      <c r="AD73" s="464">
        <f t="shared" si="48"/>
        <v>0</v>
      </c>
      <c r="AE73" s="464">
        <f t="shared" si="49"/>
        <v>0</v>
      </c>
      <c r="AF73" s="464">
        <f t="shared" si="50"/>
        <v>0</v>
      </c>
      <c r="AG73" s="464">
        <f t="shared" si="51"/>
        <v>0</v>
      </c>
      <c r="AH73" s="464">
        <f t="shared" si="52"/>
        <v>2084</v>
      </c>
      <c r="AI73" s="464">
        <f t="shared" si="52"/>
        <v>0</v>
      </c>
      <c r="AJ73" s="464"/>
    </row>
    <row r="74" spans="1:36" ht="16.5" thickBot="1" x14ac:dyDescent="0.3">
      <c r="A74" s="89" t="s">
        <v>74</v>
      </c>
      <c r="B74" s="66"/>
      <c r="C74" s="90">
        <f t="shared" ref="C74:S74" si="63">C67+C73</f>
        <v>2247848</v>
      </c>
      <c r="D74" s="90">
        <f t="shared" si="63"/>
        <v>2247848</v>
      </c>
      <c r="E74" s="90">
        <f t="shared" si="63"/>
        <v>2274078</v>
      </c>
      <c r="F74" s="90">
        <f t="shared" si="63"/>
        <v>2280478</v>
      </c>
      <c r="G74" s="90">
        <f t="shared" si="63"/>
        <v>2286478</v>
      </c>
      <c r="H74" s="90">
        <f t="shared" si="63"/>
        <v>2290416</v>
      </c>
      <c r="I74" s="90">
        <f t="shared" si="63"/>
        <v>2301316</v>
      </c>
      <c r="J74" s="90">
        <f t="shared" si="63"/>
        <v>2307537</v>
      </c>
      <c r="K74" s="90">
        <f t="shared" si="63"/>
        <v>2307880</v>
      </c>
      <c r="L74" s="90">
        <f t="shared" si="63"/>
        <v>2309330</v>
      </c>
      <c r="M74" s="90">
        <f t="shared" si="63"/>
        <v>2315530</v>
      </c>
      <c r="N74" s="90">
        <f t="shared" si="63"/>
        <v>2335186</v>
      </c>
      <c r="O74" s="90">
        <f t="shared" si="63"/>
        <v>2351923</v>
      </c>
      <c r="P74" s="90">
        <f t="shared" si="63"/>
        <v>2351923</v>
      </c>
      <c r="Q74" s="90">
        <f t="shared" ref="Q74:R74" si="64">Q67+Q73</f>
        <v>2375134</v>
      </c>
      <c r="R74" s="90">
        <f t="shared" si="64"/>
        <v>2375134</v>
      </c>
      <c r="S74" s="90">
        <f t="shared" si="63"/>
        <v>1573430</v>
      </c>
      <c r="T74" s="655">
        <f t="shared" si="55"/>
        <v>0.66899724183147158</v>
      </c>
      <c r="U74" s="464">
        <f t="shared" si="39"/>
        <v>0</v>
      </c>
      <c r="V74" s="464">
        <f t="shared" si="40"/>
        <v>26230</v>
      </c>
      <c r="W74" s="464">
        <f t="shared" si="41"/>
        <v>6400</v>
      </c>
      <c r="X74" s="464">
        <f t="shared" si="42"/>
        <v>6000</v>
      </c>
      <c r="Y74" s="464">
        <f t="shared" si="43"/>
        <v>3938</v>
      </c>
      <c r="Z74" s="464">
        <f t="shared" si="44"/>
        <v>10900</v>
      </c>
      <c r="AA74" s="464">
        <f t="shared" si="45"/>
        <v>6221</v>
      </c>
      <c r="AB74" s="464">
        <f t="shared" si="46"/>
        <v>343</v>
      </c>
      <c r="AC74" s="464">
        <f t="shared" si="47"/>
        <v>1450</v>
      </c>
      <c r="AD74" s="464">
        <f t="shared" si="48"/>
        <v>6200</v>
      </c>
      <c r="AE74" s="464">
        <f t="shared" si="49"/>
        <v>19656</v>
      </c>
      <c r="AF74" s="464">
        <f t="shared" si="50"/>
        <v>16737</v>
      </c>
      <c r="AG74" s="464">
        <f t="shared" si="51"/>
        <v>0</v>
      </c>
      <c r="AH74" s="464">
        <f t="shared" si="52"/>
        <v>23211</v>
      </c>
      <c r="AI74" s="464">
        <f t="shared" si="52"/>
        <v>0</v>
      </c>
      <c r="AJ74" s="464"/>
    </row>
    <row r="75" spans="1:36" x14ac:dyDescent="0.25">
      <c r="A75" s="1"/>
      <c r="B75" s="1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655"/>
    </row>
    <row r="76" spans="1:36" ht="15.75" x14ac:dyDescent="0.25">
      <c r="A76" s="105"/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655"/>
    </row>
    <row r="77" spans="1:36" ht="18.75" thickBot="1" x14ac:dyDescent="0.3">
      <c r="A77" s="817" t="s">
        <v>75</v>
      </c>
      <c r="B77" s="818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655"/>
    </row>
    <row r="78" spans="1:36" ht="41.25" customHeight="1" thickBot="1" x14ac:dyDescent="0.3">
      <c r="A78" s="819" t="s">
        <v>1</v>
      </c>
      <c r="B78" s="820"/>
      <c r="C78" s="416" t="s">
        <v>376</v>
      </c>
      <c r="D78" s="416" t="s">
        <v>509</v>
      </c>
      <c r="E78" s="416" t="s">
        <v>511</v>
      </c>
      <c r="F78" s="416" t="s">
        <v>512</v>
      </c>
      <c r="G78" s="416" t="s">
        <v>377</v>
      </c>
      <c r="H78" s="416" t="s">
        <v>541</v>
      </c>
      <c r="I78" s="416" t="s">
        <v>497</v>
      </c>
      <c r="J78" s="416" t="s">
        <v>556</v>
      </c>
      <c r="K78" s="416" t="s">
        <v>561</v>
      </c>
      <c r="L78" s="416" t="s">
        <v>605</v>
      </c>
      <c r="M78" s="416" t="s">
        <v>606</v>
      </c>
      <c r="N78" s="416" t="s">
        <v>678</v>
      </c>
      <c r="O78" s="416" t="s">
        <v>679</v>
      </c>
      <c r="P78" s="416" t="s">
        <v>704</v>
      </c>
      <c r="Q78" s="416" t="s">
        <v>727</v>
      </c>
      <c r="R78" s="416" t="s">
        <v>728</v>
      </c>
      <c r="S78" s="416" t="s">
        <v>717</v>
      </c>
      <c r="T78" s="655"/>
    </row>
    <row r="79" spans="1:36" ht="15.75" thickBot="1" x14ac:dyDescent="0.3">
      <c r="A79" s="108" t="s">
        <v>76</v>
      </c>
      <c r="B79" s="109"/>
      <c r="C79" s="112">
        <f t="shared" ref="C79:S79" si="65">SUM(C80:C84)</f>
        <v>290310</v>
      </c>
      <c r="D79" s="112">
        <f t="shared" si="65"/>
        <v>290310</v>
      </c>
      <c r="E79" s="112">
        <f t="shared" si="65"/>
        <v>290310</v>
      </c>
      <c r="F79" s="112">
        <f t="shared" si="65"/>
        <v>290310</v>
      </c>
      <c r="G79" s="112">
        <f t="shared" si="65"/>
        <v>290310</v>
      </c>
      <c r="H79" s="112">
        <f t="shared" si="65"/>
        <v>290310</v>
      </c>
      <c r="I79" s="112">
        <f t="shared" si="65"/>
        <v>290910</v>
      </c>
      <c r="J79" s="112">
        <f t="shared" si="65"/>
        <v>290910</v>
      </c>
      <c r="K79" s="112">
        <f t="shared" si="65"/>
        <v>290910</v>
      </c>
      <c r="L79" s="112">
        <f t="shared" si="65"/>
        <v>290910</v>
      </c>
      <c r="M79" s="112">
        <f t="shared" si="65"/>
        <v>291110</v>
      </c>
      <c r="N79" s="112">
        <f t="shared" si="65"/>
        <v>291110</v>
      </c>
      <c r="O79" s="112">
        <f t="shared" si="65"/>
        <v>297810</v>
      </c>
      <c r="P79" s="112">
        <f t="shared" si="65"/>
        <v>297810</v>
      </c>
      <c r="Q79" s="112">
        <f t="shared" ref="Q79:R79" si="66">SUM(Q80:Q84)</f>
        <v>297810</v>
      </c>
      <c r="R79" s="112">
        <f t="shared" si="66"/>
        <v>297810</v>
      </c>
      <c r="S79" s="112">
        <f t="shared" si="65"/>
        <v>139805</v>
      </c>
      <c r="T79" s="655">
        <f t="shared" si="55"/>
        <v>0.46944360498304288</v>
      </c>
    </row>
    <row r="80" spans="1:36" x14ac:dyDescent="0.25">
      <c r="A80" s="113" t="s">
        <v>77</v>
      </c>
      <c r="B80" s="85" t="s">
        <v>78</v>
      </c>
      <c r="C80" s="56">
        <f t="shared" ref="C80:H80" si="67">143650</f>
        <v>143650</v>
      </c>
      <c r="D80" s="56">
        <f t="shared" si="67"/>
        <v>143650</v>
      </c>
      <c r="E80" s="56">
        <f t="shared" si="67"/>
        <v>143650</v>
      </c>
      <c r="F80" s="56">
        <f t="shared" si="67"/>
        <v>143650</v>
      </c>
      <c r="G80" s="56">
        <f t="shared" si="67"/>
        <v>143650</v>
      </c>
      <c r="H80" s="56">
        <f t="shared" si="67"/>
        <v>143650</v>
      </c>
      <c r="I80" s="623">
        <f>143650+100</f>
        <v>143750</v>
      </c>
      <c r="J80" s="56">
        <f>143650+100</f>
        <v>143750</v>
      </c>
      <c r="K80" s="56">
        <f>143650+100</f>
        <v>143750</v>
      </c>
      <c r="L80" s="56">
        <f t="shared" ref="L80" si="68">143650+100</f>
        <v>143750</v>
      </c>
      <c r="M80" s="623">
        <f>143650+100-3500</f>
        <v>140250</v>
      </c>
      <c r="N80" s="56">
        <f t="shared" ref="N80" si="69">143650+100-3500</f>
        <v>140250</v>
      </c>
      <c r="O80" s="623">
        <f>143650+100-3500+6700</f>
        <v>146950</v>
      </c>
      <c r="P80" s="56">
        <f>143650+100-3500+6700</f>
        <v>146950</v>
      </c>
      <c r="Q80" s="56">
        <f t="shared" ref="Q80:R80" si="70">143650+100-3500+6700</f>
        <v>146950</v>
      </c>
      <c r="R80" s="56">
        <f t="shared" si="70"/>
        <v>146950</v>
      </c>
      <c r="S80" s="56">
        <v>57668</v>
      </c>
      <c r="T80" s="655">
        <f t="shared" si="55"/>
        <v>0.39243280027220145</v>
      </c>
    </row>
    <row r="81" spans="1:20" x14ac:dyDescent="0.25">
      <c r="A81" s="117" t="s">
        <v>79</v>
      </c>
      <c r="B81" s="118" t="s">
        <v>80</v>
      </c>
      <c r="C81" s="61">
        <v>83740</v>
      </c>
      <c r="D81" s="61">
        <v>83740</v>
      </c>
      <c r="E81" s="61">
        <v>83740</v>
      </c>
      <c r="F81" s="61">
        <v>83740</v>
      </c>
      <c r="G81" s="61">
        <v>83740</v>
      </c>
      <c r="H81" s="61">
        <v>83740</v>
      </c>
      <c r="I81" s="725">
        <f>83740+500</f>
        <v>84240</v>
      </c>
      <c r="J81" s="61">
        <f>83740+500</f>
        <v>84240</v>
      </c>
      <c r="K81" s="61">
        <f>83740+500</f>
        <v>84240</v>
      </c>
      <c r="L81" s="61">
        <f t="shared" ref="L81" si="71">83740+500</f>
        <v>84240</v>
      </c>
      <c r="M81" s="725">
        <f>83740+500+200+1200</f>
        <v>85640</v>
      </c>
      <c r="N81" s="61">
        <f t="shared" ref="N81:R81" si="72">83740+500+200+1200</f>
        <v>85640</v>
      </c>
      <c r="O81" s="61">
        <f t="shared" si="72"/>
        <v>85640</v>
      </c>
      <c r="P81" s="61">
        <f t="shared" si="72"/>
        <v>85640</v>
      </c>
      <c r="Q81" s="61">
        <f t="shared" si="72"/>
        <v>85640</v>
      </c>
      <c r="R81" s="61">
        <f t="shared" si="72"/>
        <v>85640</v>
      </c>
      <c r="S81" s="61">
        <v>50520</v>
      </c>
      <c r="T81" s="655">
        <f t="shared" si="55"/>
        <v>0.58991125642223263</v>
      </c>
    </row>
    <row r="82" spans="1:20" x14ac:dyDescent="0.25">
      <c r="A82" s="117" t="s">
        <v>81</v>
      </c>
      <c r="B82" s="118" t="s">
        <v>608</v>
      </c>
      <c r="C82" s="61">
        <f t="shared" ref="C82:R82" si="73">4000-1000</f>
        <v>3000</v>
      </c>
      <c r="D82" s="61">
        <f t="shared" si="73"/>
        <v>3000</v>
      </c>
      <c r="E82" s="61">
        <f t="shared" si="73"/>
        <v>3000</v>
      </c>
      <c r="F82" s="61">
        <f t="shared" si="73"/>
        <v>3000</v>
      </c>
      <c r="G82" s="61">
        <f t="shared" si="73"/>
        <v>3000</v>
      </c>
      <c r="H82" s="61">
        <f t="shared" si="73"/>
        <v>3000</v>
      </c>
      <c r="I82" s="61">
        <f t="shared" si="73"/>
        <v>3000</v>
      </c>
      <c r="J82" s="61">
        <f t="shared" si="73"/>
        <v>3000</v>
      </c>
      <c r="K82" s="61">
        <f t="shared" si="73"/>
        <v>3000</v>
      </c>
      <c r="L82" s="61">
        <f t="shared" si="73"/>
        <v>3000</v>
      </c>
      <c r="M82" s="61">
        <f t="shared" si="73"/>
        <v>3000</v>
      </c>
      <c r="N82" s="61">
        <f t="shared" si="73"/>
        <v>3000</v>
      </c>
      <c r="O82" s="61">
        <f t="shared" si="73"/>
        <v>3000</v>
      </c>
      <c r="P82" s="61">
        <f t="shared" si="73"/>
        <v>3000</v>
      </c>
      <c r="Q82" s="61">
        <f t="shared" si="73"/>
        <v>3000</v>
      </c>
      <c r="R82" s="61">
        <f t="shared" si="73"/>
        <v>3000</v>
      </c>
      <c r="S82" s="61">
        <v>1489</v>
      </c>
      <c r="T82" s="655">
        <f t="shared" si="55"/>
        <v>0.49633333333333335</v>
      </c>
    </row>
    <row r="83" spans="1:20" x14ac:dyDescent="0.25">
      <c r="A83" s="121" t="s">
        <v>83</v>
      </c>
      <c r="B83" s="118" t="s">
        <v>84</v>
      </c>
      <c r="C83" s="61">
        <v>55920</v>
      </c>
      <c r="D83" s="61">
        <v>55920</v>
      </c>
      <c r="E83" s="61">
        <v>55920</v>
      </c>
      <c r="F83" s="61">
        <v>55920</v>
      </c>
      <c r="G83" s="61">
        <v>55920</v>
      </c>
      <c r="H83" s="61">
        <v>55920</v>
      </c>
      <c r="I83" s="61">
        <v>55920</v>
      </c>
      <c r="J83" s="61">
        <v>55920</v>
      </c>
      <c r="K83" s="61">
        <v>55920</v>
      </c>
      <c r="L83" s="61">
        <v>55920</v>
      </c>
      <c r="M83" s="725">
        <f>55920+2300</f>
        <v>58220</v>
      </c>
      <c r="N83" s="61">
        <f t="shared" ref="N83:R83" si="74">55920+2300</f>
        <v>58220</v>
      </c>
      <c r="O83" s="61">
        <f t="shared" si="74"/>
        <v>58220</v>
      </c>
      <c r="P83" s="61">
        <f t="shared" si="74"/>
        <v>58220</v>
      </c>
      <c r="Q83" s="61">
        <f t="shared" si="74"/>
        <v>58220</v>
      </c>
      <c r="R83" s="61">
        <f t="shared" si="74"/>
        <v>58220</v>
      </c>
      <c r="S83" s="61">
        <v>30128</v>
      </c>
      <c r="T83" s="655">
        <f t="shared" si="55"/>
        <v>0.51748540020611478</v>
      </c>
    </row>
    <row r="84" spans="1:20" ht="15.75" thickBot="1" x14ac:dyDescent="0.3">
      <c r="A84" s="123" t="s">
        <v>85</v>
      </c>
      <c r="B84" s="124" t="s">
        <v>236</v>
      </c>
      <c r="C84" s="128">
        <v>4000</v>
      </c>
      <c r="D84" s="128">
        <v>4000</v>
      </c>
      <c r="E84" s="128">
        <v>4000</v>
      </c>
      <c r="F84" s="128">
        <v>4000</v>
      </c>
      <c r="G84" s="128">
        <v>4000</v>
      </c>
      <c r="H84" s="128">
        <v>4000</v>
      </c>
      <c r="I84" s="128">
        <v>4000</v>
      </c>
      <c r="J84" s="128">
        <v>4000</v>
      </c>
      <c r="K84" s="128">
        <v>4000</v>
      </c>
      <c r="L84" s="128">
        <v>4000</v>
      </c>
      <c r="M84" s="128">
        <v>4000</v>
      </c>
      <c r="N84" s="128">
        <v>4000</v>
      </c>
      <c r="O84" s="128">
        <v>4000</v>
      </c>
      <c r="P84" s="128">
        <v>4000</v>
      </c>
      <c r="Q84" s="128">
        <v>4000</v>
      </c>
      <c r="R84" s="128">
        <v>4000</v>
      </c>
      <c r="S84" s="128">
        <v>0</v>
      </c>
      <c r="T84" s="655">
        <f t="shared" si="55"/>
        <v>0</v>
      </c>
    </row>
    <row r="85" spans="1:20" ht="15.75" thickBot="1" x14ac:dyDescent="0.3">
      <c r="A85" s="129" t="s">
        <v>86</v>
      </c>
      <c r="B85" s="130"/>
      <c r="C85" s="112">
        <f t="shared" ref="C85:S85" si="75">SUM(C86)</f>
        <v>14610</v>
      </c>
      <c r="D85" s="112">
        <f t="shared" si="75"/>
        <v>14610</v>
      </c>
      <c r="E85" s="112">
        <f t="shared" si="75"/>
        <v>14615</v>
      </c>
      <c r="F85" s="112">
        <f t="shared" si="75"/>
        <v>14615</v>
      </c>
      <c r="G85" s="112">
        <f t="shared" si="75"/>
        <v>12615</v>
      </c>
      <c r="H85" s="112">
        <f t="shared" si="75"/>
        <v>12615</v>
      </c>
      <c r="I85" s="112">
        <f t="shared" si="75"/>
        <v>12615</v>
      </c>
      <c r="J85" s="112">
        <f t="shared" si="75"/>
        <v>12615</v>
      </c>
      <c r="K85" s="112">
        <f t="shared" si="75"/>
        <v>12615</v>
      </c>
      <c r="L85" s="112">
        <f t="shared" si="75"/>
        <v>12615</v>
      </c>
      <c r="M85" s="112">
        <f t="shared" si="75"/>
        <v>12615</v>
      </c>
      <c r="N85" s="112">
        <f t="shared" si="75"/>
        <v>12615</v>
      </c>
      <c r="O85" s="112">
        <f t="shared" si="75"/>
        <v>10095</v>
      </c>
      <c r="P85" s="112">
        <f t="shared" si="75"/>
        <v>10095</v>
      </c>
      <c r="Q85" s="112">
        <f t="shared" si="75"/>
        <v>10095</v>
      </c>
      <c r="R85" s="112">
        <f t="shared" si="75"/>
        <v>10095</v>
      </c>
      <c r="S85" s="112">
        <f t="shared" si="75"/>
        <v>6074</v>
      </c>
      <c r="T85" s="655">
        <f t="shared" si="55"/>
        <v>0.60168400198117877</v>
      </c>
    </row>
    <row r="86" spans="1:20" ht="15.75" thickBot="1" x14ac:dyDescent="0.3">
      <c r="A86" s="131" t="s">
        <v>87</v>
      </c>
      <c r="B86" s="106" t="s">
        <v>281</v>
      </c>
      <c r="C86" s="134">
        <v>14610</v>
      </c>
      <c r="D86" s="134">
        <v>14610</v>
      </c>
      <c r="E86" s="621">
        <f>14610+5</f>
        <v>14615</v>
      </c>
      <c r="F86" s="134">
        <f>14610+5</f>
        <v>14615</v>
      </c>
      <c r="G86" s="621">
        <f>14610+5-2000</f>
        <v>12615</v>
      </c>
      <c r="H86" s="134">
        <f>14610+5-2000</f>
        <v>12615</v>
      </c>
      <c r="I86" s="134">
        <f>14610+5-2000</f>
        <v>12615</v>
      </c>
      <c r="J86" s="134">
        <f>14610+5-2000</f>
        <v>12615</v>
      </c>
      <c r="K86" s="134">
        <f>14610+5-2000</f>
        <v>12615</v>
      </c>
      <c r="L86" s="134">
        <f t="shared" ref="L86:N86" si="76">14610+5-2000</f>
        <v>12615</v>
      </c>
      <c r="M86" s="134">
        <f t="shared" si="76"/>
        <v>12615</v>
      </c>
      <c r="N86" s="134">
        <f t="shared" si="76"/>
        <v>12615</v>
      </c>
      <c r="O86" s="621">
        <f>14610+5-2000-2520</f>
        <v>10095</v>
      </c>
      <c r="P86" s="134">
        <f>14610+5-2000-2520</f>
        <v>10095</v>
      </c>
      <c r="Q86" s="134">
        <f t="shared" ref="Q86:R86" si="77">14610+5-2000-2520</f>
        <v>10095</v>
      </c>
      <c r="R86" s="134">
        <f t="shared" si="77"/>
        <v>10095</v>
      </c>
      <c r="S86" s="134">
        <v>6074</v>
      </c>
      <c r="T86" s="655">
        <f t="shared" si="55"/>
        <v>0.60168400198117877</v>
      </c>
    </row>
    <row r="87" spans="1:20" ht="15.75" thickBot="1" x14ac:dyDescent="0.3">
      <c r="A87" s="129" t="s">
        <v>88</v>
      </c>
      <c r="B87" s="130"/>
      <c r="C87" s="112">
        <f t="shared" ref="C87:S87" si="78">SUM(C88:C89)</f>
        <v>16500</v>
      </c>
      <c r="D87" s="112">
        <f t="shared" si="78"/>
        <v>16500</v>
      </c>
      <c r="E87" s="112">
        <f t="shared" si="78"/>
        <v>16500</v>
      </c>
      <c r="F87" s="112">
        <f t="shared" si="78"/>
        <v>16500</v>
      </c>
      <c r="G87" s="112">
        <f t="shared" si="78"/>
        <v>17000</v>
      </c>
      <c r="H87" s="112">
        <f t="shared" si="78"/>
        <v>17000</v>
      </c>
      <c r="I87" s="112">
        <f t="shared" si="78"/>
        <v>17000</v>
      </c>
      <c r="J87" s="112">
        <f t="shared" ref="J87:P87" si="79">SUM(J88:J89)</f>
        <v>17000</v>
      </c>
      <c r="K87" s="112">
        <f t="shared" si="79"/>
        <v>17000</v>
      </c>
      <c r="L87" s="112">
        <f t="shared" si="79"/>
        <v>17000</v>
      </c>
      <c r="M87" s="112">
        <f t="shared" si="79"/>
        <v>17000</v>
      </c>
      <c r="N87" s="112">
        <f t="shared" si="79"/>
        <v>17000</v>
      </c>
      <c r="O87" s="112">
        <f t="shared" si="79"/>
        <v>17000</v>
      </c>
      <c r="P87" s="112">
        <f t="shared" si="79"/>
        <v>17000</v>
      </c>
      <c r="Q87" s="112">
        <f t="shared" ref="Q87:R87" si="80">SUM(Q88:Q89)</f>
        <v>17000</v>
      </c>
      <c r="R87" s="112">
        <f t="shared" si="80"/>
        <v>17000</v>
      </c>
      <c r="S87" s="112">
        <f t="shared" si="78"/>
        <v>8893</v>
      </c>
      <c r="T87" s="655">
        <f t="shared" si="55"/>
        <v>0.52311764705882358</v>
      </c>
    </row>
    <row r="88" spans="1:20" x14ac:dyDescent="0.25">
      <c r="A88" s="135" t="s">
        <v>89</v>
      </c>
      <c r="B88" s="136" t="s">
        <v>90</v>
      </c>
      <c r="C88" s="139">
        <v>14900</v>
      </c>
      <c r="D88" s="139">
        <v>14900</v>
      </c>
      <c r="E88" s="139">
        <f>14900</f>
        <v>14900</v>
      </c>
      <c r="F88" s="139">
        <f>14900</f>
        <v>14900</v>
      </c>
      <c r="G88" s="643">
        <f>14900+500</f>
        <v>15400</v>
      </c>
      <c r="H88" s="139">
        <f>14900+500</f>
        <v>15400</v>
      </c>
      <c r="I88" s="139">
        <f>14900+500</f>
        <v>15400</v>
      </c>
      <c r="J88" s="139">
        <f>14900+500</f>
        <v>15400</v>
      </c>
      <c r="K88" s="139">
        <f>14900+500</f>
        <v>15400</v>
      </c>
      <c r="L88" s="139">
        <f t="shared" ref="L88:R88" si="81">14900+500</f>
        <v>15400</v>
      </c>
      <c r="M88" s="139">
        <f t="shared" si="81"/>
        <v>15400</v>
      </c>
      <c r="N88" s="139">
        <f t="shared" si="81"/>
        <v>15400</v>
      </c>
      <c r="O88" s="139">
        <f t="shared" si="81"/>
        <v>15400</v>
      </c>
      <c r="P88" s="139">
        <f t="shared" si="81"/>
        <v>15400</v>
      </c>
      <c r="Q88" s="139">
        <f t="shared" si="81"/>
        <v>15400</v>
      </c>
      <c r="R88" s="139">
        <f t="shared" si="81"/>
        <v>15400</v>
      </c>
      <c r="S88" s="139">
        <v>8221</v>
      </c>
      <c r="T88" s="655">
        <f t="shared" si="55"/>
        <v>0.53383116883116888</v>
      </c>
    </row>
    <row r="89" spans="1:20" ht="15.75" thickBot="1" x14ac:dyDescent="0.3">
      <c r="A89" s="140" t="s">
        <v>91</v>
      </c>
      <c r="B89" s="141" t="s">
        <v>92</v>
      </c>
      <c r="C89" s="128">
        <v>1600</v>
      </c>
      <c r="D89" s="128">
        <v>1600</v>
      </c>
      <c r="E89" s="128">
        <v>1600</v>
      </c>
      <c r="F89" s="128">
        <v>1600</v>
      </c>
      <c r="G89" s="128">
        <v>1600</v>
      </c>
      <c r="H89" s="128">
        <v>1600</v>
      </c>
      <c r="I89" s="128">
        <v>1600</v>
      </c>
      <c r="J89" s="128">
        <v>1600</v>
      </c>
      <c r="K89" s="128">
        <v>1600</v>
      </c>
      <c r="L89" s="128">
        <v>1600</v>
      </c>
      <c r="M89" s="128">
        <v>1600</v>
      </c>
      <c r="N89" s="128">
        <v>1600</v>
      </c>
      <c r="O89" s="128">
        <v>1600</v>
      </c>
      <c r="P89" s="128">
        <v>1600</v>
      </c>
      <c r="Q89" s="128">
        <v>1600</v>
      </c>
      <c r="R89" s="128">
        <v>1600</v>
      </c>
      <c r="S89" s="128">
        <v>672</v>
      </c>
      <c r="T89" s="655">
        <f t="shared" si="55"/>
        <v>0.42</v>
      </c>
    </row>
    <row r="90" spans="1:20" ht="15.75" thickBot="1" x14ac:dyDescent="0.3">
      <c r="A90" s="108" t="s">
        <v>93</v>
      </c>
      <c r="B90" s="144"/>
      <c r="C90" s="112">
        <f t="shared" ref="C90:S90" si="82">SUM(C91:C93)</f>
        <v>71400</v>
      </c>
      <c r="D90" s="112">
        <f t="shared" si="82"/>
        <v>71400</v>
      </c>
      <c r="E90" s="112">
        <f t="shared" si="82"/>
        <v>71400</v>
      </c>
      <c r="F90" s="112">
        <f t="shared" si="82"/>
        <v>71400</v>
      </c>
      <c r="G90" s="112">
        <f t="shared" si="82"/>
        <v>71400</v>
      </c>
      <c r="H90" s="112">
        <f t="shared" si="82"/>
        <v>71400</v>
      </c>
      <c r="I90" s="112">
        <f t="shared" si="82"/>
        <v>71400</v>
      </c>
      <c r="J90" s="112">
        <f t="shared" si="82"/>
        <v>71400</v>
      </c>
      <c r="K90" s="112">
        <f t="shared" si="82"/>
        <v>71643</v>
      </c>
      <c r="L90" s="112">
        <f t="shared" si="82"/>
        <v>71643</v>
      </c>
      <c r="M90" s="112">
        <f t="shared" si="82"/>
        <v>71943</v>
      </c>
      <c r="N90" s="112">
        <f t="shared" si="82"/>
        <v>71943</v>
      </c>
      <c r="O90" s="112">
        <f t="shared" si="82"/>
        <v>71943</v>
      </c>
      <c r="P90" s="112">
        <f t="shared" si="82"/>
        <v>71943</v>
      </c>
      <c r="Q90" s="112">
        <f t="shared" ref="Q90:R90" si="83">SUM(Q91:Q93)</f>
        <v>71943</v>
      </c>
      <c r="R90" s="112">
        <f t="shared" si="83"/>
        <v>74043</v>
      </c>
      <c r="S90" s="112">
        <f t="shared" si="82"/>
        <v>39357</v>
      </c>
      <c r="T90" s="655">
        <f t="shared" si="55"/>
        <v>0.54705808765272512</v>
      </c>
    </row>
    <row r="91" spans="1:20" x14ac:dyDescent="0.25">
      <c r="A91" s="145" t="s">
        <v>94</v>
      </c>
      <c r="B91" s="146" t="s">
        <v>592</v>
      </c>
      <c r="C91" s="55">
        <v>25300</v>
      </c>
      <c r="D91" s="55">
        <v>25300</v>
      </c>
      <c r="E91" s="55">
        <v>25300</v>
      </c>
      <c r="F91" s="55">
        <v>25300</v>
      </c>
      <c r="G91" s="55">
        <v>25300</v>
      </c>
      <c r="H91" s="55">
        <v>25300</v>
      </c>
      <c r="I91" s="55">
        <v>25300</v>
      </c>
      <c r="J91" s="55">
        <v>25300</v>
      </c>
      <c r="K91" s="634">
        <f>25300+243</f>
        <v>25543</v>
      </c>
      <c r="L91" s="55">
        <f t="shared" ref="L91" si="84">25300+243</f>
        <v>25543</v>
      </c>
      <c r="M91" s="634">
        <f>25300+243+300</f>
        <v>25843</v>
      </c>
      <c r="N91" s="55">
        <f t="shared" ref="N91:R91" si="85">25300+243+300</f>
        <v>25843</v>
      </c>
      <c r="O91" s="55">
        <f t="shared" si="85"/>
        <v>25843</v>
      </c>
      <c r="P91" s="55">
        <f t="shared" si="85"/>
        <v>25843</v>
      </c>
      <c r="Q91" s="55">
        <f t="shared" si="85"/>
        <v>25843</v>
      </c>
      <c r="R91" s="55">
        <f t="shared" si="85"/>
        <v>25843</v>
      </c>
      <c r="S91" s="55">
        <v>14301</v>
      </c>
      <c r="T91" s="655">
        <f t="shared" si="55"/>
        <v>0.55338002553883059</v>
      </c>
    </row>
    <row r="92" spans="1:20" x14ac:dyDescent="0.25">
      <c r="A92" s="121" t="s">
        <v>96</v>
      </c>
      <c r="B92" s="118" t="s">
        <v>97</v>
      </c>
      <c r="C92" s="60">
        <v>24300</v>
      </c>
      <c r="D92" s="60">
        <v>24300</v>
      </c>
      <c r="E92" s="60">
        <v>24300</v>
      </c>
      <c r="F92" s="60">
        <v>24300</v>
      </c>
      <c r="G92" s="60">
        <v>24300</v>
      </c>
      <c r="H92" s="60">
        <v>24300</v>
      </c>
      <c r="I92" s="60">
        <v>24300</v>
      </c>
      <c r="J92" s="60">
        <v>24300</v>
      </c>
      <c r="K92" s="60">
        <v>24300</v>
      </c>
      <c r="L92" s="60">
        <v>24300</v>
      </c>
      <c r="M92" s="60">
        <f>24300</f>
        <v>24300</v>
      </c>
      <c r="N92" s="60">
        <f>24300</f>
        <v>24300</v>
      </c>
      <c r="O92" s="60">
        <f>24300</f>
        <v>24300</v>
      </c>
      <c r="P92" s="60">
        <f>24300</f>
        <v>24300</v>
      </c>
      <c r="Q92" s="60">
        <f>24300</f>
        <v>24300</v>
      </c>
      <c r="R92" s="622">
        <f>24300+4600</f>
        <v>28900</v>
      </c>
      <c r="S92" s="60">
        <v>13196</v>
      </c>
      <c r="T92" s="655">
        <f t="shared" si="55"/>
        <v>0.54304526748971194</v>
      </c>
    </row>
    <row r="93" spans="1:20" ht="15.75" thickBot="1" x14ac:dyDescent="0.3">
      <c r="A93" s="121" t="s">
        <v>98</v>
      </c>
      <c r="B93" s="118" t="s">
        <v>99</v>
      </c>
      <c r="C93" s="60">
        <v>21800</v>
      </c>
      <c r="D93" s="60">
        <v>21800</v>
      </c>
      <c r="E93" s="60">
        <v>21800</v>
      </c>
      <c r="F93" s="60">
        <v>21800</v>
      </c>
      <c r="G93" s="60">
        <v>21800</v>
      </c>
      <c r="H93" s="60">
        <v>21800</v>
      </c>
      <c r="I93" s="60">
        <v>21800</v>
      </c>
      <c r="J93" s="60">
        <v>21800</v>
      </c>
      <c r="K93" s="60">
        <v>21800</v>
      </c>
      <c r="L93" s="60">
        <v>21800</v>
      </c>
      <c r="M93" s="60">
        <v>21800</v>
      </c>
      <c r="N93" s="60">
        <v>21800</v>
      </c>
      <c r="O93" s="60">
        <v>21800</v>
      </c>
      <c r="P93" s="60">
        <v>21800</v>
      </c>
      <c r="Q93" s="60">
        <v>21800</v>
      </c>
      <c r="R93" s="622">
        <f>21800-2500</f>
        <v>19300</v>
      </c>
      <c r="S93" s="60">
        <v>11860</v>
      </c>
      <c r="T93" s="655">
        <f t="shared" si="55"/>
        <v>0.54403669724770642</v>
      </c>
    </row>
    <row r="94" spans="1:20" ht="15.75" thickBot="1" x14ac:dyDescent="0.3">
      <c r="A94" s="821" t="s">
        <v>100</v>
      </c>
      <c r="B94" s="822"/>
      <c r="C94" s="112">
        <f t="shared" ref="C94:S94" si="86">SUM(C95:C98)</f>
        <v>124900</v>
      </c>
      <c r="D94" s="112">
        <f t="shared" si="86"/>
        <v>124900</v>
      </c>
      <c r="E94" s="112">
        <f t="shared" si="86"/>
        <v>124900</v>
      </c>
      <c r="F94" s="112">
        <f t="shared" si="86"/>
        <v>124900</v>
      </c>
      <c r="G94" s="112">
        <f t="shared" si="86"/>
        <v>123900</v>
      </c>
      <c r="H94" s="112">
        <f t="shared" si="86"/>
        <v>123900</v>
      </c>
      <c r="I94" s="112">
        <f t="shared" si="86"/>
        <v>123900</v>
      </c>
      <c r="J94" s="112">
        <f t="shared" si="86"/>
        <v>123900</v>
      </c>
      <c r="K94" s="112">
        <f t="shared" si="86"/>
        <v>123900</v>
      </c>
      <c r="L94" s="112">
        <f t="shared" si="86"/>
        <v>123900</v>
      </c>
      <c r="M94" s="112">
        <f t="shared" si="86"/>
        <v>124100</v>
      </c>
      <c r="N94" s="112">
        <f t="shared" si="86"/>
        <v>124100</v>
      </c>
      <c r="O94" s="112">
        <f t="shared" si="86"/>
        <v>125000</v>
      </c>
      <c r="P94" s="112">
        <f t="shared" si="86"/>
        <v>125000</v>
      </c>
      <c r="Q94" s="112">
        <f t="shared" ref="Q94:R94" si="87">SUM(Q95:Q98)</f>
        <v>125000</v>
      </c>
      <c r="R94" s="112">
        <f t="shared" si="87"/>
        <v>125000</v>
      </c>
      <c r="S94" s="112">
        <f t="shared" si="86"/>
        <v>58870</v>
      </c>
      <c r="T94" s="655">
        <f t="shared" si="55"/>
        <v>0.47095999999999999</v>
      </c>
    </row>
    <row r="95" spans="1:20" x14ac:dyDescent="0.25">
      <c r="A95" s="153" t="s">
        <v>101</v>
      </c>
      <c r="B95" s="154" t="s">
        <v>102</v>
      </c>
      <c r="C95" s="139">
        <v>76800</v>
      </c>
      <c r="D95" s="139">
        <v>76800</v>
      </c>
      <c r="E95" s="139">
        <v>76800</v>
      </c>
      <c r="F95" s="139">
        <v>76800</v>
      </c>
      <c r="G95" s="139">
        <v>76800</v>
      </c>
      <c r="H95" s="139">
        <v>76800</v>
      </c>
      <c r="I95" s="139">
        <v>76800</v>
      </c>
      <c r="J95" s="139">
        <v>76800</v>
      </c>
      <c r="K95" s="139">
        <v>76800</v>
      </c>
      <c r="L95" s="139">
        <v>76800</v>
      </c>
      <c r="M95" s="643">
        <f>76800+200</f>
        <v>77000</v>
      </c>
      <c r="N95" s="139">
        <f t="shared" ref="N95:R95" si="88">76800+200</f>
        <v>77000</v>
      </c>
      <c r="O95" s="139">
        <f t="shared" si="88"/>
        <v>77000</v>
      </c>
      <c r="P95" s="139">
        <f t="shared" si="88"/>
        <v>77000</v>
      </c>
      <c r="Q95" s="139">
        <f t="shared" si="88"/>
        <v>77000</v>
      </c>
      <c r="R95" s="139">
        <f t="shared" si="88"/>
        <v>77000</v>
      </c>
      <c r="S95" s="139">
        <v>33294</v>
      </c>
      <c r="T95" s="655">
        <f t="shared" si="55"/>
        <v>0.43238961038961038</v>
      </c>
    </row>
    <row r="96" spans="1:20" x14ac:dyDescent="0.25">
      <c r="A96" s="121" t="s">
        <v>103</v>
      </c>
      <c r="B96" s="118" t="s">
        <v>104</v>
      </c>
      <c r="C96" s="152">
        <v>36500</v>
      </c>
      <c r="D96" s="152">
        <v>36500</v>
      </c>
      <c r="E96" s="152">
        <v>36500</v>
      </c>
      <c r="F96" s="152">
        <v>36500</v>
      </c>
      <c r="G96" s="644">
        <f>36500-1000</f>
        <v>35500</v>
      </c>
      <c r="H96" s="152">
        <f>36500-1000</f>
        <v>35500</v>
      </c>
      <c r="I96" s="152">
        <f>36500-1000</f>
        <v>35500</v>
      </c>
      <c r="J96" s="152">
        <f>36500-1000</f>
        <v>35500</v>
      </c>
      <c r="K96" s="152">
        <f>36500-1000</f>
        <v>35500</v>
      </c>
      <c r="L96" s="152">
        <f t="shared" ref="L96:N96" si="89">36500-1000</f>
        <v>35500</v>
      </c>
      <c r="M96" s="152">
        <f t="shared" si="89"/>
        <v>35500</v>
      </c>
      <c r="N96" s="152">
        <f t="shared" si="89"/>
        <v>35500</v>
      </c>
      <c r="O96" s="644">
        <f>36500-1000+900</f>
        <v>36400</v>
      </c>
      <c r="P96" s="152">
        <f>36500-1000+900</f>
        <v>36400</v>
      </c>
      <c r="Q96" s="152">
        <f t="shared" ref="Q96:R96" si="90">36500-1000+900</f>
        <v>36400</v>
      </c>
      <c r="R96" s="152">
        <f t="shared" si="90"/>
        <v>36400</v>
      </c>
      <c r="S96" s="152">
        <v>20713</v>
      </c>
      <c r="T96" s="655">
        <f t="shared" si="55"/>
        <v>0.56903846153846149</v>
      </c>
    </row>
    <row r="97" spans="1:20" x14ac:dyDescent="0.25">
      <c r="A97" s="131" t="s">
        <v>105</v>
      </c>
      <c r="B97" s="159" t="s">
        <v>106</v>
      </c>
      <c r="C97" s="163">
        <v>1500</v>
      </c>
      <c r="D97" s="163">
        <v>1500</v>
      </c>
      <c r="E97" s="163">
        <v>1500</v>
      </c>
      <c r="F97" s="163">
        <v>1500</v>
      </c>
      <c r="G97" s="163">
        <v>1500</v>
      </c>
      <c r="H97" s="163">
        <v>1500</v>
      </c>
      <c r="I97" s="163">
        <v>1500</v>
      </c>
      <c r="J97" s="163">
        <v>1500</v>
      </c>
      <c r="K97" s="163">
        <v>1500</v>
      </c>
      <c r="L97" s="163">
        <v>1500</v>
      </c>
      <c r="M97" s="163">
        <v>1500</v>
      </c>
      <c r="N97" s="163">
        <v>1500</v>
      </c>
      <c r="O97" s="163">
        <v>1500</v>
      </c>
      <c r="P97" s="163">
        <v>1500</v>
      </c>
      <c r="Q97" s="163">
        <v>1500</v>
      </c>
      <c r="R97" s="163">
        <v>1500</v>
      </c>
      <c r="S97" s="163">
        <v>1302</v>
      </c>
      <c r="T97" s="655">
        <f t="shared" si="55"/>
        <v>0.86799999999999999</v>
      </c>
    </row>
    <row r="98" spans="1:20" ht="15.75" thickBot="1" x14ac:dyDescent="0.3">
      <c r="A98" s="164" t="s">
        <v>107</v>
      </c>
      <c r="B98" s="165" t="s">
        <v>108</v>
      </c>
      <c r="C98" s="168">
        <v>10100</v>
      </c>
      <c r="D98" s="168">
        <v>10100</v>
      </c>
      <c r="E98" s="168">
        <v>10100</v>
      </c>
      <c r="F98" s="168">
        <v>10100</v>
      </c>
      <c r="G98" s="168">
        <v>10100</v>
      </c>
      <c r="H98" s="168">
        <v>10100</v>
      </c>
      <c r="I98" s="168">
        <v>10100</v>
      </c>
      <c r="J98" s="168">
        <v>10100</v>
      </c>
      <c r="K98" s="168">
        <v>10100</v>
      </c>
      <c r="L98" s="168">
        <v>10100</v>
      </c>
      <c r="M98" s="168">
        <v>10100</v>
      </c>
      <c r="N98" s="168">
        <v>10100</v>
      </c>
      <c r="O98" s="168">
        <v>10100</v>
      </c>
      <c r="P98" s="168">
        <v>10100</v>
      </c>
      <c r="Q98" s="168">
        <v>10100</v>
      </c>
      <c r="R98" s="168">
        <v>10100</v>
      </c>
      <c r="S98" s="168">
        <v>3561</v>
      </c>
      <c r="T98" s="655">
        <f t="shared" si="55"/>
        <v>0.35257425742574255</v>
      </c>
    </row>
    <row r="99" spans="1:20" ht="15.75" thickBot="1" x14ac:dyDescent="0.3">
      <c r="A99" s="108" t="s">
        <v>109</v>
      </c>
      <c r="B99" s="144"/>
      <c r="C99" s="110">
        <f t="shared" ref="C99:S99" si="91">SUM(C100:C102)</f>
        <v>204648</v>
      </c>
      <c r="D99" s="110">
        <f t="shared" si="91"/>
        <v>204648</v>
      </c>
      <c r="E99" s="110">
        <f t="shared" si="91"/>
        <v>204648</v>
      </c>
      <c r="F99" s="110">
        <f t="shared" si="91"/>
        <v>204648</v>
      </c>
      <c r="G99" s="110">
        <f t="shared" si="91"/>
        <v>200648</v>
      </c>
      <c r="H99" s="110">
        <f t="shared" si="91"/>
        <v>200648</v>
      </c>
      <c r="I99" s="110">
        <f t="shared" si="91"/>
        <v>201248</v>
      </c>
      <c r="J99" s="110">
        <f t="shared" si="91"/>
        <v>201248</v>
      </c>
      <c r="K99" s="110">
        <f t="shared" si="91"/>
        <v>193248</v>
      </c>
      <c r="L99" s="110">
        <f t="shared" si="91"/>
        <v>193248</v>
      </c>
      <c r="M99" s="110">
        <f t="shared" si="91"/>
        <v>194638</v>
      </c>
      <c r="N99" s="110">
        <f t="shared" si="91"/>
        <v>194638</v>
      </c>
      <c r="O99" s="110">
        <f t="shared" si="91"/>
        <v>194768</v>
      </c>
      <c r="P99" s="110">
        <f t="shared" si="91"/>
        <v>194768</v>
      </c>
      <c r="Q99" s="110">
        <f t="shared" ref="Q99:R99" si="92">SUM(Q100:Q102)</f>
        <v>194768</v>
      </c>
      <c r="R99" s="110">
        <f t="shared" si="92"/>
        <v>192668</v>
      </c>
      <c r="S99" s="110">
        <f t="shared" si="91"/>
        <v>85593</v>
      </c>
      <c r="T99" s="655">
        <f t="shared" si="55"/>
        <v>0.43946130781237164</v>
      </c>
    </row>
    <row r="100" spans="1:20" x14ac:dyDescent="0.25">
      <c r="A100" s="145" t="s">
        <v>110</v>
      </c>
      <c r="B100" s="85" t="s">
        <v>111</v>
      </c>
      <c r="C100" s="116">
        <v>156748</v>
      </c>
      <c r="D100" s="116">
        <v>156748</v>
      </c>
      <c r="E100" s="116">
        <v>156748</v>
      </c>
      <c r="F100" s="116">
        <v>156748</v>
      </c>
      <c r="G100" s="645">
        <f>156748+5500</f>
        <v>162248</v>
      </c>
      <c r="H100" s="116">
        <f>156748+5500</f>
        <v>162248</v>
      </c>
      <c r="I100" s="116">
        <f>156748+5500</f>
        <v>162248</v>
      </c>
      <c r="J100" s="116">
        <f>156748+5500</f>
        <v>162248</v>
      </c>
      <c r="K100" s="645">
        <f>156748+5500-8000</f>
        <v>154248</v>
      </c>
      <c r="L100" s="116">
        <f t="shared" ref="L100" si="93">156748+5500-8000</f>
        <v>154248</v>
      </c>
      <c r="M100" s="645">
        <f>156748+5500-8000+1390</f>
        <v>155638</v>
      </c>
      <c r="N100" s="116">
        <f t="shared" ref="N100" si="94">156748+5500-8000+1390</f>
        <v>155638</v>
      </c>
      <c r="O100" s="645">
        <f>156748+5500-8000+1390-3870</f>
        <v>151768</v>
      </c>
      <c r="P100" s="116">
        <f>156748+5500-8000+1390-3870</f>
        <v>151768</v>
      </c>
      <c r="Q100" s="116">
        <f t="shared" ref="Q100" si="95">156748+5500-8000+1390-3870</f>
        <v>151768</v>
      </c>
      <c r="R100" s="645">
        <f>156748+5500-8000+1390-3870-7400</f>
        <v>144368</v>
      </c>
      <c r="S100" s="116">
        <v>65976</v>
      </c>
      <c r="T100" s="655">
        <f t="shared" si="55"/>
        <v>0.43471614569606243</v>
      </c>
    </row>
    <row r="101" spans="1:20" x14ac:dyDescent="0.25">
      <c r="A101" s="170" t="s">
        <v>112</v>
      </c>
      <c r="B101" s="118" t="s">
        <v>113</v>
      </c>
      <c r="C101" s="152">
        <v>29700</v>
      </c>
      <c r="D101" s="152">
        <v>29700</v>
      </c>
      <c r="E101" s="152">
        <v>29700</v>
      </c>
      <c r="F101" s="152">
        <v>29700</v>
      </c>
      <c r="G101" s="644">
        <f>29700-8000</f>
        <v>21700</v>
      </c>
      <c r="H101" s="152">
        <f>29700-8000</f>
        <v>21700</v>
      </c>
      <c r="I101" s="152">
        <f>29700-8000</f>
        <v>21700</v>
      </c>
      <c r="J101" s="152">
        <f>29700-8000</f>
        <v>21700</v>
      </c>
      <c r="K101" s="152">
        <f>29700-8000</f>
        <v>21700</v>
      </c>
      <c r="L101" s="152">
        <f t="shared" ref="L101:R101" si="96">29700-8000</f>
        <v>21700</v>
      </c>
      <c r="M101" s="152">
        <f t="shared" si="96"/>
        <v>21700</v>
      </c>
      <c r="N101" s="152">
        <f t="shared" si="96"/>
        <v>21700</v>
      </c>
      <c r="O101" s="152">
        <f t="shared" si="96"/>
        <v>21700</v>
      </c>
      <c r="P101" s="152">
        <f t="shared" si="96"/>
        <v>21700</v>
      </c>
      <c r="Q101" s="152">
        <f t="shared" si="96"/>
        <v>21700</v>
      </c>
      <c r="R101" s="152">
        <f t="shared" si="96"/>
        <v>21700</v>
      </c>
      <c r="S101" s="152">
        <v>11615</v>
      </c>
      <c r="T101" s="655">
        <f t="shared" si="55"/>
        <v>0.53525345622119813</v>
      </c>
    </row>
    <row r="102" spans="1:20" ht="15.75" thickBot="1" x14ac:dyDescent="0.3">
      <c r="A102" s="171" t="s">
        <v>114</v>
      </c>
      <c r="B102" s="165" t="s">
        <v>115</v>
      </c>
      <c r="C102" s="174">
        <v>18200</v>
      </c>
      <c r="D102" s="174">
        <v>18200</v>
      </c>
      <c r="E102" s="174">
        <v>18200</v>
      </c>
      <c r="F102" s="174">
        <v>18200</v>
      </c>
      <c r="G102" s="646">
        <f>18200+1500-3000</f>
        <v>16700</v>
      </c>
      <c r="H102" s="174">
        <f>18200+1500-3000</f>
        <v>16700</v>
      </c>
      <c r="I102" s="646">
        <f>18200+1500-3000+600</f>
        <v>17300</v>
      </c>
      <c r="J102" s="174">
        <f>18200+1500-3000+600</f>
        <v>17300</v>
      </c>
      <c r="K102" s="174">
        <f>18200+1500-3000+600</f>
        <v>17300</v>
      </c>
      <c r="L102" s="174">
        <f t="shared" ref="L102:N102" si="97">18200+1500-3000+600</f>
        <v>17300</v>
      </c>
      <c r="M102" s="174">
        <f t="shared" si="97"/>
        <v>17300</v>
      </c>
      <c r="N102" s="174">
        <f t="shared" si="97"/>
        <v>17300</v>
      </c>
      <c r="O102" s="646">
        <f>18200+1500-3000+600+4000</f>
        <v>21300</v>
      </c>
      <c r="P102" s="174">
        <f>18200+1500-3000+600+4000</f>
        <v>21300</v>
      </c>
      <c r="Q102" s="174">
        <f t="shared" ref="Q102" si="98">18200+1500-3000+600+4000</f>
        <v>21300</v>
      </c>
      <c r="R102" s="646">
        <f>18200+1500-3000+600+4000+4500+800</f>
        <v>26600</v>
      </c>
      <c r="S102" s="174">
        <v>8002</v>
      </c>
      <c r="T102" s="655">
        <f t="shared" si="55"/>
        <v>0.37568075117370892</v>
      </c>
    </row>
    <row r="103" spans="1:20" ht="15.75" thickBot="1" x14ac:dyDescent="0.3">
      <c r="A103" s="175" t="s">
        <v>116</v>
      </c>
      <c r="B103" s="176"/>
      <c r="C103" s="177">
        <f t="shared" ref="C103:S103" si="99">SUM(C104:C107)</f>
        <v>4850</v>
      </c>
      <c r="D103" s="177">
        <f t="shared" si="99"/>
        <v>4850</v>
      </c>
      <c r="E103" s="177">
        <f t="shared" si="99"/>
        <v>4850</v>
      </c>
      <c r="F103" s="177">
        <f t="shared" si="99"/>
        <v>4850</v>
      </c>
      <c r="G103" s="177">
        <f t="shared" si="99"/>
        <v>3850</v>
      </c>
      <c r="H103" s="177">
        <f t="shared" si="99"/>
        <v>3850</v>
      </c>
      <c r="I103" s="177">
        <f t="shared" si="99"/>
        <v>3850</v>
      </c>
      <c r="J103" s="177">
        <f t="shared" ref="J103:P103" si="100">SUM(J104:J107)</f>
        <v>3850</v>
      </c>
      <c r="K103" s="177">
        <f t="shared" si="100"/>
        <v>3850</v>
      </c>
      <c r="L103" s="177">
        <f t="shared" si="100"/>
        <v>3850</v>
      </c>
      <c r="M103" s="177">
        <f t="shared" si="100"/>
        <v>3850</v>
      </c>
      <c r="N103" s="177">
        <f t="shared" si="100"/>
        <v>3850</v>
      </c>
      <c r="O103" s="177">
        <f t="shared" si="100"/>
        <v>3850</v>
      </c>
      <c r="P103" s="177">
        <f t="shared" si="100"/>
        <v>3850</v>
      </c>
      <c r="Q103" s="177">
        <f t="shared" ref="Q103:R103" si="101">SUM(Q104:Q107)</f>
        <v>3850</v>
      </c>
      <c r="R103" s="177">
        <f t="shared" si="101"/>
        <v>3850</v>
      </c>
      <c r="S103" s="177">
        <f t="shared" si="99"/>
        <v>1007</v>
      </c>
      <c r="T103" s="655">
        <f t="shared" si="55"/>
        <v>0.26155844155844155</v>
      </c>
    </row>
    <row r="104" spans="1:20" x14ac:dyDescent="0.25">
      <c r="A104" s="135" t="s">
        <v>117</v>
      </c>
      <c r="B104" s="154" t="s">
        <v>118</v>
      </c>
      <c r="C104" s="181">
        <v>50</v>
      </c>
      <c r="D104" s="181">
        <v>50</v>
      </c>
      <c r="E104" s="181">
        <v>50</v>
      </c>
      <c r="F104" s="181">
        <v>50</v>
      </c>
      <c r="G104" s="181">
        <v>50</v>
      </c>
      <c r="H104" s="181">
        <v>50</v>
      </c>
      <c r="I104" s="181">
        <v>50</v>
      </c>
      <c r="J104" s="181">
        <v>50</v>
      </c>
      <c r="K104" s="181">
        <v>50</v>
      </c>
      <c r="L104" s="181">
        <v>50</v>
      </c>
      <c r="M104" s="181">
        <v>50</v>
      </c>
      <c r="N104" s="181">
        <v>50</v>
      </c>
      <c r="O104" s="181">
        <v>50</v>
      </c>
      <c r="P104" s="181">
        <v>50</v>
      </c>
      <c r="Q104" s="181">
        <v>50</v>
      </c>
      <c r="R104" s="181">
        <v>50</v>
      </c>
      <c r="S104" s="181">
        <v>50</v>
      </c>
      <c r="T104" s="655">
        <f t="shared" si="55"/>
        <v>1</v>
      </c>
    </row>
    <row r="105" spans="1:20" x14ac:dyDescent="0.25">
      <c r="A105" s="170" t="s">
        <v>119</v>
      </c>
      <c r="B105" s="118" t="s">
        <v>120</v>
      </c>
      <c r="C105" s="184">
        <v>50</v>
      </c>
      <c r="D105" s="184">
        <v>50</v>
      </c>
      <c r="E105" s="184">
        <v>50</v>
      </c>
      <c r="F105" s="184">
        <v>50</v>
      </c>
      <c r="G105" s="184">
        <v>50</v>
      </c>
      <c r="H105" s="184">
        <v>50</v>
      </c>
      <c r="I105" s="184">
        <v>50</v>
      </c>
      <c r="J105" s="184">
        <v>50</v>
      </c>
      <c r="K105" s="184">
        <v>50</v>
      </c>
      <c r="L105" s="184">
        <v>50</v>
      </c>
      <c r="M105" s="184">
        <v>50</v>
      </c>
      <c r="N105" s="184">
        <v>50</v>
      </c>
      <c r="O105" s="184">
        <v>50</v>
      </c>
      <c r="P105" s="184">
        <v>50</v>
      </c>
      <c r="Q105" s="184">
        <v>50</v>
      </c>
      <c r="R105" s="184">
        <v>50</v>
      </c>
      <c r="S105" s="184">
        <v>30</v>
      </c>
      <c r="T105" s="655">
        <f t="shared" si="55"/>
        <v>0.6</v>
      </c>
    </row>
    <row r="106" spans="1:20" x14ac:dyDescent="0.25">
      <c r="A106" s="170" t="s">
        <v>121</v>
      </c>
      <c r="B106" s="118" t="s">
        <v>122</v>
      </c>
      <c r="C106" s="60">
        <v>750</v>
      </c>
      <c r="D106" s="60">
        <v>750</v>
      </c>
      <c r="E106" s="60">
        <v>750</v>
      </c>
      <c r="F106" s="60">
        <v>750</v>
      </c>
      <c r="G106" s="60">
        <v>750</v>
      </c>
      <c r="H106" s="60">
        <v>750</v>
      </c>
      <c r="I106" s="60">
        <v>750</v>
      </c>
      <c r="J106" s="60">
        <v>750</v>
      </c>
      <c r="K106" s="60">
        <v>750</v>
      </c>
      <c r="L106" s="60">
        <v>750</v>
      </c>
      <c r="M106" s="60">
        <v>750</v>
      </c>
      <c r="N106" s="60">
        <v>750</v>
      </c>
      <c r="O106" s="60">
        <v>750</v>
      </c>
      <c r="P106" s="60">
        <v>750</v>
      </c>
      <c r="Q106" s="60">
        <v>750</v>
      </c>
      <c r="R106" s="60">
        <v>750</v>
      </c>
      <c r="S106" s="60">
        <v>160</v>
      </c>
      <c r="T106" s="655">
        <f t="shared" si="55"/>
        <v>0.21333333333333335</v>
      </c>
    </row>
    <row r="107" spans="1:20" ht="15.75" thickBot="1" x14ac:dyDescent="0.3">
      <c r="A107" s="187" t="s">
        <v>123</v>
      </c>
      <c r="B107" s="188" t="s">
        <v>260</v>
      </c>
      <c r="C107" s="191">
        <v>4000</v>
      </c>
      <c r="D107" s="191">
        <v>4000</v>
      </c>
      <c r="E107" s="191">
        <v>4000</v>
      </c>
      <c r="F107" s="191">
        <v>4000</v>
      </c>
      <c r="G107" s="698">
        <f>4000-1000</f>
        <v>3000</v>
      </c>
      <c r="H107" s="128">
        <f>4000-1000</f>
        <v>3000</v>
      </c>
      <c r="I107" s="128">
        <f>4000-1000</f>
        <v>3000</v>
      </c>
      <c r="J107" s="128">
        <f>4000-1000</f>
        <v>3000</v>
      </c>
      <c r="K107" s="128">
        <f>4000-1000</f>
        <v>3000</v>
      </c>
      <c r="L107" s="128">
        <f t="shared" ref="L107:R107" si="102">4000-1000</f>
        <v>3000</v>
      </c>
      <c r="M107" s="128">
        <f t="shared" si="102"/>
        <v>3000</v>
      </c>
      <c r="N107" s="128">
        <f t="shared" si="102"/>
        <v>3000</v>
      </c>
      <c r="O107" s="128">
        <f t="shared" si="102"/>
        <v>3000</v>
      </c>
      <c r="P107" s="128">
        <f t="shared" si="102"/>
        <v>3000</v>
      </c>
      <c r="Q107" s="128">
        <f t="shared" si="102"/>
        <v>3000</v>
      </c>
      <c r="R107" s="128">
        <f t="shared" si="102"/>
        <v>3000</v>
      </c>
      <c r="S107" s="191">
        <v>767</v>
      </c>
      <c r="T107" s="655">
        <f t="shared" si="55"/>
        <v>0.25566666666666665</v>
      </c>
    </row>
    <row r="108" spans="1:20" ht="15.75" thickBot="1" x14ac:dyDescent="0.3">
      <c r="A108" s="192" t="s">
        <v>124</v>
      </c>
      <c r="B108" s="193"/>
      <c r="C108" s="194">
        <f t="shared" ref="C108:S108" si="103">SUM(C109:C113)</f>
        <v>109550</v>
      </c>
      <c r="D108" s="194">
        <f t="shared" si="103"/>
        <v>109550</v>
      </c>
      <c r="E108" s="194">
        <f t="shared" si="103"/>
        <v>111550</v>
      </c>
      <c r="F108" s="194">
        <f t="shared" si="103"/>
        <v>116550</v>
      </c>
      <c r="G108" s="194">
        <f t="shared" si="103"/>
        <v>119250</v>
      </c>
      <c r="H108" s="194">
        <f t="shared" si="103"/>
        <v>122450</v>
      </c>
      <c r="I108" s="194">
        <f t="shared" si="103"/>
        <v>128050</v>
      </c>
      <c r="J108" s="194">
        <f t="shared" si="103"/>
        <v>131050</v>
      </c>
      <c r="K108" s="194">
        <f t="shared" si="103"/>
        <v>139150</v>
      </c>
      <c r="L108" s="194">
        <f t="shared" si="103"/>
        <v>140350</v>
      </c>
      <c r="M108" s="194">
        <f t="shared" si="103"/>
        <v>140650</v>
      </c>
      <c r="N108" s="194">
        <f t="shared" si="103"/>
        <v>140650</v>
      </c>
      <c r="O108" s="194">
        <f t="shared" si="103"/>
        <v>126707</v>
      </c>
      <c r="P108" s="194">
        <f t="shared" si="103"/>
        <v>126707</v>
      </c>
      <c r="Q108" s="194">
        <f t="shared" ref="Q108:R108" si="104">SUM(Q109:Q113)</f>
        <v>126707</v>
      </c>
      <c r="R108" s="194">
        <f t="shared" si="104"/>
        <v>126707</v>
      </c>
      <c r="S108" s="194">
        <f t="shared" si="103"/>
        <v>80835</v>
      </c>
      <c r="T108" s="655">
        <f t="shared" si="55"/>
        <v>0.6379679102180621</v>
      </c>
    </row>
    <row r="109" spans="1:20" x14ac:dyDescent="0.25">
      <c r="A109" s="153" t="s">
        <v>125</v>
      </c>
      <c r="B109" s="154" t="s">
        <v>126</v>
      </c>
      <c r="C109" s="139">
        <v>24000</v>
      </c>
      <c r="D109" s="139">
        <v>24000</v>
      </c>
      <c r="E109" s="139">
        <v>24000</v>
      </c>
      <c r="F109" s="139">
        <v>24000</v>
      </c>
      <c r="G109" s="643">
        <f>24000+1500</f>
        <v>25500</v>
      </c>
      <c r="H109" s="139">
        <f>24000+1500</f>
        <v>25500</v>
      </c>
      <c r="I109" s="139">
        <f>24000+1500</f>
        <v>25500</v>
      </c>
      <c r="J109" s="139">
        <f>24000+1500</f>
        <v>25500</v>
      </c>
      <c r="K109" s="139">
        <f>24000+1500</f>
        <v>25500</v>
      </c>
      <c r="L109" s="139">
        <f t="shared" ref="L109:R109" si="105">24000+1500</f>
        <v>25500</v>
      </c>
      <c r="M109" s="139">
        <f t="shared" si="105"/>
        <v>25500</v>
      </c>
      <c r="N109" s="139">
        <f t="shared" si="105"/>
        <v>25500</v>
      </c>
      <c r="O109" s="139">
        <f t="shared" si="105"/>
        <v>25500</v>
      </c>
      <c r="P109" s="139">
        <f t="shared" si="105"/>
        <v>25500</v>
      </c>
      <c r="Q109" s="139">
        <f t="shared" si="105"/>
        <v>25500</v>
      </c>
      <c r="R109" s="139">
        <f t="shared" si="105"/>
        <v>25500</v>
      </c>
      <c r="S109" s="139">
        <v>23247</v>
      </c>
      <c r="T109" s="655">
        <f t="shared" si="55"/>
        <v>0.91164705882352937</v>
      </c>
    </row>
    <row r="110" spans="1:20" x14ac:dyDescent="0.25">
      <c r="A110" s="196" t="s">
        <v>127</v>
      </c>
      <c r="B110" s="197" t="s">
        <v>607</v>
      </c>
      <c r="C110" s="55">
        <v>53650</v>
      </c>
      <c r="D110" s="55">
        <v>53650</v>
      </c>
      <c r="E110" s="634">
        <f>53650+2000</f>
        <v>55650</v>
      </c>
      <c r="F110" s="634">
        <f>53650+2000+5000</f>
        <v>60650</v>
      </c>
      <c r="G110" s="634">
        <f>53650+2000+5000+2000-2000+100</f>
        <v>60750</v>
      </c>
      <c r="H110" s="634">
        <f>53650+2000+5000+2000-2000+100+3200</f>
        <v>63950</v>
      </c>
      <c r="I110" s="634">
        <f>53650+2000+5000+2000-2000+100+3200+5000</f>
        <v>68950</v>
      </c>
      <c r="J110" s="634">
        <f>53650+2000+5000+2000-2000+100+3200+5000+3000</f>
        <v>71950</v>
      </c>
      <c r="K110" s="634">
        <f>53650+2000+5000+2000-2000+100+3200+5000+3000+8000</f>
        <v>79950</v>
      </c>
      <c r="L110" s="634">
        <f>53650+2000+5000+2000-2000+100+3200+5000+3000+8000+1200</f>
        <v>81150</v>
      </c>
      <c r="M110" s="634">
        <f>53650+2000+5000+2000-2000+100+3200+5000+3000+8000+1200+300</f>
        <v>81450</v>
      </c>
      <c r="N110" s="55">
        <f t="shared" ref="N110" si="106">53650+2000+5000+2000-2000+100+3200+5000+3000+8000+1200+300</f>
        <v>81450</v>
      </c>
      <c r="O110" s="634">
        <f>53650+2000+5000+2000-2000+100+3200+5000+3000+8000+1200+300-13943</f>
        <v>67507</v>
      </c>
      <c r="P110" s="55">
        <f>53650+2000+5000+2000-2000+100+3200+5000+3000+8000+1200+300-13943</f>
        <v>67507</v>
      </c>
      <c r="Q110" s="634">
        <f>53650+2000+5000+2000-2000+100+3200+5000+3000+8000+1200+300-13943-500+500</f>
        <v>67507</v>
      </c>
      <c r="R110" s="55">
        <f>53650+2000+5000+2000-2000+100+3200+5000+3000+8000+1200+300-13943-500+500</f>
        <v>67507</v>
      </c>
      <c r="S110" s="55">
        <v>46834</v>
      </c>
      <c r="T110" s="655">
        <f t="shared" si="55"/>
        <v>0.69376509102759709</v>
      </c>
    </row>
    <row r="111" spans="1:20" x14ac:dyDescent="0.25">
      <c r="A111" s="196" t="s">
        <v>129</v>
      </c>
      <c r="B111" s="85" t="s">
        <v>130</v>
      </c>
      <c r="C111" s="55">
        <v>5100</v>
      </c>
      <c r="D111" s="55">
        <v>5100</v>
      </c>
      <c r="E111" s="55">
        <v>5100</v>
      </c>
      <c r="F111" s="55">
        <v>5100</v>
      </c>
      <c r="G111" s="55">
        <v>5100</v>
      </c>
      <c r="H111" s="55">
        <v>5100</v>
      </c>
      <c r="I111" s="634">
        <f>5100+600</f>
        <v>5700</v>
      </c>
      <c r="J111" s="55">
        <f>5100+600</f>
        <v>5700</v>
      </c>
      <c r="K111" s="55">
        <f>5100+600</f>
        <v>5700</v>
      </c>
      <c r="L111" s="55">
        <f t="shared" ref="L111:R111" si="107">5100+600</f>
        <v>5700</v>
      </c>
      <c r="M111" s="55">
        <f t="shared" si="107"/>
        <v>5700</v>
      </c>
      <c r="N111" s="55">
        <f t="shared" si="107"/>
        <v>5700</v>
      </c>
      <c r="O111" s="55">
        <f t="shared" si="107"/>
        <v>5700</v>
      </c>
      <c r="P111" s="55">
        <f t="shared" si="107"/>
        <v>5700</v>
      </c>
      <c r="Q111" s="55">
        <f t="shared" si="107"/>
        <v>5700</v>
      </c>
      <c r="R111" s="55">
        <f t="shared" si="107"/>
        <v>5700</v>
      </c>
      <c r="S111" s="55">
        <v>4104</v>
      </c>
      <c r="T111" s="655">
        <f t="shared" si="55"/>
        <v>0.72</v>
      </c>
    </row>
    <row r="112" spans="1:20" x14ac:dyDescent="0.25">
      <c r="A112" s="196" t="s">
        <v>131</v>
      </c>
      <c r="B112" s="85" t="s">
        <v>132</v>
      </c>
      <c r="C112" s="55">
        <v>15600</v>
      </c>
      <c r="D112" s="55">
        <v>15600</v>
      </c>
      <c r="E112" s="55">
        <v>15600</v>
      </c>
      <c r="F112" s="55">
        <v>15600</v>
      </c>
      <c r="G112" s="634">
        <f>15600+1100</f>
        <v>16700</v>
      </c>
      <c r="H112" s="55">
        <f>15600+1100</f>
        <v>16700</v>
      </c>
      <c r="I112" s="55">
        <f>15600+1100</f>
        <v>16700</v>
      </c>
      <c r="J112" s="55">
        <f>15600+1100</f>
        <v>16700</v>
      </c>
      <c r="K112" s="55">
        <f>15600+1100</f>
        <v>16700</v>
      </c>
      <c r="L112" s="55">
        <f t="shared" ref="L112:R112" si="108">15600+1100</f>
        <v>16700</v>
      </c>
      <c r="M112" s="55">
        <f t="shared" si="108"/>
        <v>16700</v>
      </c>
      <c r="N112" s="55">
        <f t="shared" si="108"/>
        <v>16700</v>
      </c>
      <c r="O112" s="55">
        <f t="shared" si="108"/>
        <v>16700</v>
      </c>
      <c r="P112" s="55">
        <f t="shared" si="108"/>
        <v>16700</v>
      </c>
      <c r="Q112" s="55">
        <f t="shared" si="108"/>
        <v>16700</v>
      </c>
      <c r="R112" s="55">
        <f t="shared" si="108"/>
        <v>16700</v>
      </c>
      <c r="S112" s="55">
        <v>4904</v>
      </c>
      <c r="T112" s="655">
        <f t="shared" si="55"/>
        <v>0.29365269461077842</v>
      </c>
    </row>
    <row r="113" spans="1:35" ht="15.75" thickBot="1" x14ac:dyDescent="0.3">
      <c r="A113" s="164" t="s">
        <v>133</v>
      </c>
      <c r="B113" s="165" t="s">
        <v>134</v>
      </c>
      <c r="C113" s="186">
        <v>11200</v>
      </c>
      <c r="D113" s="186">
        <v>11200</v>
      </c>
      <c r="E113" s="186">
        <v>11200</v>
      </c>
      <c r="F113" s="186">
        <v>11200</v>
      </c>
      <c r="G113" s="186">
        <v>11200</v>
      </c>
      <c r="H113" s="186">
        <v>11200</v>
      </c>
      <c r="I113" s="186">
        <v>11200</v>
      </c>
      <c r="J113" s="186">
        <v>11200</v>
      </c>
      <c r="K113" s="736">
        <f>11200+100</f>
        <v>11300</v>
      </c>
      <c r="L113" s="186">
        <f t="shared" ref="L113:R113" si="109">11200+100</f>
        <v>11300</v>
      </c>
      <c r="M113" s="186">
        <f t="shared" si="109"/>
        <v>11300</v>
      </c>
      <c r="N113" s="186">
        <f t="shared" si="109"/>
        <v>11300</v>
      </c>
      <c r="O113" s="186">
        <f t="shared" si="109"/>
        <v>11300</v>
      </c>
      <c r="P113" s="186">
        <f t="shared" si="109"/>
        <v>11300</v>
      </c>
      <c r="Q113" s="186">
        <f t="shared" si="109"/>
        <v>11300</v>
      </c>
      <c r="R113" s="186">
        <f t="shared" si="109"/>
        <v>11300</v>
      </c>
      <c r="S113" s="186">
        <v>1746</v>
      </c>
      <c r="T113" s="655">
        <f t="shared" si="55"/>
        <v>0.15451327433628317</v>
      </c>
    </row>
    <row r="114" spans="1:35" ht="15.75" thickBot="1" x14ac:dyDescent="0.3">
      <c r="A114" s="129" t="s">
        <v>135</v>
      </c>
      <c r="B114" s="130"/>
      <c r="C114" s="110">
        <f t="shared" ref="C114:S114" si="110">SUM(C115:C121)</f>
        <v>380850</v>
      </c>
      <c r="D114" s="110">
        <f t="shared" si="110"/>
        <v>380850</v>
      </c>
      <c r="E114" s="110">
        <f t="shared" si="110"/>
        <v>383256</v>
      </c>
      <c r="F114" s="110">
        <f t="shared" si="110"/>
        <v>385991</v>
      </c>
      <c r="G114" s="110">
        <f t="shared" si="110"/>
        <v>385991</v>
      </c>
      <c r="H114" s="110">
        <f t="shared" si="110"/>
        <v>385991</v>
      </c>
      <c r="I114" s="110">
        <f t="shared" si="110"/>
        <v>386991</v>
      </c>
      <c r="J114" s="110">
        <f t="shared" si="110"/>
        <v>386991</v>
      </c>
      <c r="K114" s="110">
        <f t="shared" si="110"/>
        <v>386991</v>
      </c>
      <c r="L114" s="110">
        <f t="shared" si="110"/>
        <v>386991</v>
      </c>
      <c r="M114" s="110">
        <f t="shared" si="110"/>
        <v>387101</v>
      </c>
      <c r="N114" s="110">
        <f t="shared" si="110"/>
        <v>388903</v>
      </c>
      <c r="O114" s="110">
        <f t="shared" si="110"/>
        <v>394903</v>
      </c>
      <c r="P114" s="110">
        <f t="shared" si="110"/>
        <v>394903</v>
      </c>
      <c r="Q114" s="110">
        <f t="shared" ref="Q114:R114" si="111">SUM(Q115:Q121)</f>
        <v>394903</v>
      </c>
      <c r="R114" s="110">
        <f t="shared" si="111"/>
        <v>394903</v>
      </c>
      <c r="S114" s="110">
        <f t="shared" si="110"/>
        <v>214397</v>
      </c>
      <c r="T114" s="655">
        <f t="shared" si="55"/>
        <v>0.54291053752440477</v>
      </c>
    </row>
    <row r="115" spans="1:35" x14ac:dyDescent="0.25">
      <c r="A115" s="200" t="s">
        <v>136</v>
      </c>
      <c r="B115" s="201" t="s">
        <v>137</v>
      </c>
      <c r="C115" s="205">
        <f>163900</f>
        <v>163900</v>
      </c>
      <c r="D115" s="205">
        <f>163900</f>
        <v>163900</v>
      </c>
      <c r="E115" s="652">
        <f t="shared" ref="E115:L115" si="112">163900+2406</f>
        <v>166306</v>
      </c>
      <c r="F115" s="205">
        <f t="shared" si="112"/>
        <v>166306</v>
      </c>
      <c r="G115" s="205">
        <f t="shared" si="112"/>
        <v>166306</v>
      </c>
      <c r="H115" s="205">
        <f t="shared" si="112"/>
        <v>166306</v>
      </c>
      <c r="I115" s="205">
        <f t="shared" si="112"/>
        <v>166306</v>
      </c>
      <c r="J115" s="205">
        <f t="shared" si="112"/>
        <v>166306</v>
      </c>
      <c r="K115" s="205">
        <f t="shared" si="112"/>
        <v>166306</v>
      </c>
      <c r="L115" s="205">
        <f t="shared" si="112"/>
        <v>166306</v>
      </c>
      <c r="M115" s="205">
        <f>163900+2406</f>
        <v>166306</v>
      </c>
      <c r="N115" s="652">
        <f>163900+2406+1802</f>
        <v>168108</v>
      </c>
      <c r="O115" s="652">
        <f>163900+2406+1802+3500</f>
        <v>171608</v>
      </c>
      <c r="P115" s="205">
        <f>163900+2406+1802+3500</f>
        <v>171608</v>
      </c>
      <c r="Q115" s="205">
        <f t="shared" ref="Q115:R115" si="113">163900+2406+1802+3500</f>
        <v>171608</v>
      </c>
      <c r="R115" s="205">
        <f t="shared" si="113"/>
        <v>171608</v>
      </c>
      <c r="S115" s="205">
        <v>94968</v>
      </c>
      <c r="T115" s="655">
        <f t="shared" si="55"/>
        <v>0.55340077385669662</v>
      </c>
    </row>
    <row r="116" spans="1:35" x14ac:dyDescent="0.25">
      <c r="A116" s="209" t="s">
        <v>142</v>
      </c>
      <c r="B116" s="210" t="s">
        <v>143</v>
      </c>
      <c r="C116" s="61">
        <v>3600</v>
      </c>
      <c r="D116" s="61">
        <v>3600</v>
      </c>
      <c r="E116" s="61">
        <v>3600</v>
      </c>
      <c r="F116" s="61">
        <v>3600</v>
      </c>
      <c r="G116" s="61">
        <v>3600</v>
      </c>
      <c r="H116" s="61">
        <v>3600</v>
      </c>
      <c r="I116" s="725">
        <f>3600+1000</f>
        <v>4600</v>
      </c>
      <c r="J116" s="61">
        <f>3600+1000</f>
        <v>4600</v>
      </c>
      <c r="K116" s="61">
        <f>3600+1000</f>
        <v>4600</v>
      </c>
      <c r="L116" s="61">
        <f t="shared" ref="L116:R116" si="114">3600+1000</f>
        <v>4600</v>
      </c>
      <c r="M116" s="61">
        <f t="shared" si="114"/>
        <v>4600</v>
      </c>
      <c r="N116" s="61">
        <f t="shared" si="114"/>
        <v>4600</v>
      </c>
      <c r="O116" s="61">
        <f t="shared" si="114"/>
        <v>4600</v>
      </c>
      <c r="P116" s="61">
        <f t="shared" si="114"/>
        <v>4600</v>
      </c>
      <c r="Q116" s="61">
        <f t="shared" si="114"/>
        <v>4600</v>
      </c>
      <c r="R116" s="61">
        <f t="shared" si="114"/>
        <v>4600</v>
      </c>
      <c r="S116" s="61">
        <v>1994</v>
      </c>
      <c r="T116" s="655">
        <f t="shared" si="55"/>
        <v>0.4334782608695652</v>
      </c>
    </row>
    <row r="117" spans="1:35" x14ac:dyDescent="0.25">
      <c r="A117" s="209" t="s">
        <v>144</v>
      </c>
      <c r="B117" s="210" t="s">
        <v>145</v>
      </c>
      <c r="C117" s="61">
        <v>32330</v>
      </c>
      <c r="D117" s="61">
        <v>32330</v>
      </c>
      <c r="E117" s="61">
        <v>32330</v>
      </c>
      <c r="F117" s="61">
        <v>32330</v>
      </c>
      <c r="G117" s="61">
        <v>32330</v>
      </c>
      <c r="H117" s="61">
        <v>32330</v>
      </c>
      <c r="I117" s="61">
        <v>32330</v>
      </c>
      <c r="J117" s="61">
        <v>32330</v>
      </c>
      <c r="K117" s="61">
        <v>32330</v>
      </c>
      <c r="L117" s="61">
        <v>32330</v>
      </c>
      <c r="M117" s="61">
        <v>32330</v>
      </c>
      <c r="N117" s="61">
        <v>32330</v>
      </c>
      <c r="O117" s="61">
        <v>32330</v>
      </c>
      <c r="P117" s="61">
        <v>32330</v>
      </c>
      <c r="Q117" s="61">
        <v>32330</v>
      </c>
      <c r="R117" s="61">
        <v>32330</v>
      </c>
      <c r="S117" s="61">
        <v>12945</v>
      </c>
      <c r="T117" s="655">
        <f t="shared" si="55"/>
        <v>0.40040210330961956</v>
      </c>
    </row>
    <row r="118" spans="1:35" x14ac:dyDescent="0.25">
      <c r="A118" s="209" t="s">
        <v>146</v>
      </c>
      <c r="B118" s="210" t="s">
        <v>147</v>
      </c>
      <c r="C118" s="60">
        <v>31830</v>
      </c>
      <c r="D118" s="60">
        <v>31830</v>
      </c>
      <c r="E118" s="60">
        <v>31830</v>
      </c>
      <c r="F118" s="60">
        <v>31830</v>
      </c>
      <c r="G118" s="60">
        <v>31830</v>
      </c>
      <c r="H118" s="60">
        <v>31830</v>
      </c>
      <c r="I118" s="60">
        <v>31830</v>
      </c>
      <c r="J118" s="60">
        <v>31830</v>
      </c>
      <c r="K118" s="60">
        <v>31830</v>
      </c>
      <c r="L118" s="60">
        <v>31830</v>
      </c>
      <c r="M118" s="60">
        <v>31830</v>
      </c>
      <c r="N118" s="60">
        <v>31830</v>
      </c>
      <c r="O118" s="60">
        <v>31830</v>
      </c>
      <c r="P118" s="60">
        <v>31830</v>
      </c>
      <c r="Q118" s="60">
        <v>31830</v>
      </c>
      <c r="R118" s="60">
        <v>31830</v>
      </c>
      <c r="S118" s="60">
        <v>15320</v>
      </c>
      <c r="T118" s="655">
        <f t="shared" si="55"/>
        <v>0.48130694313540684</v>
      </c>
    </row>
    <row r="119" spans="1:35" x14ac:dyDescent="0.25">
      <c r="A119" s="209" t="s">
        <v>148</v>
      </c>
      <c r="B119" s="210" t="s">
        <v>233</v>
      </c>
      <c r="C119" s="60">
        <v>131840</v>
      </c>
      <c r="D119" s="60">
        <v>131840</v>
      </c>
      <c r="E119" s="60">
        <f>131840</f>
        <v>131840</v>
      </c>
      <c r="F119" s="60">
        <f t="shared" ref="F119:L119" si="115">131840+2735</f>
        <v>134575</v>
      </c>
      <c r="G119" s="60">
        <f t="shared" si="115"/>
        <v>134575</v>
      </c>
      <c r="H119" s="60">
        <f t="shared" si="115"/>
        <v>134575</v>
      </c>
      <c r="I119" s="60">
        <f t="shared" si="115"/>
        <v>134575</v>
      </c>
      <c r="J119" s="60">
        <f t="shared" si="115"/>
        <v>134575</v>
      </c>
      <c r="K119" s="60">
        <f t="shared" si="115"/>
        <v>134575</v>
      </c>
      <c r="L119" s="60">
        <f t="shared" si="115"/>
        <v>134575</v>
      </c>
      <c r="M119" s="60">
        <f>131840+2735</f>
        <v>134575</v>
      </c>
      <c r="N119" s="60">
        <f t="shared" ref="N119" si="116">131840+2735</f>
        <v>134575</v>
      </c>
      <c r="O119" s="622">
        <f>131840+2735+2500</f>
        <v>137075</v>
      </c>
      <c r="P119" s="60">
        <f>131840+2735+2500</f>
        <v>137075</v>
      </c>
      <c r="Q119" s="60">
        <f t="shared" ref="Q119:R119" si="117">131840+2735+2500</f>
        <v>137075</v>
      </c>
      <c r="R119" s="60">
        <f t="shared" si="117"/>
        <v>137075</v>
      </c>
      <c r="S119" s="60">
        <v>76389</v>
      </c>
      <c r="T119" s="655">
        <f t="shared" si="55"/>
        <v>0.55727886193689591</v>
      </c>
    </row>
    <row r="120" spans="1:35" x14ac:dyDescent="0.25">
      <c r="A120" s="211" t="s">
        <v>149</v>
      </c>
      <c r="B120" s="210" t="s">
        <v>234</v>
      </c>
      <c r="C120" s="215">
        <v>11300</v>
      </c>
      <c r="D120" s="215">
        <v>11300</v>
      </c>
      <c r="E120" s="215">
        <v>11300</v>
      </c>
      <c r="F120" s="215">
        <v>11300</v>
      </c>
      <c r="G120" s="215">
        <v>11300</v>
      </c>
      <c r="H120" s="215">
        <v>11300</v>
      </c>
      <c r="I120" s="215">
        <v>11300</v>
      </c>
      <c r="J120" s="215">
        <v>11300</v>
      </c>
      <c r="K120" s="215">
        <v>11300</v>
      </c>
      <c r="L120" s="215">
        <v>11300</v>
      </c>
      <c r="M120" s="745">
        <f>11300+110</f>
        <v>11410</v>
      </c>
      <c r="N120" s="215">
        <f t="shared" ref="N120:R120" si="118">11300+110</f>
        <v>11410</v>
      </c>
      <c r="O120" s="215">
        <f t="shared" si="118"/>
        <v>11410</v>
      </c>
      <c r="P120" s="215">
        <f t="shared" si="118"/>
        <v>11410</v>
      </c>
      <c r="Q120" s="215">
        <f t="shared" si="118"/>
        <v>11410</v>
      </c>
      <c r="R120" s="215">
        <f t="shared" si="118"/>
        <v>11410</v>
      </c>
      <c r="S120" s="215">
        <v>8344</v>
      </c>
      <c r="T120" s="655">
        <f t="shared" si="55"/>
        <v>0.73128834355828221</v>
      </c>
    </row>
    <row r="121" spans="1:35" ht="15.75" thickBot="1" x14ac:dyDescent="0.3">
      <c r="A121" s="209" t="s">
        <v>150</v>
      </c>
      <c r="B121" s="210" t="s">
        <v>261</v>
      </c>
      <c r="C121" s="215">
        <v>6050</v>
      </c>
      <c r="D121" s="215">
        <v>6050</v>
      </c>
      <c r="E121" s="215">
        <v>6050</v>
      </c>
      <c r="F121" s="215">
        <v>6050</v>
      </c>
      <c r="G121" s="215">
        <v>6050</v>
      </c>
      <c r="H121" s="215">
        <v>6050</v>
      </c>
      <c r="I121" s="215">
        <v>6050</v>
      </c>
      <c r="J121" s="215">
        <v>6050</v>
      </c>
      <c r="K121" s="215">
        <v>6050</v>
      </c>
      <c r="L121" s="215">
        <v>6050</v>
      </c>
      <c r="M121" s="215">
        <v>6050</v>
      </c>
      <c r="N121" s="215">
        <v>6050</v>
      </c>
      <c r="O121" s="215">
        <v>6050</v>
      </c>
      <c r="P121" s="215">
        <v>6050</v>
      </c>
      <c r="Q121" s="215">
        <v>6050</v>
      </c>
      <c r="R121" s="215">
        <v>6050</v>
      </c>
      <c r="S121" s="215">
        <v>4437</v>
      </c>
      <c r="T121" s="655">
        <f t="shared" si="55"/>
        <v>0.73338842975206608</v>
      </c>
    </row>
    <row r="122" spans="1:35" ht="15.75" thickBot="1" x14ac:dyDescent="0.3">
      <c r="A122" s="108" t="s">
        <v>151</v>
      </c>
      <c r="B122" s="109"/>
      <c r="C122" s="112">
        <f t="shared" ref="C122:S122" si="119">SUM(C123:C127)</f>
        <v>286950</v>
      </c>
      <c r="D122" s="112">
        <f t="shared" si="119"/>
        <v>286950</v>
      </c>
      <c r="E122" s="112">
        <f t="shared" si="119"/>
        <v>286950</v>
      </c>
      <c r="F122" s="112">
        <f t="shared" si="119"/>
        <v>286950</v>
      </c>
      <c r="G122" s="112">
        <f t="shared" si="119"/>
        <v>297750</v>
      </c>
      <c r="H122" s="112">
        <f t="shared" si="119"/>
        <v>297750</v>
      </c>
      <c r="I122" s="112">
        <f t="shared" si="119"/>
        <v>300850</v>
      </c>
      <c r="J122" s="112">
        <f t="shared" si="119"/>
        <v>300850</v>
      </c>
      <c r="K122" s="112">
        <f t="shared" si="119"/>
        <v>300850</v>
      </c>
      <c r="L122" s="112">
        <f t="shared" si="119"/>
        <v>300850</v>
      </c>
      <c r="M122" s="112">
        <f t="shared" si="119"/>
        <v>304550</v>
      </c>
      <c r="N122" s="112">
        <f t="shared" ref="N122:P122" si="120">SUM(N123:N127)</f>
        <v>316350</v>
      </c>
      <c r="O122" s="112">
        <f t="shared" si="120"/>
        <v>329860</v>
      </c>
      <c r="P122" s="112">
        <f t="shared" si="120"/>
        <v>329860</v>
      </c>
      <c r="Q122" s="112">
        <f t="shared" ref="Q122:R122" si="121">SUM(Q123:Q127)</f>
        <v>329860</v>
      </c>
      <c r="R122" s="112">
        <f t="shared" si="121"/>
        <v>329860</v>
      </c>
      <c r="S122" s="112">
        <f t="shared" si="119"/>
        <v>146673</v>
      </c>
      <c r="T122" s="655">
        <f t="shared" si="55"/>
        <v>0.44465227672345842</v>
      </c>
    </row>
    <row r="123" spans="1:35" x14ac:dyDescent="0.25">
      <c r="A123" s="196" t="s">
        <v>152</v>
      </c>
      <c r="B123" s="85" t="s">
        <v>282</v>
      </c>
      <c r="C123" s="55">
        <f>268900</f>
        <v>268900</v>
      </c>
      <c r="D123" s="55">
        <f>268900</f>
        <v>268900</v>
      </c>
      <c r="E123" s="55">
        <f>268900</f>
        <v>268900</v>
      </c>
      <c r="F123" s="55">
        <f>268900</f>
        <v>268900</v>
      </c>
      <c r="G123" s="634">
        <f>268900+800+1000</f>
        <v>270700</v>
      </c>
      <c r="H123" s="55">
        <f>268900+800+1000</f>
        <v>270700</v>
      </c>
      <c r="I123" s="634">
        <f>268900+800+1000+100+3000</f>
        <v>273800</v>
      </c>
      <c r="J123" s="55">
        <f>268900+800+1000+100+3000</f>
        <v>273800</v>
      </c>
      <c r="K123" s="55">
        <f>268900+800+1000+100+3000</f>
        <v>273800</v>
      </c>
      <c r="L123" s="55">
        <f t="shared" ref="L123" si="122">268900+800+1000+100+3000</f>
        <v>273800</v>
      </c>
      <c r="M123" s="634">
        <f>268900+800+1000+100+3000+500+700+2000+300</f>
        <v>277300</v>
      </c>
      <c r="N123" s="634">
        <f>268900+800+1000+100+3000+500+700+2000+300+11800</f>
        <v>289100</v>
      </c>
      <c r="O123" s="634">
        <f>268900+800+1000+100+3000+500+700+2000+300+11800+13510</f>
        <v>302610</v>
      </c>
      <c r="P123" s="55">
        <f>268900+800+1000+100+3000+500+700+2000+300+11800+13510</f>
        <v>302610</v>
      </c>
      <c r="Q123" s="55">
        <f t="shared" ref="Q123:R123" si="123">268900+800+1000+100+3000+500+700+2000+300+11800+13510</f>
        <v>302610</v>
      </c>
      <c r="R123" s="55">
        <f t="shared" si="123"/>
        <v>302610</v>
      </c>
      <c r="S123" s="55">
        <v>135864</v>
      </c>
      <c r="T123" s="655">
        <f t="shared" si="55"/>
        <v>0.44897392683652226</v>
      </c>
      <c r="U123" s="407"/>
      <c r="V123" s="407"/>
    </row>
    <row r="124" spans="1:35" x14ac:dyDescent="0.25">
      <c r="A124" s="196" t="s">
        <v>153</v>
      </c>
      <c r="B124" s="85" t="s">
        <v>154</v>
      </c>
      <c r="C124" s="55">
        <v>450</v>
      </c>
      <c r="D124" s="55">
        <v>450</v>
      </c>
      <c r="E124" s="55">
        <v>450</v>
      </c>
      <c r="F124" s="55">
        <v>450</v>
      </c>
      <c r="G124" s="55">
        <v>450</v>
      </c>
      <c r="H124" s="55">
        <v>450</v>
      </c>
      <c r="I124" s="55">
        <v>450</v>
      </c>
      <c r="J124" s="55">
        <v>450</v>
      </c>
      <c r="K124" s="55">
        <v>450</v>
      </c>
      <c r="L124" s="55">
        <v>450</v>
      </c>
      <c r="M124" s="55">
        <v>450</v>
      </c>
      <c r="N124" s="55">
        <v>450</v>
      </c>
      <c r="O124" s="55">
        <v>450</v>
      </c>
      <c r="P124" s="55">
        <v>450</v>
      </c>
      <c r="Q124" s="55">
        <v>450</v>
      </c>
      <c r="R124" s="55">
        <v>450</v>
      </c>
      <c r="S124" s="55">
        <v>100</v>
      </c>
      <c r="T124" s="655">
        <f t="shared" si="55"/>
        <v>0.22222222222222221</v>
      </c>
      <c r="U124" s="407"/>
      <c r="V124" s="407"/>
    </row>
    <row r="125" spans="1:35" x14ac:dyDescent="0.25">
      <c r="A125" s="121" t="s">
        <v>155</v>
      </c>
      <c r="B125" s="118" t="s">
        <v>156</v>
      </c>
      <c r="C125" s="60">
        <v>16600</v>
      </c>
      <c r="D125" s="60">
        <v>16600</v>
      </c>
      <c r="E125" s="60">
        <v>16600</v>
      </c>
      <c r="F125" s="60">
        <v>16600</v>
      </c>
      <c r="G125" s="60">
        <v>16600</v>
      </c>
      <c r="H125" s="60">
        <v>16600</v>
      </c>
      <c r="I125" s="60">
        <v>16600</v>
      </c>
      <c r="J125" s="60">
        <v>16600</v>
      </c>
      <c r="K125" s="60">
        <v>16600</v>
      </c>
      <c r="L125" s="60">
        <v>16600</v>
      </c>
      <c r="M125" s="622">
        <f>16600+200</f>
        <v>16800</v>
      </c>
      <c r="N125" s="60">
        <f t="shared" ref="N125:R125" si="124">16600+200</f>
        <v>16800</v>
      </c>
      <c r="O125" s="60">
        <f t="shared" si="124"/>
        <v>16800</v>
      </c>
      <c r="P125" s="60">
        <f t="shared" si="124"/>
        <v>16800</v>
      </c>
      <c r="Q125" s="60">
        <f t="shared" si="124"/>
        <v>16800</v>
      </c>
      <c r="R125" s="60">
        <f t="shared" si="124"/>
        <v>16800</v>
      </c>
      <c r="S125" s="60">
        <v>7492</v>
      </c>
      <c r="T125" s="655">
        <f t="shared" si="55"/>
        <v>0.44595238095238093</v>
      </c>
    </row>
    <row r="126" spans="1:35" x14ac:dyDescent="0.25">
      <c r="A126" s="121" t="s">
        <v>157</v>
      </c>
      <c r="B126" s="118" t="s">
        <v>481</v>
      </c>
      <c r="C126" s="60">
        <v>500</v>
      </c>
      <c r="D126" s="60">
        <v>500</v>
      </c>
      <c r="E126" s="60">
        <v>500</v>
      </c>
      <c r="F126" s="60">
        <v>500</v>
      </c>
      <c r="G126" s="622">
        <f>500+9000</f>
        <v>9500</v>
      </c>
      <c r="H126" s="60">
        <f>500+9000</f>
        <v>9500</v>
      </c>
      <c r="I126" s="60">
        <f>500+9000</f>
        <v>9500</v>
      </c>
      <c r="J126" s="60">
        <f>500+9000</f>
        <v>9500</v>
      </c>
      <c r="K126" s="60">
        <f>500+9000</f>
        <v>9500</v>
      </c>
      <c r="L126" s="60">
        <f t="shared" ref="L126:R126" si="125">500+9000</f>
        <v>9500</v>
      </c>
      <c r="M126" s="60">
        <f t="shared" si="125"/>
        <v>9500</v>
      </c>
      <c r="N126" s="60">
        <f t="shared" si="125"/>
        <v>9500</v>
      </c>
      <c r="O126" s="60">
        <f t="shared" si="125"/>
        <v>9500</v>
      </c>
      <c r="P126" s="60">
        <f t="shared" si="125"/>
        <v>9500</v>
      </c>
      <c r="Q126" s="60">
        <f t="shared" si="125"/>
        <v>9500</v>
      </c>
      <c r="R126" s="60">
        <f t="shared" si="125"/>
        <v>9500</v>
      </c>
      <c r="S126" s="60">
        <v>3217</v>
      </c>
      <c r="T126" s="655">
        <f t="shared" si="55"/>
        <v>0.33863157894736839</v>
      </c>
    </row>
    <row r="127" spans="1:35" ht="15.75" thickBot="1" x14ac:dyDescent="0.3">
      <c r="A127" s="164" t="s">
        <v>159</v>
      </c>
      <c r="B127" s="165" t="s">
        <v>160</v>
      </c>
      <c r="C127" s="186">
        <v>500</v>
      </c>
      <c r="D127" s="186">
        <v>500</v>
      </c>
      <c r="E127" s="186">
        <v>500</v>
      </c>
      <c r="F127" s="186">
        <v>500</v>
      </c>
      <c r="G127" s="186">
        <v>500</v>
      </c>
      <c r="H127" s="186">
        <v>500</v>
      </c>
      <c r="I127" s="186">
        <v>500</v>
      </c>
      <c r="J127" s="186">
        <v>500</v>
      </c>
      <c r="K127" s="186">
        <v>500</v>
      </c>
      <c r="L127" s="186">
        <v>500</v>
      </c>
      <c r="M127" s="186">
        <v>500</v>
      </c>
      <c r="N127" s="186">
        <v>500</v>
      </c>
      <c r="O127" s="186">
        <v>500</v>
      </c>
      <c r="P127" s="186">
        <v>500</v>
      </c>
      <c r="Q127" s="186">
        <v>500</v>
      </c>
      <c r="R127" s="186">
        <v>500</v>
      </c>
      <c r="S127" s="186">
        <v>0</v>
      </c>
      <c r="T127" s="655">
        <f t="shared" si="55"/>
        <v>0</v>
      </c>
    </row>
    <row r="128" spans="1:35" ht="16.5" thickBot="1" x14ac:dyDescent="0.3">
      <c r="A128" s="216" t="s">
        <v>161</v>
      </c>
      <c r="B128" s="176"/>
      <c r="C128" s="219">
        <f t="shared" ref="C128:S128" si="126">SUM(C79+C85+C87+C90+C94+C99+C103+C108+C114+C122)</f>
        <v>1504568</v>
      </c>
      <c r="D128" s="219">
        <f t="shared" si="126"/>
        <v>1504568</v>
      </c>
      <c r="E128" s="219">
        <f t="shared" si="126"/>
        <v>1508979</v>
      </c>
      <c r="F128" s="219">
        <f t="shared" si="126"/>
        <v>1516714</v>
      </c>
      <c r="G128" s="219">
        <f t="shared" si="126"/>
        <v>1522714</v>
      </c>
      <c r="H128" s="219">
        <f t="shared" si="126"/>
        <v>1525914</v>
      </c>
      <c r="I128" s="219">
        <f t="shared" si="126"/>
        <v>1536814</v>
      </c>
      <c r="J128" s="219">
        <f t="shared" si="126"/>
        <v>1539814</v>
      </c>
      <c r="K128" s="219">
        <f t="shared" si="126"/>
        <v>1540157</v>
      </c>
      <c r="L128" s="219">
        <f t="shared" si="126"/>
        <v>1541357</v>
      </c>
      <c r="M128" s="219">
        <f t="shared" si="126"/>
        <v>1547557</v>
      </c>
      <c r="N128" s="219">
        <f t="shared" si="126"/>
        <v>1561159</v>
      </c>
      <c r="O128" s="219">
        <f t="shared" si="126"/>
        <v>1571936</v>
      </c>
      <c r="P128" s="219">
        <f t="shared" si="126"/>
        <v>1571936</v>
      </c>
      <c r="Q128" s="219">
        <f t="shared" ref="Q128:R128" si="127">SUM(Q79+Q85+Q87+Q90+Q94+Q99+Q103+Q108+Q114+Q122)</f>
        <v>1571936</v>
      </c>
      <c r="R128" s="219">
        <f t="shared" si="127"/>
        <v>1571936</v>
      </c>
      <c r="S128" s="219">
        <f t="shared" si="126"/>
        <v>781504</v>
      </c>
      <c r="T128" s="655">
        <f t="shared" si="55"/>
        <v>0.49716018972782605</v>
      </c>
      <c r="U128" s="464">
        <f t="shared" ref="U128:U139" si="128">D128-C128</f>
        <v>0</v>
      </c>
      <c r="V128" s="464">
        <f t="shared" ref="V128:V139" si="129">E128-D128</f>
        <v>4411</v>
      </c>
      <c r="W128" s="464">
        <f t="shared" ref="W128:W139" si="130">F128-E128</f>
        <v>7735</v>
      </c>
      <c r="X128" s="464">
        <f t="shared" ref="X128:X139" si="131">G128-F128</f>
        <v>6000</v>
      </c>
      <c r="Y128" s="464">
        <f t="shared" ref="Y128:Y139" si="132">H128-G128</f>
        <v>3200</v>
      </c>
      <c r="Z128" s="464">
        <f t="shared" ref="Z128:Z139" si="133">I128-H128</f>
        <v>10900</v>
      </c>
      <c r="AA128" s="464">
        <f t="shared" ref="AA128:AA139" si="134">J128-I128</f>
        <v>3000</v>
      </c>
      <c r="AB128" s="464">
        <f t="shared" ref="AB128:AB139" si="135">K128-J128</f>
        <v>343</v>
      </c>
      <c r="AC128" s="464">
        <f t="shared" ref="AC128:AC139" si="136">L128-K128</f>
        <v>1200</v>
      </c>
      <c r="AD128" s="464">
        <f t="shared" ref="AD128:AD139" si="137">M128-L128</f>
        <v>6200</v>
      </c>
      <c r="AE128" s="464">
        <f t="shared" ref="AE128:AE139" si="138">N128-M128</f>
        <v>13602</v>
      </c>
      <c r="AF128" s="464">
        <f t="shared" ref="AF128:AF139" si="139">O128-N128</f>
        <v>10777</v>
      </c>
      <c r="AG128" s="464">
        <f t="shared" ref="AG128:AG139" si="140">P128-O128</f>
        <v>0</v>
      </c>
      <c r="AH128" s="464">
        <f t="shared" ref="AH128:AI139" si="141">Q128-P128</f>
        <v>0</v>
      </c>
      <c r="AI128" s="464">
        <f t="shared" si="141"/>
        <v>0</v>
      </c>
    </row>
    <row r="129" spans="1:35" x14ac:dyDescent="0.25">
      <c r="A129" s="220" t="s">
        <v>140</v>
      </c>
      <c r="B129" s="221" t="s">
        <v>163</v>
      </c>
      <c r="C129" s="224">
        <f t="shared" ref="C129:S129" si="142">C66</f>
        <v>534950</v>
      </c>
      <c r="D129" s="224">
        <f t="shared" si="142"/>
        <v>534950</v>
      </c>
      <c r="E129" s="652">
        <f t="shared" si="142"/>
        <v>556769</v>
      </c>
      <c r="F129" s="652">
        <f t="shared" si="142"/>
        <v>558169</v>
      </c>
      <c r="G129" s="224">
        <f t="shared" si="142"/>
        <v>558169</v>
      </c>
      <c r="H129" s="652">
        <f t="shared" si="142"/>
        <v>558907</v>
      </c>
      <c r="I129" s="224">
        <f t="shared" si="142"/>
        <v>558907</v>
      </c>
      <c r="J129" s="652">
        <f t="shared" si="142"/>
        <v>562128</v>
      </c>
      <c r="K129" s="224">
        <f t="shared" si="142"/>
        <v>562128</v>
      </c>
      <c r="L129" s="652">
        <f t="shared" si="142"/>
        <v>562378</v>
      </c>
      <c r="M129" s="224">
        <f t="shared" si="142"/>
        <v>562378</v>
      </c>
      <c r="N129" s="224">
        <f t="shared" si="142"/>
        <v>568432</v>
      </c>
      <c r="O129" s="224">
        <f t="shared" si="142"/>
        <v>568432</v>
      </c>
      <c r="P129" s="224">
        <f t="shared" si="142"/>
        <v>568432</v>
      </c>
      <c r="Q129" s="224">
        <f t="shared" ref="Q129:R129" si="143">Q66</f>
        <v>589559</v>
      </c>
      <c r="R129" s="224">
        <f t="shared" si="143"/>
        <v>589559</v>
      </c>
      <c r="S129" s="224">
        <f t="shared" si="142"/>
        <v>425815</v>
      </c>
      <c r="T129" s="655">
        <f t="shared" si="55"/>
        <v>0.74910455428265821</v>
      </c>
      <c r="U129" s="464">
        <f t="shared" si="128"/>
        <v>0</v>
      </c>
      <c r="V129" s="464">
        <f t="shared" si="129"/>
        <v>21819</v>
      </c>
      <c r="W129" s="464">
        <f t="shared" si="130"/>
        <v>1400</v>
      </c>
      <c r="X129" s="464">
        <f t="shared" si="131"/>
        <v>0</v>
      </c>
      <c r="Y129" s="464">
        <f t="shared" si="132"/>
        <v>738</v>
      </c>
      <c r="Z129" s="464">
        <f t="shared" si="133"/>
        <v>0</v>
      </c>
      <c r="AA129" s="464">
        <f t="shared" si="134"/>
        <v>3221</v>
      </c>
      <c r="AB129" s="464">
        <f t="shared" si="135"/>
        <v>0</v>
      </c>
      <c r="AC129" s="464">
        <f t="shared" si="136"/>
        <v>250</v>
      </c>
      <c r="AD129" s="464">
        <f t="shared" si="137"/>
        <v>0</v>
      </c>
      <c r="AE129" s="464">
        <f t="shared" si="138"/>
        <v>6054</v>
      </c>
      <c r="AF129" s="464">
        <f t="shared" si="139"/>
        <v>0</v>
      </c>
      <c r="AG129" s="464">
        <f t="shared" si="140"/>
        <v>0</v>
      </c>
      <c r="AH129" s="464">
        <f t="shared" si="141"/>
        <v>21127</v>
      </c>
      <c r="AI129" s="464">
        <f t="shared" si="141"/>
        <v>0</v>
      </c>
    </row>
    <row r="130" spans="1:35" x14ac:dyDescent="0.25">
      <c r="A130" s="225" t="s">
        <v>140</v>
      </c>
      <c r="B130" s="226" t="s">
        <v>164</v>
      </c>
      <c r="C130" s="229">
        <f t="shared" ref="C130:S130" si="144">C68</f>
        <v>2450</v>
      </c>
      <c r="D130" s="229">
        <f t="shared" si="144"/>
        <v>2450</v>
      </c>
      <c r="E130" s="229">
        <f t="shared" si="144"/>
        <v>2450</v>
      </c>
      <c r="F130" s="229">
        <f t="shared" si="144"/>
        <v>2450</v>
      </c>
      <c r="G130" s="229">
        <f t="shared" si="144"/>
        <v>2450</v>
      </c>
      <c r="H130" s="229">
        <f t="shared" si="144"/>
        <v>2450</v>
      </c>
      <c r="I130" s="229">
        <f t="shared" si="144"/>
        <v>2450</v>
      </c>
      <c r="J130" s="229">
        <f t="shared" si="144"/>
        <v>2450</v>
      </c>
      <c r="K130" s="229">
        <f t="shared" si="144"/>
        <v>2450</v>
      </c>
      <c r="L130" s="229">
        <f t="shared" si="144"/>
        <v>2450</v>
      </c>
      <c r="M130" s="229">
        <f t="shared" si="144"/>
        <v>2450</v>
      </c>
      <c r="N130" s="229">
        <f t="shared" si="144"/>
        <v>2450</v>
      </c>
      <c r="O130" s="229">
        <f t="shared" si="144"/>
        <v>2450</v>
      </c>
      <c r="P130" s="229">
        <f t="shared" si="144"/>
        <v>2450</v>
      </c>
      <c r="Q130" s="229">
        <f t="shared" ref="Q130:R130" si="145">Q68</f>
        <v>4534</v>
      </c>
      <c r="R130" s="229">
        <f t="shared" si="145"/>
        <v>4534</v>
      </c>
      <c r="S130" s="229">
        <f t="shared" si="144"/>
        <v>47</v>
      </c>
      <c r="T130" s="655">
        <f t="shared" si="55"/>
        <v>1.9183673469387756E-2</v>
      </c>
      <c r="U130" s="464">
        <f t="shared" si="128"/>
        <v>0</v>
      </c>
      <c r="V130" s="464">
        <f t="shared" si="129"/>
        <v>0</v>
      </c>
      <c r="W130" s="464">
        <f t="shared" si="130"/>
        <v>0</v>
      </c>
      <c r="X130" s="464">
        <f t="shared" si="131"/>
        <v>0</v>
      </c>
      <c r="Y130" s="464">
        <f t="shared" si="132"/>
        <v>0</v>
      </c>
      <c r="Z130" s="464">
        <f t="shared" si="133"/>
        <v>0</v>
      </c>
      <c r="AA130" s="464">
        <f t="shared" si="134"/>
        <v>0</v>
      </c>
      <c r="AB130" s="464">
        <f t="shared" si="135"/>
        <v>0</v>
      </c>
      <c r="AC130" s="464">
        <f t="shared" si="136"/>
        <v>0</v>
      </c>
      <c r="AD130" s="464">
        <f t="shared" si="137"/>
        <v>0</v>
      </c>
      <c r="AE130" s="464">
        <f t="shared" si="138"/>
        <v>0</v>
      </c>
      <c r="AF130" s="464">
        <f t="shared" si="139"/>
        <v>0</v>
      </c>
      <c r="AG130" s="464">
        <f t="shared" si="140"/>
        <v>0</v>
      </c>
      <c r="AH130" s="464">
        <f t="shared" si="141"/>
        <v>2084</v>
      </c>
      <c r="AI130" s="464">
        <f t="shared" si="141"/>
        <v>0</v>
      </c>
    </row>
    <row r="131" spans="1:35" ht="15.75" thickBot="1" x14ac:dyDescent="0.3">
      <c r="A131" s="230" t="s">
        <v>140</v>
      </c>
      <c r="B131" s="231" t="s">
        <v>166</v>
      </c>
      <c r="C131" s="234">
        <v>0</v>
      </c>
      <c r="D131" s="234">
        <v>0</v>
      </c>
      <c r="E131" s="234">
        <v>0</v>
      </c>
      <c r="F131" s="234">
        <v>0</v>
      </c>
      <c r="G131" s="234">
        <v>0</v>
      </c>
      <c r="H131" s="234">
        <v>0</v>
      </c>
      <c r="I131" s="234">
        <v>0</v>
      </c>
      <c r="J131" s="234">
        <v>0</v>
      </c>
      <c r="K131" s="234">
        <v>0</v>
      </c>
      <c r="L131" s="234">
        <v>0</v>
      </c>
      <c r="M131" s="234">
        <v>0</v>
      </c>
      <c r="N131" s="234">
        <v>0</v>
      </c>
      <c r="O131" s="234">
        <v>0</v>
      </c>
      <c r="P131" s="234">
        <v>0</v>
      </c>
      <c r="Q131" s="234">
        <v>0</v>
      </c>
      <c r="R131" s="234">
        <v>0</v>
      </c>
      <c r="S131" s="234">
        <v>0</v>
      </c>
      <c r="T131" s="655">
        <v>0</v>
      </c>
      <c r="U131" s="464">
        <f t="shared" si="128"/>
        <v>0</v>
      </c>
      <c r="V131" s="464">
        <f t="shared" si="129"/>
        <v>0</v>
      </c>
      <c r="W131" s="464">
        <f t="shared" si="130"/>
        <v>0</v>
      </c>
      <c r="X131" s="464">
        <f t="shared" si="131"/>
        <v>0</v>
      </c>
      <c r="Y131" s="464">
        <f t="shared" si="132"/>
        <v>0</v>
      </c>
      <c r="Z131" s="464">
        <f t="shared" si="133"/>
        <v>0</v>
      </c>
      <c r="AA131" s="464">
        <f t="shared" si="134"/>
        <v>0</v>
      </c>
      <c r="AB131" s="464">
        <f t="shared" si="135"/>
        <v>0</v>
      </c>
      <c r="AC131" s="464">
        <f t="shared" si="136"/>
        <v>0</v>
      </c>
      <c r="AD131" s="464">
        <f t="shared" si="137"/>
        <v>0</v>
      </c>
      <c r="AE131" s="464">
        <f t="shared" si="138"/>
        <v>0</v>
      </c>
      <c r="AF131" s="464">
        <f t="shared" si="139"/>
        <v>0</v>
      </c>
      <c r="AG131" s="464">
        <f t="shared" si="140"/>
        <v>0</v>
      </c>
      <c r="AH131" s="464">
        <f t="shared" si="141"/>
        <v>0</v>
      </c>
      <c r="AI131" s="464">
        <f t="shared" si="141"/>
        <v>0</v>
      </c>
    </row>
    <row r="132" spans="1:35" x14ac:dyDescent="0.25">
      <c r="A132" s="235" t="s">
        <v>142</v>
      </c>
      <c r="B132" s="236" t="s">
        <v>167</v>
      </c>
      <c r="C132" s="239">
        <v>32600</v>
      </c>
      <c r="D132" s="239">
        <v>32600</v>
      </c>
      <c r="E132" s="239">
        <v>32600</v>
      </c>
      <c r="F132" s="239">
        <v>32600</v>
      </c>
      <c r="G132" s="239">
        <v>32600</v>
      </c>
      <c r="H132" s="239">
        <v>32600</v>
      </c>
      <c r="I132" s="239">
        <v>32600</v>
      </c>
      <c r="J132" s="239">
        <v>32600</v>
      </c>
      <c r="K132" s="239">
        <v>32600</v>
      </c>
      <c r="L132" s="239">
        <v>32600</v>
      </c>
      <c r="M132" s="239">
        <v>32600</v>
      </c>
      <c r="N132" s="239">
        <v>32600</v>
      </c>
      <c r="O132" s="623">
        <f>32600+1000</f>
        <v>33600</v>
      </c>
      <c r="P132" s="239">
        <f>32600+1000</f>
        <v>33600</v>
      </c>
      <c r="Q132" s="239">
        <f t="shared" ref="Q132:R132" si="146">32600+1000</f>
        <v>33600</v>
      </c>
      <c r="R132" s="239">
        <f t="shared" si="146"/>
        <v>33600</v>
      </c>
      <c r="S132" s="239">
        <v>21736</v>
      </c>
      <c r="T132" s="655">
        <f t="shared" ref="T132:T189" si="147">S132/P132</f>
        <v>0.64690476190476187</v>
      </c>
      <c r="U132" s="464">
        <f t="shared" si="128"/>
        <v>0</v>
      </c>
      <c r="V132" s="464">
        <f t="shared" si="129"/>
        <v>0</v>
      </c>
      <c r="W132" s="464">
        <f t="shared" si="130"/>
        <v>0</v>
      </c>
      <c r="X132" s="464">
        <f t="shared" si="131"/>
        <v>0</v>
      </c>
      <c r="Y132" s="464">
        <f t="shared" si="132"/>
        <v>0</v>
      </c>
      <c r="Z132" s="464">
        <f t="shared" si="133"/>
        <v>0</v>
      </c>
      <c r="AA132" s="464">
        <f t="shared" si="134"/>
        <v>0</v>
      </c>
      <c r="AB132" s="464">
        <f t="shared" si="135"/>
        <v>0</v>
      </c>
      <c r="AC132" s="464">
        <f t="shared" si="136"/>
        <v>0</v>
      </c>
      <c r="AD132" s="464">
        <f t="shared" si="137"/>
        <v>0</v>
      </c>
      <c r="AE132" s="464">
        <f t="shared" si="138"/>
        <v>0</v>
      </c>
      <c r="AF132" s="464">
        <f t="shared" si="139"/>
        <v>1000</v>
      </c>
      <c r="AG132" s="464">
        <f t="shared" si="140"/>
        <v>0</v>
      </c>
      <c r="AH132" s="464">
        <f t="shared" si="141"/>
        <v>0</v>
      </c>
      <c r="AI132" s="464">
        <f t="shared" si="141"/>
        <v>0</v>
      </c>
    </row>
    <row r="133" spans="1:35" ht="15.75" thickBot="1" x14ac:dyDescent="0.3">
      <c r="A133" s="225" t="s">
        <v>142</v>
      </c>
      <c r="B133" s="226" t="s">
        <v>168</v>
      </c>
      <c r="C133" s="229">
        <f t="shared" ref="C133:S133" si="148">C69</f>
        <v>2000</v>
      </c>
      <c r="D133" s="229">
        <f t="shared" si="148"/>
        <v>2000</v>
      </c>
      <c r="E133" s="229">
        <f t="shared" si="148"/>
        <v>2000</v>
      </c>
      <c r="F133" s="229">
        <f t="shared" si="148"/>
        <v>2000</v>
      </c>
      <c r="G133" s="229">
        <f t="shared" si="148"/>
        <v>2000</v>
      </c>
      <c r="H133" s="229">
        <f t="shared" si="148"/>
        <v>2000</v>
      </c>
      <c r="I133" s="229">
        <f t="shared" si="148"/>
        <v>2000</v>
      </c>
      <c r="J133" s="229">
        <f t="shared" si="148"/>
        <v>2000</v>
      </c>
      <c r="K133" s="229">
        <f t="shared" si="148"/>
        <v>2000</v>
      </c>
      <c r="L133" s="229">
        <f t="shared" si="148"/>
        <v>2000</v>
      </c>
      <c r="M133" s="229">
        <f t="shared" si="148"/>
        <v>2000</v>
      </c>
      <c r="N133" s="229">
        <f t="shared" si="148"/>
        <v>2000</v>
      </c>
      <c r="O133" s="229">
        <f t="shared" si="148"/>
        <v>2000</v>
      </c>
      <c r="P133" s="229">
        <f t="shared" si="148"/>
        <v>2000</v>
      </c>
      <c r="Q133" s="229">
        <f t="shared" ref="Q133:R133" si="149">Q69</f>
        <v>2000</v>
      </c>
      <c r="R133" s="229">
        <f t="shared" si="149"/>
        <v>2000</v>
      </c>
      <c r="S133" s="229">
        <f t="shared" si="148"/>
        <v>924</v>
      </c>
      <c r="T133" s="655">
        <f t="shared" si="147"/>
        <v>0.46200000000000002</v>
      </c>
      <c r="U133" s="464">
        <f t="shared" si="128"/>
        <v>0</v>
      </c>
      <c r="V133" s="464">
        <f t="shared" si="129"/>
        <v>0</v>
      </c>
      <c r="W133" s="464">
        <f t="shared" si="130"/>
        <v>0</v>
      </c>
      <c r="X133" s="464">
        <f t="shared" si="131"/>
        <v>0</v>
      </c>
      <c r="Y133" s="464">
        <f t="shared" si="132"/>
        <v>0</v>
      </c>
      <c r="Z133" s="464">
        <f t="shared" si="133"/>
        <v>0</v>
      </c>
      <c r="AA133" s="464">
        <f t="shared" si="134"/>
        <v>0</v>
      </c>
      <c r="AB133" s="464">
        <f t="shared" si="135"/>
        <v>0</v>
      </c>
      <c r="AC133" s="464">
        <f t="shared" si="136"/>
        <v>0</v>
      </c>
      <c r="AD133" s="464">
        <f t="shared" si="137"/>
        <v>0</v>
      </c>
      <c r="AE133" s="464">
        <f t="shared" si="138"/>
        <v>0</v>
      </c>
      <c r="AF133" s="464">
        <f t="shared" si="139"/>
        <v>0</v>
      </c>
      <c r="AG133" s="464">
        <f t="shared" si="140"/>
        <v>0</v>
      </c>
      <c r="AH133" s="464">
        <f t="shared" si="141"/>
        <v>0</v>
      </c>
      <c r="AI133" s="464">
        <f t="shared" si="141"/>
        <v>0</v>
      </c>
    </row>
    <row r="134" spans="1:35" ht="15.75" thickBot="1" x14ac:dyDescent="0.3">
      <c r="A134" s="823" t="s">
        <v>169</v>
      </c>
      <c r="B134" s="824"/>
      <c r="C134" s="242">
        <f t="shared" ref="C134:S134" si="150">SUM(C129:C133)</f>
        <v>572000</v>
      </c>
      <c r="D134" s="242">
        <f t="shared" si="150"/>
        <v>572000</v>
      </c>
      <c r="E134" s="242">
        <f t="shared" si="150"/>
        <v>593819</v>
      </c>
      <c r="F134" s="242">
        <f t="shared" si="150"/>
        <v>595219</v>
      </c>
      <c r="G134" s="242">
        <f t="shared" si="150"/>
        <v>595219</v>
      </c>
      <c r="H134" s="242">
        <f t="shared" si="150"/>
        <v>595957</v>
      </c>
      <c r="I134" s="242">
        <f t="shared" si="150"/>
        <v>595957</v>
      </c>
      <c r="J134" s="242">
        <f t="shared" si="150"/>
        <v>599178</v>
      </c>
      <c r="K134" s="242">
        <f t="shared" si="150"/>
        <v>599178</v>
      </c>
      <c r="L134" s="242">
        <f t="shared" si="150"/>
        <v>599428</v>
      </c>
      <c r="M134" s="242">
        <f t="shared" si="150"/>
        <v>599428</v>
      </c>
      <c r="N134" s="242">
        <f t="shared" si="150"/>
        <v>605482</v>
      </c>
      <c r="O134" s="242">
        <f t="shared" si="150"/>
        <v>606482</v>
      </c>
      <c r="P134" s="242">
        <f t="shared" si="150"/>
        <v>606482</v>
      </c>
      <c r="Q134" s="242">
        <f t="shared" ref="Q134:R134" si="151">SUM(Q129:Q133)</f>
        <v>629693</v>
      </c>
      <c r="R134" s="242">
        <f t="shared" si="151"/>
        <v>629693</v>
      </c>
      <c r="S134" s="242">
        <f t="shared" si="150"/>
        <v>448522</v>
      </c>
      <c r="T134" s="655">
        <f t="shared" si="147"/>
        <v>0.73954709290630227</v>
      </c>
      <c r="U134" s="464">
        <f t="shared" si="128"/>
        <v>0</v>
      </c>
      <c r="V134" s="464">
        <f t="shared" si="129"/>
        <v>21819</v>
      </c>
      <c r="W134" s="464">
        <f t="shared" si="130"/>
        <v>1400</v>
      </c>
      <c r="X134" s="464">
        <f t="shared" si="131"/>
        <v>0</v>
      </c>
      <c r="Y134" s="464">
        <f t="shared" si="132"/>
        <v>738</v>
      </c>
      <c r="Z134" s="464">
        <f t="shared" si="133"/>
        <v>0</v>
      </c>
      <c r="AA134" s="464">
        <f t="shared" si="134"/>
        <v>3221</v>
      </c>
      <c r="AB134" s="464">
        <f t="shared" si="135"/>
        <v>0</v>
      </c>
      <c r="AC134" s="464">
        <f t="shared" si="136"/>
        <v>250</v>
      </c>
      <c r="AD134" s="464">
        <f t="shared" si="137"/>
        <v>0</v>
      </c>
      <c r="AE134" s="464">
        <f t="shared" si="138"/>
        <v>6054</v>
      </c>
      <c r="AF134" s="464">
        <f t="shared" si="139"/>
        <v>1000</v>
      </c>
      <c r="AG134" s="464">
        <f t="shared" si="140"/>
        <v>0</v>
      </c>
      <c r="AH134" s="464">
        <f t="shared" si="141"/>
        <v>23211</v>
      </c>
      <c r="AI134" s="464">
        <f t="shared" si="141"/>
        <v>0</v>
      </c>
    </row>
    <row r="135" spans="1:35" x14ac:dyDescent="0.25">
      <c r="A135" s="243" t="s">
        <v>142</v>
      </c>
      <c r="B135" s="244" t="s">
        <v>170</v>
      </c>
      <c r="C135" s="247">
        <f t="shared" ref="C135:N135" si="152">264110-C136</f>
        <v>252640</v>
      </c>
      <c r="D135" s="247">
        <f t="shared" si="152"/>
        <v>252640</v>
      </c>
      <c r="E135" s="247">
        <f t="shared" si="152"/>
        <v>252640</v>
      </c>
      <c r="F135" s="247">
        <f t="shared" si="152"/>
        <v>252640</v>
      </c>
      <c r="G135" s="247">
        <f t="shared" si="152"/>
        <v>252640</v>
      </c>
      <c r="H135" s="247">
        <f t="shared" si="152"/>
        <v>252640</v>
      </c>
      <c r="I135" s="247">
        <f t="shared" si="152"/>
        <v>252640</v>
      </c>
      <c r="J135" s="247">
        <f t="shared" si="152"/>
        <v>252640</v>
      </c>
      <c r="K135" s="247">
        <f t="shared" si="152"/>
        <v>252640</v>
      </c>
      <c r="L135" s="247">
        <f t="shared" si="152"/>
        <v>252640</v>
      </c>
      <c r="M135" s="247">
        <f t="shared" si="152"/>
        <v>252640</v>
      </c>
      <c r="N135" s="247">
        <f t="shared" si="152"/>
        <v>252640</v>
      </c>
      <c r="O135" s="652">
        <f>264110-O136+5000</f>
        <v>257640</v>
      </c>
      <c r="P135" s="737">
        <f>264110-P136+5000</f>
        <v>257640</v>
      </c>
      <c r="Q135" s="737">
        <f t="shared" ref="Q135:R135" si="153">264110-Q136+5000</f>
        <v>257640</v>
      </c>
      <c r="R135" s="737">
        <f t="shared" si="153"/>
        <v>257640</v>
      </c>
      <c r="S135" s="247">
        <v>168424</v>
      </c>
      <c r="T135" s="655">
        <f t="shared" si="147"/>
        <v>0.65371836671324324</v>
      </c>
      <c r="U135" s="464">
        <f t="shared" si="128"/>
        <v>0</v>
      </c>
      <c r="V135" s="464">
        <f t="shared" si="129"/>
        <v>0</v>
      </c>
      <c r="W135" s="464">
        <f t="shared" si="130"/>
        <v>0</v>
      </c>
      <c r="X135" s="464">
        <f t="shared" si="131"/>
        <v>0</v>
      </c>
      <c r="Y135" s="464">
        <f t="shared" si="132"/>
        <v>0</v>
      </c>
      <c r="Z135" s="464">
        <f t="shared" si="133"/>
        <v>0</v>
      </c>
      <c r="AA135" s="464">
        <f t="shared" si="134"/>
        <v>0</v>
      </c>
      <c r="AB135" s="464">
        <f t="shared" si="135"/>
        <v>0</v>
      </c>
      <c r="AC135" s="464">
        <f t="shared" si="136"/>
        <v>0</v>
      </c>
      <c r="AD135" s="464">
        <f t="shared" si="137"/>
        <v>0</v>
      </c>
      <c r="AE135" s="464">
        <f t="shared" si="138"/>
        <v>0</v>
      </c>
      <c r="AF135" s="464">
        <f t="shared" si="139"/>
        <v>5000</v>
      </c>
      <c r="AG135" s="464">
        <f t="shared" si="140"/>
        <v>0</v>
      </c>
      <c r="AH135" s="464">
        <f t="shared" si="141"/>
        <v>0</v>
      </c>
      <c r="AI135" s="464">
        <f t="shared" si="141"/>
        <v>0</v>
      </c>
    </row>
    <row r="136" spans="1:35" ht="15.75" thickBot="1" x14ac:dyDescent="0.3">
      <c r="A136" s="248" t="s">
        <v>142</v>
      </c>
      <c r="B136" s="249" t="s">
        <v>171</v>
      </c>
      <c r="C136" s="93">
        <f t="shared" ref="C136:S136" si="154">C71</f>
        <v>11470</v>
      </c>
      <c r="D136" s="93">
        <f t="shared" si="154"/>
        <v>11470</v>
      </c>
      <c r="E136" s="93">
        <f t="shared" si="154"/>
        <v>11470</v>
      </c>
      <c r="F136" s="93">
        <f t="shared" si="154"/>
        <v>11470</v>
      </c>
      <c r="G136" s="93">
        <f t="shared" si="154"/>
        <v>11470</v>
      </c>
      <c r="H136" s="93">
        <f t="shared" si="154"/>
        <v>11470</v>
      </c>
      <c r="I136" s="93">
        <f t="shared" si="154"/>
        <v>11470</v>
      </c>
      <c r="J136" s="93">
        <f t="shared" si="154"/>
        <v>11470</v>
      </c>
      <c r="K136" s="93">
        <f t="shared" si="154"/>
        <v>11470</v>
      </c>
      <c r="L136" s="93">
        <f t="shared" si="154"/>
        <v>11470</v>
      </c>
      <c r="M136" s="93">
        <f t="shared" si="154"/>
        <v>11470</v>
      </c>
      <c r="N136" s="93">
        <f t="shared" si="154"/>
        <v>11470</v>
      </c>
      <c r="O136" s="93">
        <f t="shared" si="154"/>
        <v>11470</v>
      </c>
      <c r="P136" s="93">
        <f t="shared" si="154"/>
        <v>11470</v>
      </c>
      <c r="Q136" s="93">
        <f t="shared" ref="Q136:R136" si="155">Q71</f>
        <v>11470</v>
      </c>
      <c r="R136" s="93">
        <f t="shared" si="155"/>
        <v>11470</v>
      </c>
      <c r="S136" s="93">
        <f t="shared" si="154"/>
        <v>5520</v>
      </c>
      <c r="T136" s="655">
        <f t="shared" si="147"/>
        <v>0.48125544899738448</v>
      </c>
      <c r="U136" s="464">
        <f t="shared" si="128"/>
        <v>0</v>
      </c>
      <c r="V136" s="464">
        <f t="shared" si="129"/>
        <v>0</v>
      </c>
      <c r="W136" s="464">
        <f t="shared" si="130"/>
        <v>0</v>
      </c>
      <c r="X136" s="464">
        <f t="shared" si="131"/>
        <v>0</v>
      </c>
      <c r="Y136" s="464">
        <f t="shared" si="132"/>
        <v>0</v>
      </c>
      <c r="Z136" s="464">
        <f t="shared" si="133"/>
        <v>0</v>
      </c>
      <c r="AA136" s="464">
        <f t="shared" si="134"/>
        <v>0</v>
      </c>
      <c r="AB136" s="464">
        <f t="shared" si="135"/>
        <v>0</v>
      </c>
      <c r="AC136" s="464">
        <f t="shared" si="136"/>
        <v>0</v>
      </c>
      <c r="AD136" s="464">
        <f t="shared" si="137"/>
        <v>0</v>
      </c>
      <c r="AE136" s="464">
        <f t="shared" si="138"/>
        <v>0</v>
      </c>
      <c r="AF136" s="464">
        <f t="shared" si="139"/>
        <v>0</v>
      </c>
      <c r="AG136" s="464">
        <f t="shared" si="140"/>
        <v>0</v>
      </c>
      <c r="AH136" s="464">
        <f t="shared" si="141"/>
        <v>0</v>
      </c>
      <c r="AI136" s="464">
        <f t="shared" si="141"/>
        <v>0</v>
      </c>
    </row>
    <row r="137" spans="1:35" ht="15.75" thickBot="1" x14ac:dyDescent="0.3">
      <c r="A137" s="805" t="s">
        <v>172</v>
      </c>
      <c r="B137" s="806"/>
      <c r="C137" s="254">
        <f t="shared" ref="C137:S137" si="156">SUM(C135:C136)</f>
        <v>264110</v>
      </c>
      <c r="D137" s="254">
        <f t="shared" si="156"/>
        <v>264110</v>
      </c>
      <c r="E137" s="254">
        <f t="shared" si="156"/>
        <v>264110</v>
      </c>
      <c r="F137" s="254">
        <f t="shared" si="156"/>
        <v>264110</v>
      </c>
      <c r="G137" s="254">
        <f t="shared" si="156"/>
        <v>264110</v>
      </c>
      <c r="H137" s="254">
        <f t="shared" si="156"/>
        <v>264110</v>
      </c>
      <c r="I137" s="254">
        <f t="shared" si="156"/>
        <v>264110</v>
      </c>
      <c r="J137" s="254">
        <f t="shared" ref="J137:P137" si="157">SUM(J135:J136)</f>
        <v>264110</v>
      </c>
      <c r="K137" s="254">
        <f t="shared" si="157"/>
        <v>264110</v>
      </c>
      <c r="L137" s="254">
        <f t="shared" si="157"/>
        <v>264110</v>
      </c>
      <c r="M137" s="254">
        <f t="shared" si="157"/>
        <v>264110</v>
      </c>
      <c r="N137" s="254">
        <f t="shared" si="157"/>
        <v>264110</v>
      </c>
      <c r="O137" s="254">
        <f t="shared" si="157"/>
        <v>269110</v>
      </c>
      <c r="P137" s="254">
        <f t="shared" si="157"/>
        <v>269110</v>
      </c>
      <c r="Q137" s="254">
        <f t="shared" ref="Q137:R137" si="158">SUM(Q135:Q136)</f>
        <v>269110</v>
      </c>
      <c r="R137" s="254">
        <f t="shared" si="158"/>
        <v>269110</v>
      </c>
      <c r="S137" s="254">
        <f t="shared" si="156"/>
        <v>173944</v>
      </c>
      <c r="T137" s="655">
        <f t="shared" si="147"/>
        <v>0.64636765634870497</v>
      </c>
      <c r="U137" s="464">
        <f t="shared" si="128"/>
        <v>0</v>
      </c>
      <c r="V137" s="464">
        <f t="shared" si="129"/>
        <v>0</v>
      </c>
      <c r="W137" s="464">
        <f t="shared" si="130"/>
        <v>0</v>
      </c>
      <c r="X137" s="464">
        <f t="shared" si="131"/>
        <v>0</v>
      </c>
      <c r="Y137" s="464">
        <f t="shared" si="132"/>
        <v>0</v>
      </c>
      <c r="Z137" s="464">
        <f t="shared" si="133"/>
        <v>0</v>
      </c>
      <c r="AA137" s="464">
        <f t="shared" si="134"/>
        <v>0</v>
      </c>
      <c r="AB137" s="464">
        <f t="shared" si="135"/>
        <v>0</v>
      </c>
      <c r="AC137" s="464">
        <f t="shared" si="136"/>
        <v>0</v>
      </c>
      <c r="AD137" s="464">
        <f t="shared" si="137"/>
        <v>0</v>
      </c>
      <c r="AE137" s="464">
        <f t="shared" si="138"/>
        <v>0</v>
      </c>
      <c r="AF137" s="464">
        <f t="shared" si="139"/>
        <v>5000</v>
      </c>
      <c r="AG137" s="464">
        <f t="shared" si="140"/>
        <v>0</v>
      </c>
      <c r="AH137" s="464">
        <f t="shared" si="141"/>
        <v>0</v>
      </c>
      <c r="AI137" s="464">
        <f t="shared" si="141"/>
        <v>0</v>
      </c>
    </row>
    <row r="138" spans="1:35" ht="18" customHeight="1" thickBot="1" x14ac:dyDescent="0.3">
      <c r="A138" s="827" t="s">
        <v>173</v>
      </c>
      <c r="B138" s="828"/>
      <c r="C138" s="257">
        <f t="shared" ref="C138:S138" si="159">C134+C137</f>
        <v>836110</v>
      </c>
      <c r="D138" s="257">
        <f t="shared" si="159"/>
        <v>836110</v>
      </c>
      <c r="E138" s="257">
        <f t="shared" si="159"/>
        <v>857929</v>
      </c>
      <c r="F138" s="257">
        <f t="shared" si="159"/>
        <v>859329</v>
      </c>
      <c r="G138" s="257">
        <f t="shared" si="159"/>
        <v>859329</v>
      </c>
      <c r="H138" s="257">
        <f t="shared" si="159"/>
        <v>860067</v>
      </c>
      <c r="I138" s="257">
        <f t="shared" si="159"/>
        <v>860067</v>
      </c>
      <c r="J138" s="257">
        <f t="shared" si="159"/>
        <v>863288</v>
      </c>
      <c r="K138" s="257">
        <f t="shared" si="159"/>
        <v>863288</v>
      </c>
      <c r="L138" s="257">
        <f t="shared" si="159"/>
        <v>863538</v>
      </c>
      <c r="M138" s="257">
        <f t="shared" si="159"/>
        <v>863538</v>
      </c>
      <c r="N138" s="257">
        <f t="shared" si="159"/>
        <v>869592</v>
      </c>
      <c r="O138" s="257">
        <f t="shared" si="159"/>
        <v>875592</v>
      </c>
      <c r="P138" s="257">
        <f t="shared" si="159"/>
        <v>875592</v>
      </c>
      <c r="Q138" s="257">
        <f t="shared" ref="Q138:R138" si="160">Q134+Q137</f>
        <v>898803</v>
      </c>
      <c r="R138" s="257">
        <f t="shared" si="160"/>
        <v>898803</v>
      </c>
      <c r="S138" s="257">
        <f t="shared" si="159"/>
        <v>622466</v>
      </c>
      <c r="T138" s="655">
        <f t="shared" si="147"/>
        <v>0.71090873374813845</v>
      </c>
      <c r="U138" s="464">
        <f t="shared" si="128"/>
        <v>0</v>
      </c>
      <c r="V138" s="464">
        <f t="shared" si="129"/>
        <v>21819</v>
      </c>
      <c r="W138" s="464">
        <f t="shared" si="130"/>
        <v>1400</v>
      </c>
      <c r="X138" s="464">
        <f t="shared" si="131"/>
        <v>0</v>
      </c>
      <c r="Y138" s="464">
        <f t="shared" si="132"/>
        <v>738</v>
      </c>
      <c r="Z138" s="464">
        <f t="shared" si="133"/>
        <v>0</v>
      </c>
      <c r="AA138" s="464">
        <f t="shared" si="134"/>
        <v>3221</v>
      </c>
      <c r="AB138" s="464">
        <f t="shared" si="135"/>
        <v>0</v>
      </c>
      <c r="AC138" s="464">
        <f t="shared" si="136"/>
        <v>250</v>
      </c>
      <c r="AD138" s="464">
        <f t="shared" si="137"/>
        <v>0</v>
      </c>
      <c r="AE138" s="464">
        <f t="shared" si="138"/>
        <v>6054</v>
      </c>
      <c r="AF138" s="464">
        <f t="shared" si="139"/>
        <v>6000</v>
      </c>
      <c r="AG138" s="464">
        <f t="shared" si="140"/>
        <v>0</v>
      </c>
      <c r="AH138" s="464">
        <f t="shared" si="141"/>
        <v>23211</v>
      </c>
      <c r="AI138" s="464">
        <f t="shared" si="141"/>
        <v>0</v>
      </c>
    </row>
    <row r="139" spans="1:35" ht="24" customHeight="1" thickBot="1" x14ac:dyDescent="0.3">
      <c r="A139" s="258" t="s">
        <v>174</v>
      </c>
      <c r="B139" s="144"/>
      <c r="C139" s="261">
        <f t="shared" ref="C139:S139" si="161">C128+C138</f>
        <v>2340678</v>
      </c>
      <c r="D139" s="261">
        <f t="shared" si="161"/>
        <v>2340678</v>
      </c>
      <c r="E139" s="261">
        <f t="shared" si="161"/>
        <v>2366908</v>
      </c>
      <c r="F139" s="261">
        <f t="shared" si="161"/>
        <v>2376043</v>
      </c>
      <c r="G139" s="261">
        <f t="shared" si="161"/>
        <v>2382043</v>
      </c>
      <c r="H139" s="261">
        <f t="shared" si="161"/>
        <v>2385981</v>
      </c>
      <c r="I139" s="261">
        <f t="shared" si="161"/>
        <v>2396881</v>
      </c>
      <c r="J139" s="261">
        <f t="shared" si="161"/>
        <v>2403102</v>
      </c>
      <c r="K139" s="261">
        <f t="shared" si="161"/>
        <v>2403445</v>
      </c>
      <c r="L139" s="261">
        <f t="shared" si="161"/>
        <v>2404895</v>
      </c>
      <c r="M139" s="261">
        <f t="shared" si="161"/>
        <v>2411095</v>
      </c>
      <c r="N139" s="261">
        <f t="shared" si="161"/>
        <v>2430751</v>
      </c>
      <c r="O139" s="261">
        <f t="shared" si="161"/>
        <v>2447528</v>
      </c>
      <c r="P139" s="261">
        <f t="shared" si="161"/>
        <v>2447528</v>
      </c>
      <c r="Q139" s="261">
        <f t="shared" ref="Q139:R139" si="162">Q128+Q138</f>
        <v>2470739</v>
      </c>
      <c r="R139" s="261">
        <f t="shared" si="162"/>
        <v>2470739</v>
      </c>
      <c r="S139" s="261">
        <f t="shared" si="161"/>
        <v>1403970</v>
      </c>
      <c r="T139" s="655">
        <f t="shared" si="147"/>
        <v>0.57362775829326573</v>
      </c>
      <c r="U139" s="464">
        <f t="shared" si="128"/>
        <v>0</v>
      </c>
      <c r="V139" s="464">
        <f t="shared" si="129"/>
        <v>26230</v>
      </c>
      <c r="W139" s="464">
        <f t="shared" si="130"/>
        <v>9135</v>
      </c>
      <c r="X139" s="464">
        <f t="shared" si="131"/>
        <v>6000</v>
      </c>
      <c r="Y139" s="464">
        <f t="shared" si="132"/>
        <v>3938</v>
      </c>
      <c r="Z139" s="464">
        <f t="shared" si="133"/>
        <v>10900</v>
      </c>
      <c r="AA139" s="464">
        <f t="shared" si="134"/>
        <v>6221</v>
      </c>
      <c r="AB139" s="464">
        <f t="shared" si="135"/>
        <v>343</v>
      </c>
      <c r="AC139" s="464">
        <f t="shared" si="136"/>
        <v>1450</v>
      </c>
      <c r="AD139" s="464">
        <f t="shared" si="137"/>
        <v>6200</v>
      </c>
      <c r="AE139" s="464">
        <f t="shared" si="138"/>
        <v>19656</v>
      </c>
      <c r="AF139" s="464">
        <f t="shared" si="139"/>
        <v>16777</v>
      </c>
      <c r="AG139" s="464">
        <f t="shared" si="140"/>
        <v>0</v>
      </c>
      <c r="AH139" s="464">
        <f t="shared" si="141"/>
        <v>23211</v>
      </c>
      <c r="AI139" s="464">
        <f t="shared" si="141"/>
        <v>0</v>
      </c>
    </row>
    <row r="140" spans="1:3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655"/>
    </row>
    <row r="141" spans="1:3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655"/>
    </row>
    <row r="142" spans="1:35" ht="18.75" thickBot="1" x14ac:dyDescent="0.3">
      <c r="A142" s="829" t="s">
        <v>175</v>
      </c>
      <c r="B142" s="830"/>
      <c r="C142" s="830"/>
      <c r="D142" s="830"/>
      <c r="E142" s="830"/>
      <c r="F142" s="830"/>
      <c r="G142" s="830"/>
      <c r="H142" s="830"/>
      <c r="I142" s="830"/>
      <c r="J142" s="830"/>
      <c r="K142" s="830"/>
      <c r="L142" s="830"/>
      <c r="M142" s="830"/>
      <c r="N142" s="830"/>
      <c r="O142" s="830"/>
      <c r="P142" s="830"/>
      <c r="Q142" s="830"/>
      <c r="R142" s="830"/>
      <c r="S142" s="830"/>
      <c r="T142" s="655"/>
      <c r="U142" s="1"/>
    </row>
    <row r="143" spans="1:35" ht="36.75" customHeight="1" thickBot="1" x14ac:dyDescent="0.3">
      <c r="A143" s="819" t="s">
        <v>1</v>
      </c>
      <c r="B143" s="831"/>
      <c r="C143" s="416" t="s">
        <v>376</v>
      </c>
      <c r="D143" s="416" t="s">
        <v>509</v>
      </c>
      <c r="E143" s="416" t="s">
        <v>511</v>
      </c>
      <c r="F143" s="416" t="s">
        <v>512</v>
      </c>
      <c r="G143" s="416" t="s">
        <v>377</v>
      </c>
      <c r="H143" s="416" t="s">
        <v>541</v>
      </c>
      <c r="I143" s="416" t="s">
        <v>497</v>
      </c>
      <c r="J143" s="416" t="s">
        <v>556</v>
      </c>
      <c r="K143" s="416" t="s">
        <v>561</v>
      </c>
      <c r="L143" s="416" t="s">
        <v>605</v>
      </c>
      <c r="M143" s="416" t="s">
        <v>606</v>
      </c>
      <c r="N143" s="416" t="s">
        <v>678</v>
      </c>
      <c r="O143" s="416" t="s">
        <v>679</v>
      </c>
      <c r="P143" s="416" t="s">
        <v>704</v>
      </c>
      <c r="Q143" s="416" t="s">
        <v>727</v>
      </c>
      <c r="R143" s="416" t="s">
        <v>728</v>
      </c>
      <c r="S143" s="416" t="s">
        <v>717</v>
      </c>
      <c r="T143" s="655"/>
      <c r="U143" s="1"/>
    </row>
    <row r="144" spans="1:35" ht="16.5" thickBot="1" x14ac:dyDescent="0.3">
      <c r="A144" s="832" t="s">
        <v>176</v>
      </c>
      <c r="B144" s="833"/>
      <c r="C144" s="262">
        <f t="shared" ref="C144:S144" si="163">SUM(C145:C153)</f>
        <v>774720</v>
      </c>
      <c r="D144" s="262">
        <f t="shared" si="163"/>
        <v>774720</v>
      </c>
      <c r="E144" s="262">
        <f t="shared" si="163"/>
        <v>774720</v>
      </c>
      <c r="F144" s="262">
        <f t="shared" si="163"/>
        <v>774720</v>
      </c>
      <c r="G144" s="262">
        <f t="shared" si="163"/>
        <v>778710</v>
      </c>
      <c r="H144" s="262">
        <f t="shared" si="163"/>
        <v>778710</v>
      </c>
      <c r="I144" s="262">
        <f t="shared" si="163"/>
        <v>781210</v>
      </c>
      <c r="J144" s="262">
        <f t="shared" si="163"/>
        <v>781210</v>
      </c>
      <c r="K144" s="262">
        <f t="shared" si="163"/>
        <v>781210</v>
      </c>
      <c r="L144" s="262">
        <f t="shared" si="163"/>
        <v>781210</v>
      </c>
      <c r="M144" s="262">
        <f t="shared" si="163"/>
        <v>781210</v>
      </c>
      <c r="N144" s="262">
        <f t="shared" si="163"/>
        <v>781210</v>
      </c>
      <c r="O144" s="262">
        <f t="shared" si="163"/>
        <v>781210</v>
      </c>
      <c r="P144" s="262">
        <f t="shared" si="163"/>
        <v>781210</v>
      </c>
      <c r="Q144" s="262">
        <f t="shared" ref="Q144:R144" si="164">SUM(Q145:Q153)</f>
        <v>781210</v>
      </c>
      <c r="R144" s="262">
        <f t="shared" si="164"/>
        <v>784210</v>
      </c>
      <c r="S144" s="262">
        <f t="shared" si="163"/>
        <v>49456</v>
      </c>
      <c r="T144" s="655">
        <f t="shared" si="147"/>
        <v>6.3306921314371295E-2</v>
      </c>
      <c r="U144" s="464">
        <f t="shared" ref="U144:AG144" si="165">D144-C144</f>
        <v>0</v>
      </c>
      <c r="V144" s="464">
        <f t="shared" si="165"/>
        <v>0</v>
      </c>
      <c r="W144" s="464">
        <f t="shared" si="165"/>
        <v>0</v>
      </c>
      <c r="X144" s="464">
        <f t="shared" si="165"/>
        <v>3990</v>
      </c>
      <c r="Y144" s="464">
        <f t="shared" si="165"/>
        <v>0</v>
      </c>
      <c r="Z144" s="464">
        <f t="shared" si="165"/>
        <v>2500</v>
      </c>
      <c r="AA144" s="464">
        <f t="shared" si="165"/>
        <v>0</v>
      </c>
      <c r="AB144" s="464">
        <f t="shared" si="165"/>
        <v>0</v>
      </c>
      <c r="AC144" s="464">
        <f t="shared" si="165"/>
        <v>0</v>
      </c>
      <c r="AD144" s="464">
        <f t="shared" si="165"/>
        <v>0</v>
      </c>
      <c r="AE144" s="464">
        <f t="shared" si="165"/>
        <v>0</v>
      </c>
      <c r="AF144" s="464">
        <f t="shared" si="165"/>
        <v>0</v>
      </c>
      <c r="AG144" s="464">
        <f t="shared" si="165"/>
        <v>0</v>
      </c>
      <c r="AH144" s="464">
        <f t="shared" ref="AH144:AI144" si="166">Q144-P144</f>
        <v>0</v>
      </c>
      <c r="AI144" s="464">
        <f t="shared" si="166"/>
        <v>3000</v>
      </c>
    </row>
    <row r="145" spans="1:35" x14ac:dyDescent="0.25">
      <c r="A145" s="627">
        <v>231</v>
      </c>
      <c r="B145" s="628" t="s">
        <v>382</v>
      </c>
      <c r="C145" s="629">
        <v>0</v>
      </c>
      <c r="D145" s="629">
        <v>0</v>
      </c>
      <c r="E145" s="630">
        <f>2000</f>
        <v>2000</v>
      </c>
      <c r="F145" s="630">
        <f>2000-2000</f>
        <v>0</v>
      </c>
      <c r="G145" s="630">
        <f>2000-2000+3990</f>
        <v>3990</v>
      </c>
      <c r="H145" s="629">
        <f>2000-2000+3990</f>
        <v>3990</v>
      </c>
      <c r="I145" s="629">
        <f>2000-2000+3990</f>
        <v>3990</v>
      </c>
      <c r="J145" s="629">
        <f>2000-2000+3990</f>
        <v>3990</v>
      </c>
      <c r="K145" s="629">
        <f>2000-2000+3990</f>
        <v>3990</v>
      </c>
      <c r="L145" s="629">
        <f t="shared" ref="L145:R145" si="167">2000-2000+3990</f>
        <v>3990</v>
      </c>
      <c r="M145" s="629">
        <f t="shared" si="167"/>
        <v>3990</v>
      </c>
      <c r="N145" s="629">
        <f t="shared" si="167"/>
        <v>3990</v>
      </c>
      <c r="O145" s="629">
        <f t="shared" si="167"/>
        <v>3990</v>
      </c>
      <c r="P145" s="629">
        <f t="shared" si="167"/>
        <v>3990</v>
      </c>
      <c r="Q145" s="629">
        <f t="shared" si="167"/>
        <v>3990</v>
      </c>
      <c r="R145" s="630">
        <f>2000-2000+3990+10</f>
        <v>4000</v>
      </c>
      <c r="S145" s="629">
        <v>3990</v>
      </c>
      <c r="T145" s="655">
        <f t="shared" si="147"/>
        <v>1</v>
      </c>
    </row>
    <row r="146" spans="1:35" ht="15.75" thickBot="1" x14ac:dyDescent="0.3">
      <c r="A146" s="3">
        <v>233</v>
      </c>
      <c r="B146" s="328" t="s">
        <v>177</v>
      </c>
      <c r="C146" s="626">
        <v>3000</v>
      </c>
      <c r="D146" s="626">
        <v>3000</v>
      </c>
      <c r="E146" s="729">
        <f>3000-2000</f>
        <v>1000</v>
      </c>
      <c r="F146" s="729">
        <f t="shared" ref="F146:Q146" si="168">3000-2000+2000</f>
        <v>3000</v>
      </c>
      <c r="G146" s="626">
        <f t="shared" si="168"/>
        <v>3000</v>
      </c>
      <c r="H146" s="626">
        <f t="shared" si="168"/>
        <v>3000</v>
      </c>
      <c r="I146" s="626">
        <f t="shared" si="168"/>
        <v>3000</v>
      </c>
      <c r="J146" s="626">
        <f t="shared" si="168"/>
        <v>3000</v>
      </c>
      <c r="K146" s="626">
        <f t="shared" si="168"/>
        <v>3000</v>
      </c>
      <c r="L146" s="626">
        <f t="shared" si="168"/>
        <v>3000</v>
      </c>
      <c r="M146" s="626">
        <f t="shared" si="168"/>
        <v>3000</v>
      </c>
      <c r="N146" s="626">
        <f t="shared" si="168"/>
        <v>3000</v>
      </c>
      <c r="O146" s="626">
        <f t="shared" si="168"/>
        <v>3000</v>
      </c>
      <c r="P146" s="626">
        <f t="shared" si="168"/>
        <v>3000</v>
      </c>
      <c r="Q146" s="626">
        <f t="shared" si="168"/>
        <v>3000</v>
      </c>
      <c r="R146" s="729">
        <f>3000-2000+2000+2990</f>
        <v>5990</v>
      </c>
      <c r="S146" s="626"/>
      <c r="T146" s="655">
        <f t="shared" si="147"/>
        <v>0</v>
      </c>
      <c r="U146" s="1"/>
    </row>
    <row r="147" spans="1:35" ht="15.75" thickBot="1" x14ac:dyDescent="0.3">
      <c r="A147" s="442">
        <v>321</v>
      </c>
      <c r="B147" s="443" t="s">
        <v>262</v>
      </c>
      <c r="C147" s="458">
        <v>5000</v>
      </c>
      <c r="D147" s="458">
        <v>5000</v>
      </c>
      <c r="E147" s="458">
        <v>5000</v>
      </c>
      <c r="F147" s="458">
        <v>5000</v>
      </c>
      <c r="G147" s="458">
        <v>5000</v>
      </c>
      <c r="H147" s="458">
        <v>5000</v>
      </c>
      <c r="I147" s="458">
        <v>5000</v>
      </c>
      <c r="J147" s="458">
        <v>5000</v>
      </c>
      <c r="K147" s="458">
        <v>5000</v>
      </c>
      <c r="L147" s="458">
        <v>5000</v>
      </c>
      <c r="M147" s="458">
        <v>5000</v>
      </c>
      <c r="N147" s="458">
        <v>5000</v>
      </c>
      <c r="O147" s="458">
        <v>5000</v>
      </c>
      <c r="P147" s="458">
        <v>5000</v>
      </c>
      <c r="Q147" s="458">
        <v>5000</v>
      </c>
      <c r="R147" s="458">
        <v>5000</v>
      </c>
      <c r="S147" s="458">
        <v>120</v>
      </c>
      <c r="T147" s="655">
        <f t="shared" si="147"/>
        <v>2.4E-2</v>
      </c>
      <c r="U147" s="642">
        <f>SUM(G145:G147)</f>
        <v>11990</v>
      </c>
      <c r="V147" s="656">
        <f>U147+G178</f>
        <v>11990</v>
      </c>
    </row>
    <row r="148" spans="1:35" x14ac:dyDescent="0.25">
      <c r="A148" s="265">
        <v>322</v>
      </c>
      <c r="B148" s="292" t="s">
        <v>415</v>
      </c>
      <c r="C148" s="412">
        <v>0</v>
      </c>
      <c r="D148" s="412">
        <v>0</v>
      </c>
      <c r="E148" s="412">
        <v>0</v>
      </c>
      <c r="F148" s="412">
        <v>0</v>
      </c>
      <c r="G148" s="412">
        <v>0</v>
      </c>
      <c r="H148" s="412">
        <v>0</v>
      </c>
      <c r="I148" s="412">
        <v>0</v>
      </c>
      <c r="J148" s="412">
        <v>0</v>
      </c>
      <c r="K148" s="412">
        <v>0</v>
      </c>
      <c r="L148" s="412">
        <v>0</v>
      </c>
      <c r="M148" s="412">
        <v>0</v>
      </c>
      <c r="N148" s="412">
        <v>0</v>
      </c>
      <c r="O148" s="412">
        <v>0</v>
      </c>
      <c r="P148" s="412">
        <v>0</v>
      </c>
      <c r="Q148" s="412">
        <v>0</v>
      </c>
      <c r="R148" s="412">
        <v>0</v>
      </c>
      <c r="S148" s="412"/>
      <c r="T148" s="655">
        <v>0</v>
      </c>
      <c r="U148" s="1"/>
    </row>
    <row r="149" spans="1:35" x14ac:dyDescent="0.25">
      <c r="A149" s="268">
        <v>322</v>
      </c>
      <c r="B149" s="72" t="s">
        <v>181</v>
      </c>
      <c r="C149" s="270">
        <v>300000</v>
      </c>
      <c r="D149" s="270">
        <v>300000</v>
      </c>
      <c r="E149" s="270">
        <v>300000</v>
      </c>
      <c r="F149" s="270">
        <v>300000</v>
      </c>
      <c r="G149" s="270">
        <v>300000</v>
      </c>
      <c r="H149" s="270">
        <v>300000</v>
      </c>
      <c r="I149" s="270">
        <v>300000</v>
      </c>
      <c r="J149" s="270">
        <v>300000</v>
      </c>
      <c r="K149" s="270">
        <v>300000</v>
      </c>
      <c r="L149" s="270">
        <v>300000</v>
      </c>
      <c r="M149" s="270">
        <v>300000</v>
      </c>
      <c r="N149" s="270">
        <v>300000</v>
      </c>
      <c r="O149" s="270">
        <v>300000</v>
      </c>
      <c r="P149" s="270">
        <v>300000</v>
      </c>
      <c r="Q149" s="270">
        <v>300000</v>
      </c>
      <c r="R149" s="270">
        <v>300000</v>
      </c>
      <c r="S149" s="270"/>
      <c r="T149" s="655">
        <f t="shared" si="147"/>
        <v>0</v>
      </c>
      <c r="U149" s="1"/>
    </row>
    <row r="150" spans="1:35" x14ac:dyDescent="0.25">
      <c r="A150" s="265">
        <v>322</v>
      </c>
      <c r="B150" s="72" t="s">
        <v>263</v>
      </c>
      <c r="C150" s="270">
        <v>15000</v>
      </c>
      <c r="D150" s="270">
        <v>15000</v>
      </c>
      <c r="E150" s="270">
        <v>15000</v>
      </c>
      <c r="F150" s="270">
        <v>15000</v>
      </c>
      <c r="G150" s="270">
        <v>15000</v>
      </c>
      <c r="H150" s="270">
        <v>15000</v>
      </c>
      <c r="I150" s="270">
        <v>15000</v>
      </c>
      <c r="J150" s="270">
        <v>15000</v>
      </c>
      <c r="K150" s="270">
        <v>15000</v>
      </c>
      <c r="L150" s="270">
        <v>15000</v>
      </c>
      <c r="M150" s="270">
        <v>15000</v>
      </c>
      <c r="N150" s="270">
        <v>15000</v>
      </c>
      <c r="O150" s="270">
        <v>15000</v>
      </c>
      <c r="P150" s="270">
        <v>15000</v>
      </c>
      <c r="Q150" s="270">
        <v>15000</v>
      </c>
      <c r="R150" s="270">
        <v>15000</v>
      </c>
      <c r="S150" s="267"/>
      <c r="T150" s="655">
        <f t="shared" si="147"/>
        <v>0</v>
      </c>
      <c r="U150" s="1"/>
    </row>
    <row r="151" spans="1:35" x14ac:dyDescent="0.25">
      <c r="A151" s="271">
        <v>322</v>
      </c>
      <c r="B151" s="274" t="s">
        <v>248</v>
      </c>
      <c r="C151" s="273">
        <v>19000</v>
      </c>
      <c r="D151" s="273">
        <v>19000</v>
      </c>
      <c r="E151" s="273">
        <v>19000</v>
      </c>
      <c r="F151" s="273">
        <v>19000</v>
      </c>
      <c r="G151" s="273">
        <v>19000</v>
      </c>
      <c r="H151" s="273">
        <v>19000</v>
      </c>
      <c r="I151" s="273">
        <v>19000</v>
      </c>
      <c r="J151" s="273">
        <v>19000</v>
      </c>
      <c r="K151" s="273">
        <v>19000</v>
      </c>
      <c r="L151" s="273">
        <v>19000</v>
      </c>
      <c r="M151" s="273">
        <v>19000</v>
      </c>
      <c r="N151" s="273">
        <v>19000</v>
      </c>
      <c r="O151" s="273">
        <v>19000</v>
      </c>
      <c r="P151" s="273">
        <v>19000</v>
      </c>
      <c r="Q151" s="273">
        <v>19000</v>
      </c>
      <c r="R151" s="273">
        <v>19000</v>
      </c>
      <c r="S151" s="267"/>
      <c r="T151" s="655">
        <f t="shared" si="147"/>
        <v>0</v>
      </c>
      <c r="U151" s="1"/>
    </row>
    <row r="152" spans="1:35" x14ac:dyDescent="0.25">
      <c r="A152" s="271">
        <v>322</v>
      </c>
      <c r="B152" s="76" t="s">
        <v>242</v>
      </c>
      <c r="C152" s="273">
        <v>355220</v>
      </c>
      <c r="D152" s="273">
        <v>355220</v>
      </c>
      <c r="E152" s="273">
        <v>355220</v>
      </c>
      <c r="F152" s="273">
        <v>355220</v>
      </c>
      <c r="G152" s="273">
        <v>355220</v>
      </c>
      <c r="H152" s="273">
        <v>355220</v>
      </c>
      <c r="I152" s="273">
        <v>355220</v>
      </c>
      <c r="J152" s="273">
        <v>355220</v>
      </c>
      <c r="K152" s="273">
        <v>355220</v>
      </c>
      <c r="L152" s="273">
        <v>355220</v>
      </c>
      <c r="M152" s="273">
        <v>355220</v>
      </c>
      <c r="N152" s="273">
        <v>355220</v>
      </c>
      <c r="O152" s="273">
        <v>355220</v>
      </c>
      <c r="P152" s="273">
        <v>355220</v>
      </c>
      <c r="Q152" s="273">
        <v>355220</v>
      </c>
      <c r="R152" s="273">
        <v>355220</v>
      </c>
      <c r="S152" s="267"/>
      <c r="T152" s="655">
        <f t="shared" si="147"/>
        <v>0</v>
      </c>
      <c r="U152" s="1"/>
    </row>
    <row r="153" spans="1:35" ht="15.75" thickBot="1" x14ac:dyDescent="0.3">
      <c r="A153" s="268">
        <v>322</v>
      </c>
      <c r="B153" s="72" t="s">
        <v>243</v>
      </c>
      <c r="C153" s="270">
        <f t="shared" ref="C153:H153" si="169">166800-89300</f>
        <v>77500</v>
      </c>
      <c r="D153" s="270">
        <f t="shared" si="169"/>
        <v>77500</v>
      </c>
      <c r="E153" s="270">
        <f t="shared" si="169"/>
        <v>77500</v>
      </c>
      <c r="F153" s="270">
        <f t="shared" si="169"/>
        <v>77500</v>
      </c>
      <c r="G153" s="270">
        <f t="shared" si="169"/>
        <v>77500</v>
      </c>
      <c r="H153" s="270">
        <f t="shared" si="169"/>
        <v>77500</v>
      </c>
      <c r="I153" s="721">
        <f>166800-89300+2500</f>
        <v>80000</v>
      </c>
      <c r="J153" s="270">
        <f>166800-89300+2500</f>
        <v>80000</v>
      </c>
      <c r="K153" s="270">
        <f>166800-89300+2500</f>
        <v>80000</v>
      </c>
      <c r="L153" s="270">
        <f t="shared" ref="L153:R153" si="170">166800-89300+2500</f>
        <v>80000</v>
      </c>
      <c r="M153" s="270">
        <f t="shared" si="170"/>
        <v>80000</v>
      </c>
      <c r="N153" s="270">
        <f t="shared" si="170"/>
        <v>80000</v>
      </c>
      <c r="O153" s="270">
        <f t="shared" si="170"/>
        <v>80000</v>
      </c>
      <c r="P153" s="270">
        <f t="shared" si="170"/>
        <v>80000</v>
      </c>
      <c r="Q153" s="270">
        <f t="shared" si="170"/>
        <v>80000</v>
      </c>
      <c r="R153" s="270">
        <f t="shared" si="170"/>
        <v>80000</v>
      </c>
      <c r="S153" s="267">
        <f>45346</f>
        <v>45346</v>
      </c>
      <c r="T153" s="655">
        <f t="shared" si="147"/>
        <v>0.56682500000000002</v>
      </c>
      <c r="U153" s="642">
        <f>SUM(G148:G153)</f>
        <v>766720</v>
      </c>
    </row>
    <row r="154" spans="1:35" ht="16.5" thickBot="1" x14ac:dyDescent="0.3">
      <c r="A154" s="832" t="s">
        <v>182</v>
      </c>
      <c r="B154" s="833"/>
      <c r="C154" s="262">
        <f t="shared" ref="C154:S154" si="171">SUM(C155:C171)</f>
        <v>1267700</v>
      </c>
      <c r="D154" s="262">
        <f t="shared" si="171"/>
        <v>1267700</v>
      </c>
      <c r="E154" s="262">
        <f t="shared" si="171"/>
        <v>1267700</v>
      </c>
      <c r="F154" s="262">
        <f t="shared" si="171"/>
        <v>1267700</v>
      </c>
      <c r="G154" s="262">
        <f t="shared" si="171"/>
        <v>1267700</v>
      </c>
      <c r="H154" s="262">
        <f t="shared" si="171"/>
        <v>1267700</v>
      </c>
      <c r="I154" s="262">
        <f t="shared" si="171"/>
        <v>1270200</v>
      </c>
      <c r="J154" s="262">
        <f t="shared" si="171"/>
        <v>1270200</v>
      </c>
      <c r="K154" s="262">
        <f t="shared" si="171"/>
        <v>1274190</v>
      </c>
      <c r="L154" s="262">
        <f t="shared" si="171"/>
        <v>1274190</v>
      </c>
      <c r="M154" s="262">
        <f t="shared" si="171"/>
        <v>1275076</v>
      </c>
      <c r="N154" s="262">
        <f t="shared" si="171"/>
        <v>1275076</v>
      </c>
      <c r="O154" s="262">
        <f t="shared" si="171"/>
        <v>1275076</v>
      </c>
      <c r="P154" s="262">
        <f t="shared" si="171"/>
        <v>1275076</v>
      </c>
      <c r="Q154" s="262">
        <f t="shared" ref="Q154:R154" si="172">SUM(Q155:Q171)</f>
        <v>1275076</v>
      </c>
      <c r="R154" s="262">
        <f t="shared" si="172"/>
        <v>1275076</v>
      </c>
      <c r="S154" s="262">
        <f t="shared" si="171"/>
        <v>108138</v>
      </c>
      <c r="T154" s="655">
        <f t="shared" si="147"/>
        <v>8.4809062361772949E-2</v>
      </c>
      <c r="U154" s="642">
        <f>C154-C144</f>
        <v>492980</v>
      </c>
      <c r="V154" s="27"/>
      <c r="W154" s="27"/>
    </row>
    <row r="155" spans="1:35" x14ac:dyDescent="0.25">
      <c r="A155" s="286" t="s">
        <v>96</v>
      </c>
      <c r="B155" s="275" t="s">
        <v>186</v>
      </c>
      <c r="C155" s="287">
        <v>1500</v>
      </c>
      <c r="D155" s="287">
        <v>1500</v>
      </c>
      <c r="E155" s="287">
        <v>1500</v>
      </c>
      <c r="F155" s="287">
        <v>1500</v>
      </c>
      <c r="G155" s="287">
        <v>1500</v>
      </c>
      <c r="H155" s="287">
        <v>1500</v>
      </c>
      <c r="I155" s="287">
        <v>1500</v>
      </c>
      <c r="J155" s="287">
        <v>1500</v>
      </c>
      <c r="K155" s="287">
        <v>1500</v>
      </c>
      <c r="L155" s="287">
        <v>1500</v>
      </c>
      <c r="M155" s="287">
        <v>1500</v>
      </c>
      <c r="N155" s="287">
        <v>1500</v>
      </c>
      <c r="O155" s="287">
        <v>1500</v>
      </c>
      <c r="P155" s="287">
        <v>1500</v>
      </c>
      <c r="Q155" s="287">
        <v>1500</v>
      </c>
      <c r="R155" s="287">
        <v>1500</v>
      </c>
      <c r="S155" s="287"/>
      <c r="T155" s="655">
        <f t="shared" si="147"/>
        <v>0</v>
      </c>
      <c r="U155" s="27">
        <f t="shared" ref="U155:AG155" si="173">D154-C154</f>
        <v>0</v>
      </c>
      <c r="V155" s="27">
        <f t="shared" si="173"/>
        <v>0</v>
      </c>
      <c r="W155" s="27">
        <f t="shared" si="173"/>
        <v>0</v>
      </c>
      <c r="X155" s="27">
        <f t="shared" si="173"/>
        <v>0</v>
      </c>
      <c r="Y155" s="27">
        <f t="shared" si="173"/>
        <v>0</v>
      </c>
      <c r="Z155" s="27">
        <f t="shared" si="173"/>
        <v>2500</v>
      </c>
      <c r="AA155" s="27">
        <f t="shared" si="173"/>
        <v>0</v>
      </c>
      <c r="AB155" s="27">
        <f t="shared" si="173"/>
        <v>3990</v>
      </c>
      <c r="AC155" s="27">
        <f t="shared" si="173"/>
        <v>0</v>
      </c>
      <c r="AD155" s="27">
        <f t="shared" si="173"/>
        <v>886</v>
      </c>
      <c r="AE155" s="27">
        <f t="shared" si="173"/>
        <v>0</v>
      </c>
      <c r="AF155" s="27">
        <f t="shared" si="173"/>
        <v>0</v>
      </c>
      <c r="AG155" s="27">
        <f t="shared" si="173"/>
        <v>0</v>
      </c>
      <c r="AH155" s="27">
        <f t="shared" ref="AH155:AI155" si="174">Q154-P154</f>
        <v>0</v>
      </c>
      <c r="AI155" s="27">
        <f t="shared" si="174"/>
        <v>0</v>
      </c>
    </row>
    <row r="156" spans="1:35" ht="15.75" thickBot="1" x14ac:dyDescent="0.3">
      <c r="A156" s="282" t="s">
        <v>98</v>
      </c>
      <c r="B156" s="408" t="s">
        <v>245</v>
      </c>
      <c r="C156" s="284">
        <v>20600</v>
      </c>
      <c r="D156" s="284">
        <v>20600</v>
      </c>
      <c r="E156" s="284">
        <v>20600</v>
      </c>
      <c r="F156" s="284">
        <v>20600</v>
      </c>
      <c r="G156" s="284">
        <v>20600</v>
      </c>
      <c r="H156" s="284">
        <v>20600</v>
      </c>
      <c r="I156" s="284">
        <v>20600</v>
      </c>
      <c r="J156" s="284">
        <v>20600</v>
      </c>
      <c r="K156" s="284">
        <v>20600</v>
      </c>
      <c r="L156" s="284">
        <v>20600</v>
      </c>
      <c r="M156" s="284">
        <v>20600</v>
      </c>
      <c r="N156" s="284">
        <v>20600</v>
      </c>
      <c r="O156" s="284">
        <v>20600</v>
      </c>
      <c r="P156" s="284">
        <v>20600</v>
      </c>
      <c r="Q156" s="284">
        <v>20600</v>
      </c>
      <c r="R156" s="284">
        <v>20600</v>
      </c>
      <c r="S156" s="284">
        <v>20321</v>
      </c>
      <c r="T156" s="655">
        <f t="shared" si="147"/>
        <v>0.9864563106796117</v>
      </c>
      <c r="U156" s="27"/>
    </row>
    <row r="157" spans="1:35" ht="15.75" thickBot="1" x14ac:dyDescent="0.3">
      <c r="A157" s="657" t="s">
        <v>103</v>
      </c>
      <c r="B157" s="658" t="s">
        <v>241</v>
      </c>
      <c r="C157" s="411">
        <v>325000</v>
      </c>
      <c r="D157" s="411">
        <v>325000</v>
      </c>
      <c r="E157" s="411">
        <v>325000</v>
      </c>
      <c r="F157" s="411">
        <v>325000</v>
      </c>
      <c r="G157" s="411">
        <v>325000</v>
      </c>
      <c r="H157" s="411">
        <v>325000</v>
      </c>
      <c r="I157" s="411">
        <v>325000</v>
      </c>
      <c r="J157" s="411">
        <v>325000</v>
      </c>
      <c r="K157" s="411">
        <f>325000</f>
        <v>325000</v>
      </c>
      <c r="L157" s="411">
        <f t="shared" ref="L157" si="175">325000</f>
        <v>325000</v>
      </c>
      <c r="M157" s="411">
        <f>325000</f>
        <v>325000</v>
      </c>
      <c r="N157" s="411">
        <f t="shared" ref="N157:R157" si="176">325000</f>
        <v>325000</v>
      </c>
      <c r="O157" s="411">
        <f t="shared" si="176"/>
        <v>325000</v>
      </c>
      <c r="P157" s="411">
        <f t="shared" si="176"/>
        <v>325000</v>
      </c>
      <c r="Q157" s="411">
        <f t="shared" si="176"/>
        <v>325000</v>
      </c>
      <c r="R157" s="411">
        <f t="shared" si="176"/>
        <v>325000</v>
      </c>
      <c r="S157" s="411"/>
      <c r="T157" s="655">
        <f t="shared" si="147"/>
        <v>0</v>
      </c>
      <c r="U157" s="1"/>
    </row>
    <row r="158" spans="1:35" x14ac:dyDescent="0.25">
      <c r="A158" s="288" t="s">
        <v>190</v>
      </c>
      <c r="B158" s="289" t="s">
        <v>191</v>
      </c>
      <c r="C158" s="290">
        <v>43000</v>
      </c>
      <c r="D158" s="290">
        <v>43000</v>
      </c>
      <c r="E158" s="290">
        <v>43000</v>
      </c>
      <c r="F158" s="290">
        <v>43000</v>
      </c>
      <c r="G158" s="716">
        <f>43000-18000</f>
        <v>25000</v>
      </c>
      <c r="H158" s="290">
        <f>43000-18000</f>
        <v>25000</v>
      </c>
      <c r="I158" s="290">
        <f>43000-18000</f>
        <v>25000</v>
      </c>
      <c r="J158" s="290">
        <f>43000-18000</f>
        <v>25000</v>
      </c>
      <c r="K158" s="290">
        <f>43000-18000</f>
        <v>25000</v>
      </c>
      <c r="L158" s="290">
        <f t="shared" ref="L158:N158" si="177">43000-18000</f>
        <v>25000</v>
      </c>
      <c r="M158" s="290">
        <f t="shared" si="177"/>
        <v>25000</v>
      </c>
      <c r="N158" s="290">
        <f t="shared" si="177"/>
        <v>25000</v>
      </c>
      <c r="O158" s="290">
        <f>43000-18000</f>
        <v>25000</v>
      </c>
      <c r="P158" s="290">
        <f>43000-18000</f>
        <v>25000</v>
      </c>
      <c r="Q158" s="290">
        <f t="shared" ref="Q158:R158" si="178">43000-18000</f>
        <v>25000</v>
      </c>
      <c r="R158" s="290">
        <f t="shared" si="178"/>
        <v>25000</v>
      </c>
      <c r="S158" s="290"/>
      <c r="T158" s="655">
        <f t="shared" si="147"/>
        <v>0</v>
      </c>
      <c r="U158" s="1"/>
    </row>
    <row r="159" spans="1:35" x14ac:dyDescent="0.25">
      <c r="A159" s="297" t="s">
        <v>190</v>
      </c>
      <c r="B159" s="294" t="s">
        <v>247</v>
      </c>
      <c r="C159" s="281">
        <v>29000</v>
      </c>
      <c r="D159" s="281">
        <v>29000</v>
      </c>
      <c r="E159" s="281">
        <v>29000</v>
      </c>
      <c r="F159" s="281">
        <v>29000</v>
      </c>
      <c r="G159" s="281">
        <v>29000</v>
      </c>
      <c r="H159" s="281">
        <v>29000</v>
      </c>
      <c r="I159" s="281">
        <v>29000</v>
      </c>
      <c r="J159" s="281">
        <v>29000</v>
      </c>
      <c r="K159" s="636">
        <f>29000+1490</f>
        <v>30490</v>
      </c>
      <c r="L159" s="281">
        <f t="shared" ref="L159" si="179">29000+1490</f>
        <v>30490</v>
      </c>
      <c r="M159" s="636">
        <f>29000+1490+500</f>
        <v>30990</v>
      </c>
      <c r="N159" s="281">
        <f t="shared" ref="N159:R159" si="180">29000+1490+500</f>
        <v>30990</v>
      </c>
      <c r="O159" s="281">
        <f t="shared" si="180"/>
        <v>30990</v>
      </c>
      <c r="P159" s="281">
        <f t="shared" si="180"/>
        <v>30990</v>
      </c>
      <c r="Q159" s="281">
        <f t="shared" si="180"/>
        <v>30990</v>
      </c>
      <c r="R159" s="281">
        <f t="shared" si="180"/>
        <v>30990</v>
      </c>
      <c r="S159" s="281">
        <v>2827</v>
      </c>
      <c r="T159" s="655">
        <f t="shared" si="147"/>
        <v>9.1222975153275251E-2</v>
      </c>
      <c r="U159" s="27"/>
    </row>
    <row r="160" spans="1:35" x14ac:dyDescent="0.25">
      <c r="A160" s="297" t="s">
        <v>110</v>
      </c>
      <c r="B160" s="431" t="s">
        <v>230</v>
      </c>
      <c r="C160" s="281">
        <v>15800</v>
      </c>
      <c r="D160" s="281">
        <v>15800</v>
      </c>
      <c r="E160" s="281">
        <v>15800</v>
      </c>
      <c r="F160" s="281">
        <v>15800</v>
      </c>
      <c r="G160" s="281">
        <v>15800</v>
      </c>
      <c r="H160" s="281">
        <v>15800</v>
      </c>
      <c r="I160" s="281">
        <v>15800</v>
      </c>
      <c r="J160" s="281">
        <v>15800</v>
      </c>
      <c r="K160" s="281">
        <v>15800</v>
      </c>
      <c r="L160" s="281">
        <v>15800</v>
      </c>
      <c r="M160" s="636">
        <f>15800-500</f>
        <v>15300</v>
      </c>
      <c r="N160" s="281">
        <f t="shared" ref="N160:R160" si="181">15800-500</f>
        <v>15300</v>
      </c>
      <c r="O160" s="281">
        <f t="shared" si="181"/>
        <v>15300</v>
      </c>
      <c r="P160" s="281">
        <f t="shared" si="181"/>
        <v>15300</v>
      </c>
      <c r="Q160" s="281">
        <f t="shared" si="181"/>
        <v>15300</v>
      </c>
      <c r="R160" s="281">
        <f t="shared" si="181"/>
        <v>15300</v>
      </c>
      <c r="S160" s="281"/>
      <c r="T160" s="655">
        <f t="shared" si="147"/>
        <v>0</v>
      </c>
      <c r="U160" s="27"/>
    </row>
    <row r="161" spans="1:35" x14ac:dyDescent="0.25">
      <c r="A161" s="297" t="s">
        <v>110</v>
      </c>
      <c r="B161" s="650" t="s">
        <v>395</v>
      </c>
      <c r="C161" s="281">
        <v>0</v>
      </c>
      <c r="D161" s="281">
        <v>0</v>
      </c>
      <c r="E161" s="281">
        <v>0</v>
      </c>
      <c r="F161" s="281">
        <v>0</v>
      </c>
      <c r="G161" s="281">
        <v>0</v>
      </c>
      <c r="H161" s="281">
        <v>0</v>
      </c>
      <c r="I161" s="281">
        <v>0</v>
      </c>
      <c r="J161" s="281">
        <v>0</v>
      </c>
      <c r="K161" s="281">
        <v>0</v>
      </c>
      <c r="L161" s="281">
        <v>0</v>
      </c>
      <c r="M161" s="281">
        <v>0</v>
      </c>
      <c r="N161" s="281">
        <v>0</v>
      </c>
      <c r="O161" s="281">
        <v>0</v>
      </c>
      <c r="P161" s="281">
        <v>0</v>
      </c>
      <c r="Q161" s="281">
        <v>0</v>
      </c>
      <c r="R161" s="281">
        <v>0</v>
      </c>
      <c r="S161" s="281"/>
      <c r="T161" s="655">
        <v>0</v>
      </c>
      <c r="U161" s="27"/>
    </row>
    <row r="162" spans="1:35" ht="15.75" thickBot="1" x14ac:dyDescent="0.3">
      <c r="A162" s="299" t="s">
        <v>110</v>
      </c>
      <c r="B162" s="445" t="s">
        <v>239</v>
      </c>
      <c r="C162" s="284">
        <v>30000</v>
      </c>
      <c r="D162" s="284">
        <v>30000</v>
      </c>
      <c r="E162" s="284">
        <v>30000</v>
      </c>
      <c r="F162" s="284">
        <v>30000</v>
      </c>
      <c r="G162" s="284">
        <v>30000</v>
      </c>
      <c r="H162" s="284">
        <v>30000</v>
      </c>
      <c r="I162" s="284">
        <v>30000</v>
      </c>
      <c r="J162" s="284">
        <v>30000</v>
      </c>
      <c r="K162" s="284">
        <v>30000</v>
      </c>
      <c r="L162" s="284">
        <v>30000</v>
      </c>
      <c r="M162" s="284">
        <v>30000</v>
      </c>
      <c r="N162" s="284">
        <v>30000</v>
      </c>
      <c r="O162" s="284">
        <v>30000</v>
      </c>
      <c r="P162" s="284">
        <v>30000</v>
      </c>
      <c r="Q162" s="284">
        <v>30000</v>
      </c>
      <c r="R162" s="284">
        <v>30000</v>
      </c>
      <c r="S162" s="284">
        <v>7203</v>
      </c>
      <c r="T162" s="655">
        <f t="shared" si="147"/>
        <v>0.24010000000000001</v>
      </c>
      <c r="U162" s="27"/>
    </row>
    <row r="163" spans="1:35" x14ac:dyDescent="0.25">
      <c r="A163" s="300" t="s">
        <v>125</v>
      </c>
      <c r="B163" s="298" t="s">
        <v>192</v>
      </c>
      <c r="C163" s="287">
        <v>0</v>
      </c>
      <c r="D163" s="287">
        <v>0</v>
      </c>
      <c r="E163" s="287">
        <v>0</v>
      </c>
      <c r="F163" s="287">
        <v>0</v>
      </c>
      <c r="G163" s="287">
        <v>0</v>
      </c>
      <c r="H163" s="287">
        <v>0</v>
      </c>
      <c r="I163" s="287">
        <v>0</v>
      </c>
      <c r="J163" s="287">
        <v>0</v>
      </c>
      <c r="K163" s="614">
        <v>2500</v>
      </c>
      <c r="L163" s="287">
        <v>2500</v>
      </c>
      <c r="M163" s="287">
        <v>2500</v>
      </c>
      <c r="N163" s="287">
        <v>2500</v>
      </c>
      <c r="O163" s="287">
        <v>2500</v>
      </c>
      <c r="P163" s="287">
        <v>2500</v>
      </c>
      <c r="Q163" s="287">
        <v>2500</v>
      </c>
      <c r="R163" s="287">
        <v>2500</v>
      </c>
      <c r="S163" s="287"/>
      <c r="T163" s="655">
        <f t="shared" si="147"/>
        <v>0</v>
      </c>
      <c r="U163" s="27"/>
    </row>
    <row r="164" spans="1:35" x14ac:dyDescent="0.25">
      <c r="A164" s="303" t="s">
        <v>125</v>
      </c>
      <c r="B164" s="304" t="s">
        <v>195</v>
      </c>
      <c r="C164" s="293">
        <v>21000</v>
      </c>
      <c r="D164" s="293">
        <v>21000</v>
      </c>
      <c r="E164" s="293">
        <v>21000</v>
      </c>
      <c r="F164" s="293">
        <v>21000</v>
      </c>
      <c r="G164" s="293">
        <v>21000</v>
      </c>
      <c r="H164" s="293">
        <v>21000</v>
      </c>
      <c r="I164" s="293">
        <v>21000</v>
      </c>
      <c r="J164" s="293">
        <v>21000</v>
      </c>
      <c r="K164" s="293">
        <v>21000</v>
      </c>
      <c r="L164" s="293">
        <v>21000</v>
      </c>
      <c r="M164" s="293">
        <v>21000</v>
      </c>
      <c r="N164" s="293">
        <v>21000</v>
      </c>
      <c r="O164" s="293">
        <v>21000</v>
      </c>
      <c r="P164" s="293">
        <v>21000</v>
      </c>
      <c r="Q164" s="293">
        <v>21000</v>
      </c>
      <c r="R164" s="293">
        <v>21000</v>
      </c>
      <c r="S164" s="290"/>
      <c r="T164" s="655">
        <f t="shared" si="147"/>
        <v>0</v>
      </c>
      <c r="U164" s="27"/>
    </row>
    <row r="165" spans="1:35" x14ac:dyDescent="0.25">
      <c r="A165" s="303" t="s">
        <v>125</v>
      </c>
      <c r="B165" s="304" t="s">
        <v>240</v>
      </c>
      <c r="C165" s="293">
        <v>8000</v>
      </c>
      <c r="D165" s="293">
        <v>8000</v>
      </c>
      <c r="E165" s="293">
        <v>8000</v>
      </c>
      <c r="F165" s="293">
        <v>8000</v>
      </c>
      <c r="G165" s="293">
        <v>8000</v>
      </c>
      <c r="H165" s="293">
        <v>8000</v>
      </c>
      <c r="I165" s="293">
        <v>8000</v>
      </c>
      <c r="J165" s="293">
        <v>8000</v>
      </c>
      <c r="K165" s="293">
        <v>8000</v>
      </c>
      <c r="L165" s="293">
        <v>8000</v>
      </c>
      <c r="M165" s="293">
        <v>8000</v>
      </c>
      <c r="N165" s="293">
        <v>8000</v>
      </c>
      <c r="O165" s="293">
        <v>8000</v>
      </c>
      <c r="P165" s="293">
        <v>8000</v>
      </c>
      <c r="Q165" s="293">
        <v>8000</v>
      </c>
      <c r="R165" s="293">
        <v>8000</v>
      </c>
      <c r="S165" s="293"/>
      <c r="T165" s="655">
        <f t="shared" si="147"/>
        <v>0</v>
      </c>
      <c r="U165" s="1"/>
    </row>
    <row r="166" spans="1:35" x14ac:dyDescent="0.25">
      <c r="A166" s="303" t="s">
        <v>127</v>
      </c>
      <c r="B166" s="304" t="s">
        <v>676</v>
      </c>
      <c r="C166" s="293">
        <v>0</v>
      </c>
      <c r="D166" s="293">
        <v>0</v>
      </c>
      <c r="E166" s="293">
        <v>0</v>
      </c>
      <c r="F166" s="293">
        <v>0</v>
      </c>
      <c r="G166" s="293">
        <v>0</v>
      </c>
      <c r="H166" s="293">
        <v>0</v>
      </c>
      <c r="I166" s="293">
        <v>0</v>
      </c>
      <c r="J166" s="293">
        <v>0</v>
      </c>
      <c r="K166" s="293">
        <v>0</v>
      </c>
      <c r="L166" s="293">
        <v>0</v>
      </c>
      <c r="M166" s="293">
        <v>0</v>
      </c>
      <c r="N166" s="293">
        <v>0</v>
      </c>
      <c r="O166" s="293">
        <v>0</v>
      </c>
      <c r="P166" s="293">
        <v>0</v>
      </c>
      <c r="Q166" s="293">
        <v>0</v>
      </c>
      <c r="R166" s="293">
        <v>0</v>
      </c>
      <c r="S166" s="293">
        <v>0</v>
      </c>
      <c r="T166" s="655">
        <v>0</v>
      </c>
      <c r="U166" s="1"/>
    </row>
    <row r="167" spans="1:35" x14ac:dyDescent="0.25">
      <c r="A167" s="303" t="s">
        <v>127</v>
      </c>
      <c r="B167" s="304" t="s">
        <v>238</v>
      </c>
      <c r="C167" s="281">
        <v>100000</v>
      </c>
      <c r="D167" s="281">
        <v>100000</v>
      </c>
      <c r="E167" s="281">
        <v>100000</v>
      </c>
      <c r="F167" s="281">
        <v>100000</v>
      </c>
      <c r="G167" s="281">
        <v>100000</v>
      </c>
      <c r="H167" s="281">
        <v>100000</v>
      </c>
      <c r="I167" s="281">
        <v>100000</v>
      </c>
      <c r="J167" s="281">
        <v>100000</v>
      </c>
      <c r="K167" s="281">
        <v>100000</v>
      </c>
      <c r="L167" s="281">
        <v>100000</v>
      </c>
      <c r="M167" s="636">
        <f>100000+886</f>
        <v>100886</v>
      </c>
      <c r="N167" s="281">
        <f t="shared" ref="N167:R167" si="182">100000+886</f>
        <v>100886</v>
      </c>
      <c r="O167" s="281">
        <f t="shared" si="182"/>
        <v>100886</v>
      </c>
      <c r="P167" s="281">
        <f t="shared" si="182"/>
        <v>100886</v>
      </c>
      <c r="Q167" s="281">
        <f t="shared" si="182"/>
        <v>100886</v>
      </c>
      <c r="R167" s="281">
        <f t="shared" si="182"/>
        <v>100886</v>
      </c>
      <c r="S167" s="281"/>
      <c r="T167" s="655">
        <f t="shared" si="147"/>
        <v>0</v>
      </c>
      <c r="U167" s="1"/>
    </row>
    <row r="168" spans="1:35" x14ac:dyDescent="0.25">
      <c r="A168" s="303" t="s">
        <v>127</v>
      </c>
      <c r="B168" s="294" t="s">
        <v>267</v>
      </c>
      <c r="C168" s="281">
        <v>200000</v>
      </c>
      <c r="D168" s="281">
        <v>200000</v>
      </c>
      <c r="E168" s="281">
        <v>200000</v>
      </c>
      <c r="F168" s="281">
        <v>200000</v>
      </c>
      <c r="G168" s="281">
        <v>200000</v>
      </c>
      <c r="H168" s="281">
        <v>200000</v>
      </c>
      <c r="I168" s="281">
        <v>200000</v>
      </c>
      <c r="J168" s="281">
        <v>200000</v>
      </c>
      <c r="K168" s="281">
        <v>200000</v>
      </c>
      <c r="L168" s="281">
        <v>200000</v>
      </c>
      <c r="M168" s="281">
        <v>200000</v>
      </c>
      <c r="N168" s="281">
        <v>200000</v>
      </c>
      <c r="O168" s="281">
        <v>200000</v>
      </c>
      <c r="P168" s="281">
        <v>200000</v>
      </c>
      <c r="Q168" s="281">
        <v>200000</v>
      </c>
      <c r="R168" s="281">
        <v>200000</v>
      </c>
      <c r="S168" s="281"/>
      <c r="T168" s="655">
        <f t="shared" si="147"/>
        <v>0</v>
      </c>
      <c r="U168" s="1"/>
    </row>
    <row r="169" spans="1:35" ht="15.75" thickBot="1" x14ac:dyDescent="0.3">
      <c r="A169" s="299" t="s">
        <v>131</v>
      </c>
      <c r="B169" s="659" t="s">
        <v>394</v>
      </c>
      <c r="C169" s="284">
        <v>0</v>
      </c>
      <c r="D169" s="284">
        <v>0</v>
      </c>
      <c r="E169" s="284">
        <v>0</v>
      </c>
      <c r="F169" s="284">
        <v>0</v>
      </c>
      <c r="G169" s="284">
        <v>0</v>
      </c>
      <c r="H169" s="284">
        <v>0</v>
      </c>
      <c r="I169" s="284">
        <v>0</v>
      </c>
      <c r="J169" s="284">
        <v>0</v>
      </c>
      <c r="K169" s="284">
        <v>0</v>
      </c>
      <c r="L169" s="284">
        <v>0</v>
      </c>
      <c r="M169" s="284">
        <v>0</v>
      </c>
      <c r="N169" s="284">
        <v>0</v>
      </c>
      <c r="O169" s="284">
        <v>0</v>
      </c>
      <c r="P169" s="284">
        <v>0</v>
      </c>
      <c r="Q169" s="284">
        <v>0</v>
      </c>
      <c r="R169" s="284">
        <v>0</v>
      </c>
      <c r="S169" s="284"/>
      <c r="T169" s="655">
        <v>0</v>
      </c>
      <c r="U169" s="1"/>
    </row>
    <row r="170" spans="1:35" x14ac:dyDescent="0.25">
      <c r="A170" s="308" t="s">
        <v>136</v>
      </c>
      <c r="B170" s="275" t="s">
        <v>269</v>
      </c>
      <c r="C170" s="287">
        <v>381000</v>
      </c>
      <c r="D170" s="287">
        <v>381000</v>
      </c>
      <c r="E170" s="287">
        <v>381000</v>
      </c>
      <c r="F170" s="287">
        <v>381000</v>
      </c>
      <c r="G170" s="287">
        <v>381000</v>
      </c>
      <c r="H170" s="287">
        <v>381000</v>
      </c>
      <c r="I170" s="287">
        <v>381000</v>
      </c>
      <c r="J170" s="287">
        <v>381000</v>
      </c>
      <c r="K170" s="287">
        <v>381000</v>
      </c>
      <c r="L170" s="287">
        <v>381000</v>
      </c>
      <c r="M170" s="287">
        <v>381000</v>
      </c>
      <c r="N170" s="287">
        <v>381000</v>
      </c>
      <c r="O170" s="287">
        <v>381000</v>
      </c>
      <c r="P170" s="287">
        <v>381000</v>
      </c>
      <c r="Q170" s="287">
        <v>381000</v>
      </c>
      <c r="R170" s="287">
        <v>381000</v>
      </c>
      <c r="S170" s="287"/>
      <c r="T170" s="655">
        <f t="shared" si="147"/>
        <v>0</v>
      </c>
      <c r="U170" s="1"/>
    </row>
    <row r="171" spans="1:35" ht="15.75" thickBot="1" x14ac:dyDescent="0.3">
      <c r="A171" s="310" t="s">
        <v>152</v>
      </c>
      <c r="B171" s="446" t="s">
        <v>386</v>
      </c>
      <c r="C171" s="284">
        <f>186800-94000</f>
        <v>92800</v>
      </c>
      <c r="D171" s="284">
        <f>186800-94000</f>
        <v>92800</v>
      </c>
      <c r="E171" s="284">
        <f>186800-94000</f>
        <v>92800</v>
      </c>
      <c r="F171" s="284">
        <f>186800-94000</f>
        <v>92800</v>
      </c>
      <c r="G171" s="632">
        <f>186800-94000+18000</f>
        <v>110800</v>
      </c>
      <c r="H171" s="284">
        <f>186800-94000+18000</f>
        <v>110800</v>
      </c>
      <c r="I171" s="632">
        <f>186800-94000+18000+2500</f>
        <v>113300</v>
      </c>
      <c r="J171" s="284">
        <f>186800-94000+18000+2500</f>
        <v>113300</v>
      </c>
      <c r="K171" s="284">
        <f>186800-94000+18000+2500</f>
        <v>113300</v>
      </c>
      <c r="L171" s="284">
        <f t="shared" ref="L171:R171" si="183">186800-94000+18000+2500</f>
        <v>113300</v>
      </c>
      <c r="M171" s="284">
        <f t="shared" si="183"/>
        <v>113300</v>
      </c>
      <c r="N171" s="284">
        <f t="shared" si="183"/>
        <v>113300</v>
      </c>
      <c r="O171" s="284">
        <f t="shared" si="183"/>
        <v>113300</v>
      </c>
      <c r="P171" s="284">
        <f t="shared" si="183"/>
        <v>113300</v>
      </c>
      <c r="Q171" s="284">
        <f t="shared" si="183"/>
        <v>113300</v>
      </c>
      <c r="R171" s="284">
        <f t="shared" si="183"/>
        <v>113300</v>
      </c>
      <c r="S171" s="284">
        <v>77787</v>
      </c>
      <c r="T171" s="655">
        <f t="shared" si="147"/>
        <v>0.68655781112091796</v>
      </c>
      <c r="U171" s="1"/>
    </row>
    <row r="172" spans="1:35" x14ac:dyDescent="0.25">
      <c r="A172" s="311"/>
      <c r="B172" s="312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655"/>
      <c r="U172" s="313"/>
    </row>
    <row r="173" spans="1:35" x14ac:dyDescent="0.25">
      <c r="A173" s="314"/>
      <c r="B173" s="315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655"/>
      <c r="U173" s="316"/>
    </row>
    <row r="174" spans="1:35" ht="18.75" thickBot="1" x14ac:dyDescent="0.3">
      <c r="A174" s="834" t="s">
        <v>197</v>
      </c>
      <c r="B174" s="835"/>
      <c r="C174" s="835"/>
      <c r="D174" s="835"/>
      <c r="E174" s="835"/>
      <c r="F174" s="835"/>
      <c r="G174" s="835"/>
      <c r="H174" s="835"/>
      <c r="I174" s="835"/>
      <c r="J174" s="835"/>
      <c r="K174" s="835"/>
      <c r="L174" s="835"/>
      <c r="M174" s="835"/>
      <c r="N174" s="835"/>
      <c r="O174" s="835"/>
      <c r="P174" s="835"/>
      <c r="Q174" s="835"/>
      <c r="R174" s="835"/>
      <c r="S174" s="835"/>
      <c r="T174" s="655"/>
      <c r="U174" s="1"/>
    </row>
    <row r="175" spans="1:35" ht="46.5" customHeight="1" thickBot="1" x14ac:dyDescent="0.3">
      <c r="A175" s="819" t="s">
        <v>1</v>
      </c>
      <c r="B175" s="831"/>
      <c r="C175" s="416" t="s">
        <v>376</v>
      </c>
      <c r="D175" s="416" t="s">
        <v>509</v>
      </c>
      <c r="E175" s="416" t="s">
        <v>511</v>
      </c>
      <c r="F175" s="416" t="s">
        <v>512</v>
      </c>
      <c r="G175" s="416" t="s">
        <v>377</v>
      </c>
      <c r="H175" s="416" t="s">
        <v>541</v>
      </c>
      <c r="I175" s="416" t="s">
        <v>497</v>
      </c>
      <c r="J175" s="416" t="s">
        <v>556</v>
      </c>
      <c r="K175" s="416" t="s">
        <v>561</v>
      </c>
      <c r="L175" s="416" t="s">
        <v>605</v>
      </c>
      <c r="M175" s="416" t="s">
        <v>606</v>
      </c>
      <c r="N175" s="416" t="s">
        <v>678</v>
      </c>
      <c r="O175" s="416" t="s">
        <v>679</v>
      </c>
      <c r="P175" s="416" t="s">
        <v>704</v>
      </c>
      <c r="Q175" s="416" t="s">
        <v>727</v>
      </c>
      <c r="R175" s="416" t="s">
        <v>728</v>
      </c>
      <c r="S175" s="416" t="s">
        <v>717</v>
      </c>
      <c r="T175" s="655"/>
      <c r="U175" s="1"/>
    </row>
    <row r="176" spans="1:35" ht="16.5" thickBot="1" x14ac:dyDescent="0.3">
      <c r="A176" s="447" t="s">
        <v>198</v>
      </c>
      <c r="B176" s="448"/>
      <c r="C176" s="449">
        <f t="shared" ref="C176:S176" si="184">SUM(C177:C185)</f>
        <v>586880</v>
      </c>
      <c r="D176" s="449">
        <f t="shared" si="184"/>
        <v>586880</v>
      </c>
      <c r="E176" s="449">
        <f t="shared" si="184"/>
        <v>586880</v>
      </c>
      <c r="F176" s="449">
        <f t="shared" si="184"/>
        <v>589615</v>
      </c>
      <c r="G176" s="449">
        <f t="shared" si="184"/>
        <v>589635</v>
      </c>
      <c r="H176" s="449">
        <f t="shared" si="184"/>
        <v>589635</v>
      </c>
      <c r="I176" s="449">
        <f t="shared" si="184"/>
        <v>589635</v>
      </c>
      <c r="J176" s="449">
        <f t="shared" ref="J176:P176" si="185">SUM(J177:J185)</f>
        <v>589635</v>
      </c>
      <c r="K176" s="449">
        <f t="shared" si="185"/>
        <v>589635</v>
      </c>
      <c r="L176" s="449">
        <f t="shared" si="185"/>
        <v>589635</v>
      </c>
      <c r="M176" s="449">
        <f t="shared" si="185"/>
        <v>590521</v>
      </c>
      <c r="N176" s="449">
        <f t="shared" si="185"/>
        <v>590521</v>
      </c>
      <c r="O176" s="449">
        <f t="shared" si="185"/>
        <v>590561</v>
      </c>
      <c r="P176" s="449">
        <f t="shared" si="185"/>
        <v>590561</v>
      </c>
      <c r="Q176" s="449">
        <f t="shared" ref="Q176:R176" si="186">SUM(Q177:Q185)</f>
        <v>590561</v>
      </c>
      <c r="R176" s="449">
        <f t="shared" si="186"/>
        <v>587561</v>
      </c>
      <c r="S176" s="449">
        <f t="shared" si="184"/>
        <v>144303</v>
      </c>
      <c r="T176" s="655">
        <f t="shared" si="147"/>
        <v>0.2443490172903392</v>
      </c>
      <c r="U176" s="27">
        <f t="shared" ref="U176:AG176" si="187">D176-C176</f>
        <v>0</v>
      </c>
      <c r="V176" s="27">
        <f t="shared" si="187"/>
        <v>0</v>
      </c>
      <c r="W176" s="27">
        <f t="shared" si="187"/>
        <v>2735</v>
      </c>
      <c r="X176" s="27">
        <f t="shared" si="187"/>
        <v>20</v>
      </c>
      <c r="Y176" s="27">
        <f t="shared" si="187"/>
        <v>0</v>
      </c>
      <c r="Z176" s="27">
        <f t="shared" si="187"/>
        <v>0</v>
      </c>
      <c r="AA176" s="27">
        <f t="shared" si="187"/>
        <v>0</v>
      </c>
      <c r="AB176" s="27">
        <f t="shared" si="187"/>
        <v>0</v>
      </c>
      <c r="AC176" s="27">
        <f t="shared" si="187"/>
        <v>0</v>
      </c>
      <c r="AD176" s="27">
        <f t="shared" si="187"/>
        <v>886</v>
      </c>
      <c r="AE176" s="27">
        <f t="shared" si="187"/>
        <v>0</v>
      </c>
      <c r="AF176" s="27">
        <f t="shared" si="187"/>
        <v>40</v>
      </c>
      <c r="AG176" s="27">
        <f t="shared" si="187"/>
        <v>0</v>
      </c>
      <c r="AH176" s="27">
        <f t="shared" ref="AH176:AI176" si="188">Q176-P176</f>
        <v>0</v>
      </c>
      <c r="AI176" s="27">
        <f t="shared" si="188"/>
        <v>-3000</v>
      </c>
    </row>
    <row r="177" spans="1:35" x14ac:dyDescent="0.25">
      <c r="A177" s="317">
        <v>453</v>
      </c>
      <c r="B177" s="318" t="s">
        <v>401</v>
      </c>
      <c r="C177" s="319">
        <v>1500</v>
      </c>
      <c r="D177" s="319">
        <v>1500</v>
      </c>
      <c r="E177" s="319">
        <v>1500</v>
      </c>
      <c r="F177" s="319">
        <v>1500</v>
      </c>
      <c r="G177" s="319">
        <v>1500</v>
      </c>
      <c r="H177" s="319">
        <v>1500</v>
      </c>
      <c r="I177" s="319">
        <v>1500</v>
      </c>
      <c r="J177" s="319">
        <v>1500</v>
      </c>
      <c r="K177" s="319">
        <v>1500</v>
      </c>
      <c r="L177" s="319">
        <v>1500</v>
      </c>
      <c r="M177" s="319">
        <v>1500</v>
      </c>
      <c r="N177" s="319">
        <v>1500</v>
      </c>
      <c r="O177" s="319">
        <v>1500</v>
      </c>
      <c r="P177" s="319">
        <v>1500</v>
      </c>
      <c r="Q177" s="319">
        <v>1500</v>
      </c>
      <c r="R177" s="319">
        <v>1500</v>
      </c>
      <c r="S177" s="319">
        <v>0</v>
      </c>
      <c r="T177" s="655">
        <f t="shared" si="147"/>
        <v>0</v>
      </c>
      <c r="U177" s="1"/>
    </row>
    <row r="178" spans="1:35" x14ac:dyDescent="0.25">
      <c r="A178" s="317">
        <v>453</v>
      </c>
      <c r="B178" s="318" t="s">
        <v>402</v>
      </c>
      <c r="C178" s="319">
        <v>0</v>
      </c>
      <c r="D178" s="319">
        <v>0</v>
      </c>
      <c r="E178" s="319">
        <v>0</v>
      </c>
      <c r="F178" s="319">
        <v>0</v>
      </c>
      <c r="G178" s="319">
        <v>0</v>
      </c>
      <c r="H178" s="319">
        <v>0</v>
      </c>
      <c r="I178" s="319">
        <v>0</v>
      </c>
      <c r="J178" s="319">
        <v>0</v>
      </c>
      <c r="K178" s="319">
        <v>0</v>
      </c>
      <c r="L178" s="319">
        <v>0</v>
      </c>
      <c r="M178" s="742">
        <v>886</v>
      </c>
      <c r="N178" s="319">
        <v>886</v>
      </c>
      <c r="O178" s="319">
        <v>886</v>
      </c>
      <c r="P178" s="319">
        <v>886</v>
      </c>
      <c r="Q178" s="319">
        <v>886</v>
      </c>
      <c r="R178" s="319">
        <v>886</v>
      </c>
      <c r="S178" s="319">
        <v>0</v>
      </c>
      <c r="T178" s="655">
        <f t="shared" si="147"/>
        <v>0</v>
      </c>
      <c r="U178" s="663"/>
    </row>
    <row r="179" spans="1:35" x14ac:dyDescent="0.25">
      <c r="A179" s="435">
        <v>453</v>
      </c>
      <c r="B179" s="436" t="s">
        <v>318</v>
      </c>
      <c r="C179" s="64">
        <f>3000+19000</f>
        <v>22000</v>
      </c>
      <c r="D179" s="64">
        <f>3000+19000</f>
        <v>22000</v>
      </c>
      <c r="E179" s="64">
        <f>3000+19000</f>
        <v>22000</v>
      </c>
      <c r="F179" s="619">
        <f t="shared" ref="F179:R179" si="189">3000+19000+2155+580</f>
        <v>24735</v>
      </c>
      <c r="G179" s="64">
        <f t="shared" si="189"/>
        <v>24735</v>
      </c>
      <c r="H179" s="64">
        <f t="shared" si="189"/>
        <v>24735</v>
      </c>
      <c r="I179" s="64">
        <f t="shared" si="189"/>
        <v>24735</v>
      </c>
      <c r="J179" s="64">
        <f t="shared" si="189"/>
        <v>24735</v>
      </c>
      <c r="K179" s="64">
        <f t="shared" si="189"/>
        <v>24735</v>
      </c>
      <c r="L179" s="64">
        <f t="shared" si="189"/>
        <v>24735</v>
      </c>
      <c r="M179" s="64">
        <f t="shared" si="189"/>
        <v>24735</v>
      </c>
      <c r="N179" s="64">
        <f t="shared" si="189"/>
        <v>24735</v>
      </c>
      <c r="O179" s="64">
        <f t="shared" si="189"/>
        <v>24735</v>
      </c>
      <c r="P179" s="64">
        <f t="shared" si="189"/>
        <v>24735</v>
      </c>
      <c r="Q179" s="64">
        <f t="shared" si="189"/>
        <v>24735</v>
      </c>
      <c r="R179" s="64">
        <f t="shared" si="189"/>
        <v>24735</v>
      </c>
      <c r="S179" s="64">
        <f>3000+19571+1400</f>
        <v>23971</v>
      </c>
      <c r="T179" s="655">
        <f t="shared" si="147"/>
        <v>0.96911259349100465</v>
      </c>
      <c r="U179" s="27">
        <f>E179-C179</f>
        <v>0</v>
      </c>
    </row>
    <row r="180" spans="1:35" x14ac:dyDescent="0.25">
      <c r="A180" s="317">
        <v>453</v>
      </c>
      <c r="B180" s="436" t="s">
        <v>324</v>
      </c>
      <c r="C180" s="319">
        <v>64300</v>
      </c>
      <c r="D180" s="319">
        <v>64300</v>
      </c>
      <c r="E180" s="319">
        <v>64300</v>
      </c>
      <c r="F180" s="319">
        <v>64300</v>
      </c>
      <c r="G180" s="319">
        <v>64300</v>
      </c>
      <c r="H180" s="319">
        <v>64300</v>
      </c>
      <c r="I180" s="319">
        <v>64300</v>
      </c>
      <c r="J180" s="319">
        <v>64300</v>
      </c>
      <c r="K180" s="319">
        <v>64300</v>
      </c>
      <c r="L180" s="319">
        <v>64300</v>
      </c>
      <c r="M180" s="319">
        <v>64300</v>
      </c>
      <c r="N180" s="319">
        <v>64300</v>
      </c>
      <c r="O180" s="319">
        <f>64300+40</f>
        <v>64340</v>
      </c>
      <c r="P180" s="319">
        <f>64300+40</f>
        <v>64340</v>
      </c>
      <c r="Q180" s="319">
        <f t="shared" ref="Q180:R180" si="190">64300+40</f>
        <v>64340</v>
      </c>
      <c r="R180" s="319">
        <f t="shared" si="190"/>
        <v>64340</v>
      </c>
      <c r="S180" s="319">
        <v>51526</v>
      </c>
      <c r="T180" s="655">
        <f t="shared" si="147"/>
        <v>0.80083929126515385</v>
      </c>
      <c r="U180" s="27"/>
    </row>
    <row r="181" spans="1:35" ht="15.75" thickBot="1" x14ac:dyDescent="0.3">
      <c r="A181" s="320">
        <v>453</v>
      </c>
      <c r="B181" s="321" t="s">
        <v>317</v>
      </c>
      <c r="C181" s="322">
        <v>6000</v>
      </c>
      <c r="D181" s="322">
        <v>6000</v>
      </c>
      <c r="E181" s="322">
        <v>6000</v>
      </c>
      <c r="F181" s="322">
        <v>6000</v>
      </c>
      <c r="G181" s="322">
        <v>6000</v>
      </c>
      <c r="H181" s="322">
        <v>6000</v>
      </c>
      <c r="I181" s="322">
        <v>6000</v>
      </c>
      <c r="J181" s="322">
        <v>6000</v>
      </c>
      <c r="K181" s="322">
        <v>6000</v>
      </c>
      <c r="L181" s="322">
        <v>6000</v>
      </c>
      <c r="M181" s="322">
        <v>6000</v>
      </c>
      <c r="N181" s="322">
        <v>6000</v>
      </c>
      <c r="O181" s="322">
        <v>6000</v>
      </c>
      <c r="P181" s="322">
        <v>6000</v>
      </c>
      <c r="Q181" s="322">
        <v>6000</v>
      </c>
      <c r="R181" s="322">
        <v>6000</v>
      </c>
      <c r="S181" s="322">
        <v>6000</v>
      </c>
      <c r="T181" s="655">
        <f t="shared" si="147"/>
        <v>1</v>
      </c>
      <c r="U181" s="27">
        <f>SUM(C177:C181)</f>
        <v>93800</v>
      </c>
      <c r="W181" s="27"/>
    </row>
    <row r="182" spans="1:35" x14ac:dyDescent="0.25">
      <c r="A182" s="402">
        <v>454</v>
      </c>
      <c r="B182" s="401" t="s">
        <v>200</v>
      </c>
      <c r="C182" s="403">
        <v>492980</v>
      </c>
      <c r="D182" s="403">
        <v>492980</v>
      </c>
      <c r="E182" s="403">
        <v>492980</v>
      </c>
      <c r="F182" s="403">
        <v>492980</v>
      </c>
      <c r="G182" s="403">
        <v>492980</v>
      </c>
      <c r="H182" s="403">
        <v>492980</v>
      </c>
      <c r="I182" s="403">
        <v>492980</v>
      </c>
      <c r="J182" s="403">
        <v>492980</v>
      </c>
      <c r="K182" s="403">
        <v>492980</v>
      </c>
      <c r="L182" s="403">
        <v>492980</v>
      </c>
      <c r="M182" s="403">
        <v>492980</v>
      </c>
      <c r="N182" s="403">
        <v>492980</v>
      </c>
      <c r="O182" s="403">
        <v>492980</v>
      </c>
      <c r="P182" s="403">
        <v>492980</v>
      </c>
      <c r="Q182" s="403">
        <v>492980</v>
      </c>
      <c r="R182" s="765">
        <f>492980-3000</f>
        <v>489980</v>
      </c>
      <c r="S182" s="403">
        <v>62792</v>
      </c>
      <c r="T182" s="655">
        <f t="shared" si="147"/>
        <v>0.12737230719298959</v>
      </c>
      <c r="U182" s="1"/>
    </row>
    <row r="183" spans="1:35" x14ac:dyDescent="0.25">
      <c r="A183" s="435">
        <v>456</v>
      </c>
      <c r="B183" s="436" t="s">
        <v>201</v>
      </c>
      <c r="C183" s="64">
        <v>100</v>
      </c>
      <c r="D183" s="64">
        <v>100</v>
      </c>
      <c r="E183" s="64">
        <v>100</v>
      </c>
      <c r="F183" s="64">
        <v>100</v>
      </c>
      <c r="G183" s="64">
        <v>100</v>
      </c>
      <c r="H183" s="64">
        <v>100</v>
      </c>
      <c r="I183" s="64">
        <v>100</v>
      </c>
      <c r="J183" s="64">
        <v>100</v>
      </c>
      <c r="K183" s="64">
        <v>100</v>
      </c>
      <c r="L183" s="64">
        <v>100</v>
      </c>
      <c r="M183" s="64">
        <v>100</v>
      </c>
      <c r="N183" s="64">
        <v>100</v>
      </c>
      <c r="O183" s="64">
        <v>100</v>
      </c>
      <c r="P183" s="64">
        <v>100</v>
      </c>
      <c r="Q183" s="64">
        <v>100</v>
      </c>
      <c r="R183" s="64">
        <v>100</v>
      </c>
      <c r="S183" s="64">
        <v>14</v>
      </c>
      <c r="T183" s="655">
        <f t="shared" si="147"/>
        <v>0.14000000000000001</v>
      </c>
      <c r="U183" s="27"/>
      <c r="V183" s="464"/>
      <c r="W183" s="464"/>
      <c r="X183" s="464"/>
    </row>
    <row r="184" spans="1:35" ht="15.75" thickBot="1" x14ac:dyDescent="0.3">
      <c r="A184" s="402">
        <v>456</v>
      </c>
      <c r="B184" s="401" t="s">
        <v>380</v>
      </c>
      <c r="C184" s="322">
        <v>0</v>
      </c>
      <c r="D184" s="322">
        <v>0</v>
      </c>
      <c r="E184" s="322">
        <v>0</v>
      </c>
      <c r="F184" s="322">
        <v>0</v>
      </c>
      <c r="G184" s="624">
        <v>20</v>
      </c>
      <c r="H184" s="322">
        <v>20</v>
      </c>
      <c r="I184" s="322">
        <v>20</v>
      </c>
      <c r="J184" s="322">
        <v>20</v>
      </c>
      <c r="K184" s="322">
        <v>20</v>
      </c>
      <c r="L184" s="322">
        <v>20</v>
      </c>
      <c r="M184" s="322">
        <v>20</v>
      </c>
      <c r="N184" s="322">
        <v>20</v>
      </c>
      <c r="O184" s="322">
        <v>20</v>
      </c>
      <c r="P184" s="322">
        <v>20</v>
      </c>
      <c r="Q184" s="322">
        <v>20</v>
      </c>
      <c r="R184" s="322">
        <v>20</v>
      </c>
      <c r="S184" s="322">
        <v>0</v>
      </c>
      <c r="T184" s="655">
        <f t="shared" si="147"/>
        <v>0</v>
      </c>
      <c r="U184" s="27"/>
      <c r="V184" s="27"/>
      <c r="W184" s="27"/>
    </row>
    <row r="185" spans="1:35" ht="15.75" thickBot="1" x14ac:dyDescent="0.3">
      <c r="A185" s="404">
        <v>513</v>
      </c>
      <c r="B185" s="405" t="s">
        <v>202</v>
      </c>
      <c r="C185" s="618">
        <v>0</v>
      </c>
      <c r="D185" s="618">
        <v>0</v>
      </c>
      <c r="E185" s="618">
        <v>0</v>
      </c>
      <c r="F185" s="618">
        <v>0</v>
      </c>
      <c r="G185" s="618">
        <v>0</v>
      </c>
      <c r="H185" s="618">
        <v>0</v>
      </c>
      <c r="I185" s="618">
        <v>0</v>
      </c>
      <c r="J185" s="618">
        <v>0</v>
      </c>
      <c r="K185" s="618">
        <v>0</v>
      </c>
      <c r="L185" s="618">
        <v>0</v>
      </c>
      <c r="M185" s="618">
        <v>0</v>
      </c>
      <c r="N185" s="618">
        <v>0</v>
      </c>
      <c r="O185" s="618">
        <v>0</v>
      </c>
      <c r="P185" s="618">
        <v>0</v>
      </c>
      <c r="Q185" s="618">
        <v>0</v>
      </c>
      <c r="R185" s="618">
        <v>0</v>
      </c>
      <c r="S185" s="618">
        <v>0</v>
      </c>
      <c r="T185" s="655">
        <v>0</v>
      </c>
      <c r="U185" s="27"/>
    </row>
    <row r="186" spans="1:35" ht="16.5" thickBot="1" x14ac:dyDescent="0.3">
      <c r="A186" s="447" t="s">
        <v>203</v>
      </c>
      <c r="B186" s="448"/>
      <c r="C186" s="449">
        <f t="shared" ref="C186:S186" si="191">SUM(C187:C189)</f>
        <v>1070</v>
      </c>
      <c r="D186" s="449">
        <f t="shared" si="191"/>
        <v>1070</v>
      </c>
      <c r="E186" s="449">
        <f t="shared" si="191"/>
        <v>1070</v>
      </c>
      <c r="F186" s="449">
        <f t="shared" si="191"/>
        <v>1070</v>
      </c>
      <c r="G186" s="449">
        <f t="shared" si="191"/>
        <v>1090</v>
      </c>
      <c r="H186" s="449">
        <f t="shared" si="191"/>
        <v>1090</v>
      </c>
      <c r="I186" s="449">
        <f t="shared" si="191"/>
        <v>1090</v>
      </c>
      <c r="J186" s="449">
        <f t="shared" si="191"/>
        <v>1090</v>
      </c>
      <c r="K186" s="449">
        <f t="shared" si="191"/>
        <v>1090</v>
      </c>
      <c r="L186" s="449">
        <f t="shared" si="191"/>
        <v>1090</v>
      </c>
      <c r="M186" s="449">
        <f t="shared" si="191"/>
        <v>1090</v>
      </c>
      <c r="N186" s="449">
        <f t="shared" ref="N186:P186" si="192">SUM(N187:N189)</f>
        <v>1090</v>
      </c>
      <c r="O186" s="449">
        <f t="shared" si="192"/>
        <v>1090</v>
      </c>
      <c r="P186" s="449">
        <f t="shared" si="192"/>
        <v>1090</v>
      </c>
      <c r="Q186" s="449">
        <f t="shared" ref="Q186:R186" si="193">SUM(Q187:Q189)</f>
        <v>1090</v>
      </c>
      <c r="R186" s="449">
        <f t="shared" si="193"/>
        <v>1090</v>
      </c>
      <c r="S186" s="449">
        <f t="shared" si="191"/>
        <v>659</v>
      </c>
      <c r="T186" s="655">
        <f t="shared" si="147"/>
        <v>0.6045871559633027</v>
      </c>
      <c r="U186" s="464">
        <f t="shared" ref="U186:AG186" si="194">D186-C186</f>
        <v>0</v>
      </c>
      <c r="V186" s="464">
        <f t="shared" si="194"/>
        <v>0</v>
      </c>
      <c r="W186" s="464">
        <f t="shared" si="194"/>
        <v>0</v>
      </c>
      <c r="X186" s="464">
        <f t="shared" si="194"/>
        <v>20</v>
      </c>
      <c r="Y186" s="464">
        <f t="shared" si="194"/>
        <v>0</v>
      </c>
      <c r="Z186" s="464">
        <f t="shared" si="194"/>
        <v>0</v>
      </c>
      <c r="AA186" s="464">
        <f t="shared" si="194"/>
        <v>0</v>
      </c>
      <c r="AB186" s="464">
        <f t="shared" si="194"/>
        <v>0</v>
      </c>
      <c r="AC186" s="464">
        <f t="shared" si="194"/>
        <v>0</v>
      </c>
      <c r="AD186" s="464">
        <f t="shared" si="194"/>
        <v>0</v>
      </c>
      <c r="AE186" s="464">
        <f t="shared" si="194"/>
        <v>0</v>
      </c>
      <c r="AF186" s="464">
        <f t="shared" si="194"/>
        <v>0</v>
      </c>
      <c r="AG186" s="464">
        <f t="shared" si="194"/>
        <v>0</v>
      </c>
      <c r="AH186" s="464">
        <f t="shared" ref="AH186:AI186" si="195">Q186-P186</f>
        <v>0</v>
      </c>
      <c r="AI186" s="464">
        <f t="shared" si="195"/>
        <v>0</v>
      </c>
    </row>
    <row r="187" spans="1:35" ht="15" customHeight="1" x14ac:dyDescent="0.25">
      <c r="A187" s="323">
        <v>819</v>
      </c>
      <c r="B187" s="324" t="s">
        <v>204</v>
      </c>
      <c r="C187" s="205">
        <v>100</v>
      </c>
      <c r="D187" s="205">
        <v>100</v>
      </c>
      <c r="E187" s="205">
        <v>100</v>
      </c>
      <c r="F187" s="205">
        <v>100</v>
      </c>
      <c r="G187" s="205">
        <v>100</v>
      </c>
      <c r="H187" s="205">
        <v>100</v>
      </c>
      <c r="I187" s="205">
        <v>100</v>
      </c>
      <c r="J187" s="205">
        <v>100</v>
      </c>
      <c r="K187" s="205">
        <v>100</v>
      </c>
      <c r="L187" s="205">
        <v>100</v>
      </c>
      <c r="M187" s="205">
        <v>100</v>
      </c>
      <c r="N187" s="205">
        <v>100</v>
      </c>
      <c r="O187" s="205">
        <v>100</v>
      </c>
      <c r="P187" s="205">
        <v>100</v>
      </c>
      <c r="Q187" s="205">
        <v>100</v>
      </c>
      <c r="R187" s="205">
        <v>100</v>
      </c>
      <c r="S187" s="205">
        <v>14</v>
      </c>
      <c r="T187" s="655">
        <f t="shared" si="147"/>
        <v>0.14000000000000001</v>
      </c>
      <c r="U187" s="1"/>
    </row>
    <row r="188" spans="1:35" x14ac:dyDescent="0.25">
      <c r="A188" s="325">
        <v>819</v>
      </c>
      <c r="B188" s="326" t="s">
        <v>379</v>
      </c>
      <c r="C188" s="56">
        <v>0</v>
      </c>
      <c r="D188" s="56">
        <v>0</v>
      </c>
      <c r="E188" s="56">
        <v>0</v>
      </c>
      <c r="F188" s="56">
        <v>0</v>
      </c>
      <c r="G188" s="623">
        <v>20</v>
      </c>
      <c r="H188" s="56">
        <v>20</v>
      </c>
      <c r="I188" s="56">
        <v>20</v>
      </c>
      <c r="J188" s="56">
        <v>20</v>
      </c>
      <c r="K188" s="56">
        <v>20</v>
      </c>
      <c r="L188" s="56">
        <v>20</v>
      </c>
      <c r="M188" s="56">
        <v>20</v>
      </c>
      <c r="N188" s="56">
        <v>20</v>
      </c>
      <c r="O188" s="56">
        <v>20</v>
      </c>
      <c r="P188" s="56">
        <v>20</v>
      </c>
      <c r="Q188" s="56">
        <v>20</v>
      </c>
      <c r="R188" s="56">
        <v>20</v>
      </c>
      <c r="S188" s="56">
        <v>8</v>
      </c>
      <c r="T188" s="655">
        <f t="shared" si="147"/>
        <v>0.4</v>
      </c>
      <c r="U188" s="1"/>
    </row>
    <row r="189" spans="1:35" ht="15.75" thickBot="1" x14ac:dyDescent="0.3">
      <c r="A189" s="327">
        <v>821</v>
      </c>
      <c r="B189" s="328" t="s">
        <v>205</v>
      </c>
      <c r="C189" s="128">
        <v>970</v>
      </c>
      <c r="D189" s="128">
        <v>970</v>
      </c>
      <c r="E189" s="128">
        <v>970</v>
      </c>
      <c r="F189" s="128">
        <v>970</v>
      </c>
      <c r="G189" s="128">
        <v>970</v>
      </c>
      <c r="H189" s="128">
        <v>970</v>
      </c>
      <c r="I189" s="128">
        <v>970</v>
      </c>
      <c r="J189" s="128">
        <v>970</v>
      </c>
      <c r="K189" s="128">
        <v>970</v>
      </c>
      <c r="L189" s="128">
        <v>970</v>
      </c>
      <c r="M189" s="128">
        <v>970</v>
      </c>
      <c r="N189" s="128">
        <v>970</v>
      </c>
      <c r="O189" s="128">
        <v>970</v>
      </c>
      <c r="P189" s="128">
        <v>970</v>
      </c>
      <c r="Q189" s="128">
        <v>970</v>
      </c>
      <c r="R189" s="128">
        <v>970</v>
      </c>
      <c r="S189" s="128">
        <v>637</v>
      </c>
      <c r="T189" s="655">
        <f t="shared" si="147"/>
        <v>0.65670103092783505</v>
      </c>
      <c r="U189" s="1"/>
    </row>
    <row r="190" spans="1:35" x14ac:dyDescent="0.25">
      <c r="A190" s="314"/>
      <c r="B190" s="329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407"/>
      <c r="U190" s="161"/>
    </row>
    <row r="191" spans="1:35" ht="15.75" x14ac:dyDescent="0.25">
      <c r="A191" s="105"/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312"/>
      <c r="P191" s="312"/>
      <c r="Q191" s="312"/>
      <c r="R191" s="312"/>
      <c r="S191" s="312"/>
      <c r="T191" s="312"/>
      <c r="U191" s="312"/>
    </row>
    <row r="192" spans="1:35" ht="18.75" thickBot="1" x14ac:dyDescent="0.3">
      <c r="A192" s="836" t="s">
        <v>206</v>
      </c>
      <c r="B192" s="837"/>
      <c r="C192" s="837"/>
      <c r="D192" s="837"/>
      <c r="E192" s="837"/>
      <c r="F192" s="837"/>
      <c r="G192" s="837"/>
      <c r="H192" s="837"/>
      <c r="I192" s="837"/>
      <c r="J192" s="837"/>
      <c r="K192" s="837"/>
      <c r="L192" s="837"/>
      <c r="M192" s="837"/>
      <c r="N192" s="837"/>
      <c r="O192" s="837"/>
      <c r="P192" s="837"/>
      <c r="Q192" s="837"/>
      <c r="R192" s="837"/>
      <c r="S192" s="837"/>
      <c r="T192" s="104"/>
    </row>
    <row r="193" spans="1:35" ht="40.5" customHeight="1" thickBot="1" x14ac:dyDescent="0.3">
      <c r="A193" s="838" t="s">
        <v>1</v>
      </c>
      <c r="B193" s="839"/>
      <c r="C193" s="416" t="s">
        <v>376</v>
      </c>
      <c r="D193" s="416" t="s">
        <v>509</v>
      </c>
      <c r="E193" s="416" t="s">
        <v>511</v>
      </c>
      <c r="F193" s="416" t="s">
        <v>512</v>
      </c>
      <c r="G193" s="416" t="s">
        <v>377</v>
      </c>
      <c r="H193" s="416" t="s">
        <v>541</v>
      </c>
      <c r="I193" s="416" t="s">
        <v>497</v>
      </c>
      <c r="J193" s="416" t="s">
        <v>556</v>
      </c>
      <c r="K193" s="416" t="s">
        <v>561</v>
      </c>
      <c r="L193" s="416" t="s">
        <v>605</v>
      </c>
      <c r="M193" s="416" t="s">
        <v>606</v>
      </c>
      <c r="N193" s="416" t="s">
        <v>678</v>
      </c>
      <c r="O193" s="416" t="s">
        <v>679</v>
      </c>
      <c r="P193" s="416" t="s">
        <v>704</v>
      </c>
      <c r="Q193" s="416" t="s">
        <v>727</v>
      </c>
      <c r="R193" s="416" t="s">
        <v>728</v>
      </c>
      <c r="S193" s="416" t="s">
        <v>717</v>
      </c>
      <c r="T193" s="104"/>
    </row>
    <row r="194" spans="1:35" ht="15.75" x14ac:dyDescent="0.25">
      <c r="A194" s="330" t="s">
        <v>207</v>
      </c>
      <c r="B194" s="29"/>
      <c r="C194" s="331">
        <f t="shared" ref="C194:S194" si="196">C74</f>
        <v>2247848</v>
      </c>
      <c r="D194" s="331">
        <f t="shared" si="196"/>
        <v>2247848</v>
      </c>
      <c r="E194" s="331">
        <f t="shared" si="196"/>
        <v>2274078</v>
      </c>
      <c r="F194" s="331">
        <f t="shared" si="196"/>
        <v>2280478</v>
      </c>
      <c r="G194" s="331">
        <f t="shared" si="196"/>
        <v>2286478</v>
      </c>
      <c r="H194" s="331">
        <f t="shared" si="196"/>
        <v>2290416</v>
      </c>
      <c r="I194" s="331">
        <f t="shared" si="196"/>
        <v>2301316</v>
      </c>
      <c r="J194" s="331">
        <f t="shared" si="196"/>
        <v>2307537</v>
      </c>
      <c r="K194" s="331">
        <f t="shared" si="196"/>
        <v>2307880</v>
      </c>
      <c r="L194" s="331">
        <f t="shared" si="196"/>
        <v>2309330</v>
      </c>
      <c r="M194" s="331">
        <f t="shared" si="196"/>
        <v>2315530</v>
      </c>
      <c r="N194" s="331">
        <f t="shared" si="196"/>
        <v>2335186</v>
      </c>
      <c r="O194" s="331">
        <f t="shared" si="196"/>
        <v>2351923</v>
      </c>
      <c r="P194" s="331">
        <f t="shared" si="196"/>
        <v>2351923</v>
      </c>
      <c r="Q194" s="331">
        <f t="shared" ref="Q194:R194" si="197">Q74</f>
        <v>2375134</v>
      </c>
      <c r="R194" s="331">
        <f t="shared" si="197"/>
        <v>2375134</v>
      </c>
      <c r="S194" s="331">
        <f t="shared" si="196"/>
        <v>1573430</v>
      </c>
      <c r="T194" s="104"/>
    </row>
    <row r="195" spans="1:35" ht="15.75" x14ac:dyDescent="0.25">
      <c r="A195" s="332" t="s">
        <v>208</v>
      </c>
      <c r="B195" s="333"/>
      <c r="C195" s="334">
        <f t="shared" ref="C195:S195" si="198">C139</f>
        <v>2340678</v>
      </c>
      <c r="D195" s="334">
        <f t="shared" si="198"/>
        <v>2340678</v>
      </c>
      <c r="E195" s="334">
        <f t="shared" si="198"/>
        <v>2366908</v>
      </c>
      <c r="F195" s="334">
        <f t="shared" si="198"/>
        <v>2376043</v>
      </c>
      <c r="G195" s="334">
        <f t="shared" si="198"/>
        <v>2382043</v>
      </c>
      <c r="H195" s="334">
        <f t="shared" si="198"/>
        <v>2385981</v>
      </c>
      <c r="I195" s="334">
        <f t="shared" si="198"/>
        <v>2396881</v>
      </c>
      <c r="J195" s="334">
        <f t="shared" si="198"/>
        <v>2403102</v>
      </c>
      <c r="K195" s="334">
        <f t="shared" si="198"/>
        <v>2403445</v>
      </c>
      <c r="L195" s="334">
        <f t="shared" si="198"/>
        <v>2404895</v>
      </c>
      <c r="M195" s="334">
        <f t="shared" si="198"/>
        <v>2411095</v>
      </c>
      <c r="N195" s="334">
        <f t="shared" si="198"/>
        <v>2430751</v>
      </c>
      <c r="O195" s="334">
        <f t="shared" si="198"/>
        <v>2447528</v>
      </c>
      <c r="P195" s="334">
        <f t="shared" si="198"/>
        <v>2447528</v>
      </c>
      <c r="Q195" s="334">
        <f t="shared" ref="Q195:R195" si="199">Q139</f>
        <v>2470739</v>
      </c>
      <c r="R195" s="334">
        <f t="shared" si="199"/>
        <v>2470739</v>
      </c>
      <c r="S195" s="334">
        <f t="shared" si="198"/>
        <v>1403970</v>
      </c>
      <c r="T195" s="104"/>
    </row>
    <row r="196" spans="1:35" ht="15.75" x14ac:dyDescent="0.25">
      <c r="A196" s="840" t="s">
        <v>209</v>
      </c>
      <c r="B196" s="841"/>
      <c r="C196" s="335">
        <f t="shared" ref="C196:S196" si="200">C194-C195</f>
        <v>-92830</v>
      </c>
      <c r="D196" s="335">
        <f t="shared" si="200"/>
        <v>-92830</v>
      </c>
      <c r="E196" s="335">
        <f t="shared" si="200"/>
        <v>-92830</v>
      </c>
      <c r="F196" s="335">
        <f t="shared" si="200"/>
        <v>-95565</v>
      </c>
      <c r="G196" s="335">
        <f t="shared" si="200"/>
        <v>-95565</v>
      </c>
      <c r="H196" s="335">
        <f t="shared" si="200"/>
        <v>-95565</v>
      </c>
      <c r="I196" s="335">
        <f t="shared" si="200"/>
        <v>-95565</v>
      </c>
      <c r="J196" s="335">
        <f t="shared" si="200"/>
        <v>-95565</v>
      </c>
      <c r="K196" s="335">
        <f t="shared" si="200"/>
        <v>-95565</v>
      </c>
      <c r="L196" s="335">
        <f t="shared" si="200"/>
        <v>-95565</v>
      </c>
      <c r="M196" s="335">
        <f t="shared" si="200"/>
        <v>-95565</v>
      </c>
      <c r="N196" s="335">
        <f t="shared" si="200"/>
        <v>-95565</v>
      </c>
      <c r="O196" s="335">
        <f t="shared" si="200"/>
        <v>-95605</v>
      </c>
      <c r="P196" s="335">
        <f t="shared" si="200"/>
        <v>-95605</v>
      </c>
      <c r="Q196" s="335">
        <f t="shared" ref="Q196:R196" si="201">Q194-Q195</f>
        <v>-95605</v>
      </c>
      <c r="R196" s="335">
        <f t="shared" si="201"/>
        <v>-95605</v>
      </c>
      <c r="S196" s="335">
        <f t="shared" si="200"/>
        <v>169460</v>
      </c>
      <c r="T196" s="104"/>
    </row>
    <row r="197" spans="1:35" ht="15.75" x14ac:dyDescent="0.25">
      <c r="A197" s="332" t="s">
        <v>210</v>
      </c>
      <c r="B197" s="18"/>
      <c r="C197" s="334">
        <f t="shared" ref="C197:S197" si="202">C144</f>
        <v>774720</v>
      </c>
      <c r="D197" s="334">
        <f t="shared" si="202"/>
        <v>774720</v>
      </c>
      <c r="E197" s="334">
        <f t="shared" si="202"/>
        <v>774720</v>
      </c>
      <c r="F197" s="334">
        <f t="shared" si="202"/>
        <v>774720</v>
      </c>
      <c r="G197" s="334">
        <f t="shared" si="202"/>
        <v>778710</v>
      </c>
      <c r="H197" s="334">
        <f t="shared" si="202"/>
        <v>778710</v>
      </c>
      <c r="I197" s="334">
        <f t="shared" si="202"/>
        <v>781210</v>
      </c>
      <c r="J197" s="334">
        <f t="shared" si="202"/>
        <v>781210</v>
      </c>
      <c r="K197" s="334">
        <f t="shared" si="202"/>
        <v>781210</v>
      </c>
      <c r="L197" s="334">
        <f t="shared" si="202"/>
        <v>781210</v>
      </c>
      <c r="M197" s="334">
        <f t="shared" si="202"/>
        <v>781210</v>
      </c>
      <c r="N197" s="334">
        <f t="shared" si="202"/>
        <v>781210</v>
      </c>
      <c r="O197" s="334">
        <f t="shared" si="202"/>
        <v>781210</v>
      </c>
      <c r="P197" s="334">
        <f t="shared" si="202"/>
        <v>781210</v>
      </c>
      <c r="Q197" s="334">
        <f t="shared" ref="Q197:R197" si="203">Q144</f>
        <v>781210</v>
      </c>
      <c r="R197" s="334">
        <f t="shared" si="203"/>
        <v>784210</v>
      </c>
      <c r="S197" s="334">
        <f t="shared" si="202"/>
        <v>49456</v>
      </c>
      <c r="T197" s="104"/>
    </row>
    <row r="198" spans="1:35" ht="15.75" x14ac:dyDescent="0.25">
      <c r="A198" s="332" t="s">
        <v>211</v>
      </c>
      <c r="B198" s="18"/>
      <c r="C198" s="20">
        <f t="shared" ref="C198:S198" si="204">C154</f>
        <v>1267700</v>
      </c>
      <c r="D198" s="20">
        <f t="shared" si="204"/>
        <v>1267700</v>
      </c>
      <c r="E198" s="20">
        <f t="shared" si="204"/>
        <v>1267700</v>
      </c>
      <c r="F198" s="20">
        <f t="shared" si="204"/>
        <v>1267700</v>
      </c>
      <c r="G198" s="20">
        <f t="shared" si="204"/>
        <v>1267700</v>
      </c>
      <c r="H198" s="20">
        <f t="shared" si="204"/>
        <v>1267700</v>
      </c>
      <c r="I198" s="20">
        <f t="shared" si="204"/>
        <v>1270200</v>
      </c>
      <c r="J198" s="20">
        <f t="shared" si="204"/>
        <v>1270200</v>
      </c>
      <c r="K198" s="20">
        <f t="shared" si="204"/>
        <v>1274190</v>
      </c>
      <c r="L198" s="20">
        <f t="shared" si="204"/>
        <v>1274190</v>
      </c>
      <c r="M198" s="20">
        <f t="shared" si="204"/>
        <v>1275076</v>
      </c>
      <c r="N198" s="20">
        <f t="shared" si="204"/>
        <v>1275076</v>
      </c>
      <c r="O198" s="20">
        <f t="shared" si="204"/>
        <v>1275076</v>
      </c>
      <c r="P198" s="20">
        <f t="shared" si="204"/>
        <v>1275076</v>
      </c>
      <c r="Q198" s="20">
        <f t="shared" ref="Q198:R198" si="205">Q154</f>
        <v>1275076</v>
      </c>
      <c r="R198" s="20">
        <f t="shared" si="205"/>
        <v>1275076</v>
      </c>
      <c r="S198" s="20">
        <f t="shared" si="204"/>
        <v>108138</v>
      </c>
      <c r="T198" s="104"/>
    </row>
    <row r="199" spans="1:35" ht="15.75" x14ac:dyDescent="0.25">
      <c r="A199" s="840" t="s">
        <v>212</v>
      </c>
      <c r="B199" s="841"/>
      <c r="C199" s="335">
        <f t="shared" ref="C199:S199" si="206">C197-C198</f>
        <v>-492980</v>
      </c>
      <c r="D199" s="335">
        <f t="shared" si="206"/>
        <v>-492980</v>
      </c>
      <c r="E199" s="335">
        <f t="shared" si="206"/>
        <v>-492980</v>
      </c>
      <c r="F199" s="335">
        <f t="shared" si="206"/>
        <v>-492980</v>
      </c>
      <c r="G199" s="335">
        <f t="shared" si="206"/>
        <v>-488990</v>
      </c>
      <c r="H199" s="335">
        <f t="shared" si="206"/>
        <v>-488990</v>
      </c>
      <c r="I199" s="335">
        <f t="shared" si="206"/>
        <v>-488990</v>
      </c>
      <c r="J199" s="335">
        <f t="shared" si="206"/>
        <v>-488990</v>
      </c>
      <c r="K199" s="335">
        <f t="shared" si="206"/>
        <v>-492980</v>
      </c>
      <c r="L199" s="335">
        <f t="shared" si="206"/>
        <v>-492980</v>
      </c>
      <c r="M199" s="335">
        <f t="shared" si="206"/>
        <v>-493866</v>
      </c>
      <c r="N199" s="335">
        <f t="shared" si="206"/>
        <v>-493866</v>
      </c>
      <c r="O199" s="335">
        <f t="shared" si="206"/>
        <v>-493866</v>
      </c>
      <c r="P199" s="335">
        <f t="shared" si="206"/>
        <v>-493866</v>
      </c>
      <c r="Q199" s="335">
        <f t="shared" ref="Q199:R199" si="207">Q197-Q198</f>
        <v>-493866</v>
      </c>
      <c r="R199" s="335">
        <f t="shared" si="207"/>
        <v>-490866</v>
      </c>
      <c r="S199" s="335">
        <f t="shared" si="206"/>
        <v>-58682</v>
      </c>
      <c r="T199" s="104"/>
    </row>
    <row r="200" spans="1:35" ht="15.75" x14ac:dyDescent="0.25">
      <c r="A200" s="336" t="s">
        <v>213</v>
      </c>
      <c r="B200" s="337"/>
      <c r="C200" s="338">
        <f t="shared" ref="C200:S200" si="208">C176</f>
        <v>586880</v>
      </c>
      <c r="D200" s="338">
        <f t="shared" si="208"/>
        <v>586880</v>
      </c>
      <c r="E200" s="338">
        <f t="shared" si="208"/>
        <v>586880</v>
      </c>
      <c r="F200" s="338">
        <f t="shared" si="208"/>
        <v>589615</v>
      </c>
      <c r="G200" s="338">
        <f t="shared" si="208"/>
        <v>589635</v>
      </c>
      <c r="H200" s="338">
        <f t="shared" si="208"/>
        <v>589635</v>
      </c>
      <c r="I200" s="338">
        <f t="shared" si="208"/>
        <v>589635</v>
      </c>
      <c r="J200" s="338">
        <f t="shared" si="208"/>
        <v>589635</v>
      </c>
      <c r="K200" s="338">
        <f t="shared" si="208"/>
        <v>589635</v>
      </c>
      <c r="L200" s="338">
        <f t="shared" si="208"/>
        <v>589635</v>
      </c>
      <c r="M200" s="338">
        <f t="shared" si="208"/>
        <v>590521</v>
      </c>
      <c r="N200" s="338">
        <f t="shared" si="208"/>
        <v>590521</v>
      </c>
      <c r="O200" s="338">
        <f t="shared" si="208"/>
        <v>590561</v>
      </c>
      <c r="P200" s="338">
        <f t="shared" si="208"/>
        <v>590561</v>
      </c>
      <c r="Q200" s="338">
        <f t="shared" ref="Q200:R200" si="209">Q176</f>
        <v>590561</v>
      </c>
      <c r="R200" s="338">
        <f t="shared" si="209"/>
        <v>587561</v>
      </c>
      <c r="S200" s="338">
        <f t="shared" si="208"/>
        <v>144303</v>
      </c>
      <c r="T200" s="104"/>
    </row>
    <row r="201" spans="1:35" ht="15.75" x14ac:dyDescent="0.25">
      <c r="A201" s="336" t="s">
        <v>214</v>
      </c>
      <c r="B201" s="337"/>
      <c r="C201" s="338">
        <f t="shared" ref="C201:S201" si="210">C186</f>
        <v>1070</v>
      </c>
      <c r="D201" s="338">
        <f t="shared" si="210"/>
        <v>1070</v>
      </c>
      <c r="E201" s="338">
        <f t="shared" si="210"/>
        <v>1070</v>
      </c>
      <c r="F201" s="338">
        <f t="shared" si="210"/>
        <v>1070</v>
      </c>
      <c r="G201" s="338">
        <f t="shared" si="210"/>
        <v>1090</v>
      </c>
      <c r="H201" s="338">
        <f t="shared" si="210"/>
        <v>1090</v>
      </c>
      <c r="I201" s="338">
        <f t="shared" si="210"/>
        <v>1090</v>
      </c>
      <c r="J201" s="338">
        <f t="shared" si="210"/>
        <v>1090</v>
      </c>
      <c r="K201" s="338">
        <f t="shared" si="210"/>
        <v>1090</v>
      </c>
      <c r="L201" s="338">
        <f t="shared" si="210"/>
        <v>1090</v>
      </c>
      <c r="M201" s="338">
        <f t="shared" si="210"/>
        <v>1090</v>
      </c>
      <c r="N201" s="338">
        <f t="shared" si="210"/>
        <v>1090</v>
      </c>
      <c r="O201" s="338">
        <f t="shared" si="210"/>
        <v>1090</v>
      </c>
      <c r="P201" s="338">
        <f t="shared" si="210"/>
        <v>1090</v>
      </c>
      <c r="Q201" s="338">
        <f t="shared" ref="Q201:R201" si="211">Q186</f>
        <v>1090</v>
      </c>
      <c r="R201" s="338">
        <f t="shared" si="211"/>
        <v>1090</v>
      </c>
      <c r="S201" s="338">
        <f t="shared" si="210"/>
        <v>659</v>
      </c>
      <c r="T201" s="104"/>
    </row>
    <row r="202" spans="1:35" ht="16.5" thickBot="1" x14ac:dyDescent="0.3">
      <c r="A202" s="825" t="s">
        <v>215</v>
      </c>
      <c r="B202" s="826"/>
      <c r="C202" s="339">
        <f t="shared" ref="C202:S202" si="212">C200-C201</f>
        <v>585810</v>
      </c>
      <c r="D202" s="339">
        <f t="shared" si="212"/>
        <v>585810</v>
      </c>
      <c r="E202" s="339">
        <f t="shared" si="212"/>
        <v>585810</v>
      </c>
      <c r="F202" s="339">
        <f t="shared" si="212"/>
        <v>588545</v>
      </c>
      <c r="G202" s="339">
        <f t="shared" si="212"/>
        <v>588545</v>
      </c>
      <c r="H202" s="339">
        <f t="shared" si="212"/>
        <v>588545</v>
      </c>
      <c r="I202" s="339">
        <f t="shared" si="212"/>
        <v>588545</v>
      </c>
      <c r="J202" s="339">
        <f t="shared" si="212"/>
        <v>588545</v>
      </c>
      <c r="K202" s="339">
        <f t="shared" si="212"/>
        <v>588545</v>
      </c>
      <c r="L202" s="339">
        <f t="shared" si="212"/>
        <v>588545</v>
      </c>
      <c r="M202" s="339">
        <f t="shared" si="212"/>
        <v>589431</v>
      </c>
      <c r="N202" s="339">
        <f t="shared" si="212"/>
        <v>589431</v>
      </c>
      <c r="O202" s="339">
        <f t="shared" si="212"/>
        <v>589471</v>
      </c>
      <c r="P202" s="339">
        <f t="shared" si="212"/>
        <v>589471</v>
      </c>
      <c r="Q202" s="339">
        <f t="shared" ref="Q202:R202" si="213">Q200-Q201</f>
        <v>589471</v>
      </c>
      <c r="R202" s="339">
        <f t="shared" si="213"/>
        <v>586471</v>
      </c>
      <c r="S202" s="339">
        <f t="shared" si="212"/>
        <v>143644</v>
      </c>
      <c r="T202" s="104"/>
    </row>
    <row r="203" spans="1:35" ht="16.5" thickBot="1" x14ac:dyDescent="0.3">
      <c r="A203" s="340" t="s">
        <v>216</v>
      </c>
      <c r="B203" s="341"/>
      <c r="C203" s="342">
        <f t="shared" ref="C203:S203" si="214">C196+C199+C202</f>
        <v>0</v>
      </c>
      <c r="D203" s="342">
        <f t="shared" si="214"/>
        <v>0</v>
      </c>
      <c r="E203" s="342">
        <f t="shared" si="214"/>
        <v>0</v>
      </c>
      <c r="F203" s="342">
        <f t="shared" si="214"/>
        <v>0</v>
      </c>
      <c r="G203" s="342">
        <f t="shared" si="214"/>
        <v>3990</v>
      </c>
      <c r="H203" s="342">
        <f t="shared" si="214"/>
        <v>3990</v>
      </c>
      <c r="I203" s="342">
        <f t="shared" si="214"/>
        <v>3990</v>
      </c>
      <c r="J203" s="342">
        <f t="shared" si="214"/>
        <v>3990</v>
      </c>
      <c r="K203" s="342">
        <f t="shared" si="214"/>
        <v>0</v>
      </c>
      <c r="L203" s="342">
        <f t="shared" si="214"/>
        <v>0</v>
      </c>
      <c r="M203" s="342">
        <f t="shared" si="214"/>
        <v>0</v>
      </c>
      <c r="N203" s="342">
        <f t="shared" si="214"/>
        <v>0</v>
      </c>
      <c r="O203" s="342">
        <f t="shared" si="214"/>
        <v>0</v>
      </c>
      <c r="P203" s="342">
        <f t="shared" si="214"/>
        <v>0</v>
      </c>
      <c r="Q203" s="342">
        <f t="shared" ref="Q203:R203" si="215">Q196+Q199+Q202</f>
        <v>0</v>
      </c>
      <c r="R203" s="342">
        <f t="shared" si="215"/>
        <v>0</v>
      </c>
      <c r="S203" s="342">
        <f t="shared" si="214"/>
        <v>254422</v>
      </c>
      <c r="T203" s="104"/>
    </row>
    <row r="204" spans="1:3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04"/>
    </row>
    <row r="205" spans="1:35" x14ac:dyDescent="0.25">
      <c r="A205" s="1"/>
      <c r="B205" s="343" t="s">
        <v>332</v>
      </c>
      <c r="C205" s="27">
        <f t="shared" ref="C205:S206" si="216">C194+C197+C200</f>
        <v>3609448</v>
      </c>
      <c r="D205" s="27">
        <f t="shared" si="216"/>
        <v>3609448</v>
      </c>
      <c r="E205" s="27">
        <f t="shared" si="216"/>
        <v>3635678</v>
      </c>
      <c r="F205" s="27">
        <f t="shared" si="216"/>
        <v>3644813</v>
      </c>
      <c r="G205" s="27">
        <f t="shared" si="216"/>
        <v>3654823</v>
      </c>
      <c r="H205" s="27">
        <f t="shared" si="216"/>
        <v>3658761</v>
      </c>
      <c r="I205" s="27">
        <f t="shared" si="216"/>
        <v>3672161</v>
      </c>
      <c r="J205" s="27">
        <f t="shared" si="216"/>
        <v>3678382</v>
      </c>
      <c r="K205" s="27">
        <f t="shared" si="216"/>
        <v>3678725</v>
      </c>
      <c r="L205" s="27">
        <f t="shared" si="216"/>
        <v>3680175</v>
      </c>
      <c r="M205" s="27">
        <f t="shared" si="216"/>
        <v>3687261</v>
      </c>
      <c r="N205" s="27">
        <f t="shared" si="216"/>
        <v>3706917</v>
      </c>
      <c r="O205" s="27">
        <f t="shared" si="216"/>
        <v>3723694</v>
      </c>
      <c r="P205" s="27">
        <f t="shared" si="216"/>
        <v>3723694</v>
      </c>
      <c r="Q205" s="27">
        <f t="shared" ref="Q205:R205" si="217">Q194+Q197+Q200</f>
        <v>3746905</v>
      </c>
      <c r="R205" s="27">
        <f t="shared" si="217"/>
        <v>3746905</v>
      </c>
      <c r="S205" s="27">
        <f t="shared" si="216"/>
        <v>1767189</v>
      </c>
      <c r="T205" s="104"/>
      <c r="U205" s="663">
        <f t="shared" ref="U205:AG206" si="218">D205-C205</f>
        <v>0</v>
      </c>
      <c r="V205" s="663">
        <f t="shared" si="218"/>
        <v>26230</v>
      </c>
      <c r="W205" s="663">
        <f t="shared" si="218"/>
        <v>9135</v>
      </c>
      <c r="X205" s="663">
        <f t="shared" si="218"/>
        <v>10010</v>
      </c>
      <c r="Y205" s="663">
        <f t="shared" si="218"/>
        <v>3938</v>
      </c>
      <c r="Z205" s="663">
        <f t="shared" si="218"/>
        <v>13400</v>
      </c>
      <c r="AA205" s="663">
        <f t="shared" si="218"/>
        <v>6221</v>
      </c>
      <c r="AB205" s="663">
        <f t="shared" si="218"/>
        <v>343</v>
      </c>
      <c r="AC205" s="663">
        <f t="shared" si="218"/>
        <v>1450</v>
      </c>
      <c r="AD205" s="663">
        <f t="shared" si="218"/>
        <v>7086</v>
      </c>
      <c r="AE205" s="663">
        <f t="shared" si="218"/>
        <v>19656</v>
      </c>
      <c r="AF205" s="663">
        <f t="shared" si="218"/>
        <v>16777</v>
      </c>
      <c r="AG205" s="663">
        <f t="shared" si="218"/>
        <v>0</v>
      </c>
      <c r="AH205" s="663">
        <f t="shared" ref="AH205:AI206" si="219">Q205-P205</f>
        <v>23211</v>
      </c>
      <c r="AI205" s="663">
        <f t="shared" si="219"/>
        <v>0</v>
      </c>
    </row>
    <row r="206" spans="1:35" x14ac:dyDescent="0.25">
      <c r="A206" s="1"/>
      <c r="B206" s="343" t="s">
        <v>333</v>
      </c>
      <c r="C206" s="27">
        <f t="shared" si="216"/>
        <v>3609448</v>
      </c>
      <c r="D206" s="27">
        <f t="shared" si="216"/>
        <v>3609448</v>
      </c>
      <c r="E206" s="27">
        <f t="shared" si="216"/>
        <v>3635678</v>
      </c>
      <c r="F206" s="27">
        <f t="shared" si="216"/>
        <v>3644813</v>
      </c>
      <c r="G206" s="27">
        <f t="shared" si="216"/>
        <v>3650833</v>
      </c>
      <c r="H206" s="27">
        <f t="shared" si="216"/>
        <v>3654771</v>
      </c>
      <c r="I206" s="27">
        <f t="shared" si="216"/>
        <v>3668171</v>
      </c>
      <c r="J206" s="27">
        <f t="shared" si="216"/>
        <v>3674392</v>
      </c>
      <c r="K206" s="27">
        <f t="shared" si="216"/>
        <v>3678725</v>
      </c>
      <c r="L206" s="27">
        <f t="shared" si="216"/>
        <v>3680175</v>
      </c>
      <c r="M206" s="27">
        <f t="shared" si="216"/>
        <v>3687261</v>
      </c>
      <c r="N206" s="27">
        <f t="shared" si="216"/>
        <v>3706917</v>
      </c>
      <c r="O206" s="27">
        <f t="shared" si="216"/>
        <v>3723694</v>
      </c>
      <c r="P206" s="27">
        <f t="shared" si="216"/>
        <v>3723694</v>
      </c>
      <c r="Q206" s="27">
        <f t="shared" ref="Q206:R206" si="220">Q195+Q198+Q201</f>
        <v>3746905</v>
      </c>
      <c r="R206" s="27">
        <f t="shared" si="220"/>
        <v>3746905</v>
      </c>
      <c r="S206" s="27">
        <f t="shared" si="216"/>
        <v>1512767</v>
      </c>
      <c r="T206" s="104"/>
      <c r="U206" s="663">
        <f t="shared" si="218"/>
        <v>0</v>
      </c>
      <c r="V206" s="663">
        <f t="shared" si="218"/>
        <v>26230</v>
      </c>
      <c r="W206" s="663">
        <f t="shared" si="218"/>
        <v>9135</v>
      </c>
      <c r="X206" s="663">
        <f t="shared" si="218"/>
        <v>6020</v>
      </c>
      <c r="Y206" s="663">
        <f t="shared" si="218"/>
        <v>3938</v>
      </c>
      <c r="Z206" s="663">
        <f t="shared" si="218"/>
        <v>13400</v>
      </c>
      <c r="AA206" s="663">
        <f t="shared" si="218"/>
        <v>6221</v>
      </c>
      <c r="AB206" s="663">
        <f t="shared" si="218"/>
        <v>4333</v>
      </c>
      <c r="AC206" s="663">
        <f t="shared" si="218"/>
        <v>1450</v>
      </c>
      <c r="AD206" s="663">
        <f t="shared" si="218"/>
        <v>7086</v>
      </c>
      <c r="AE206" s="663">
        <f t="shared" si="218"/>
        <v>19656</v>
      </c>
      <c r="AF206" s="663">
        <f t="shared" si="218"/>
        <v>16777</v>
      </c>
      <c r="AG206" s="663">
        <f t="shared" si="218"/>
        <v>0</v>
      </c>
      <c r="AH206" s="663">
        <f t="shared" si="219"/>
        <v>23211</v>
      </c>
      <c r="AI206" s="663">
        <f t="shared" si="219"/>
        <v>0</v>
      </c>
    </row>
    <row r="207" spans="1:35" x14ac:dyDescent="0.25">
      <c r="A207" s="1"/>
      <c r="B207" s="343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104"/>
      <c r="U207" s="663"/>
      <c r="V207" s="663"/>
      <c r="W207" s="663"/>
      <c r="X207" s="663"/>
      <c r="Y207" s="663"/>
      <c r="Z207" s="663"/>
      <c r="AA207" s="663"/>
      <c r="AB207" s="663"/>
      <c r="AC207" s="663"/>
      <c r="AD207" s="663"/>
      <c r="AE207" s="663"/>
      <c r="AF207" s="663"/>
      <c r="AG207" s="663"/>
      <c r="AH207" s="663"/>
      <c r="AI207" s="663"/>
    </row>
    <row r="208" spans="1:35" x14ac:dyDescent="0.25">
      <c r="A208" s="1"/>
      <c r="B208" s="343" t="s">
        <v>403</v>
      </c>
      <c r="C208" s="27">
        <f t="shared" ref="C208:S208" si="221">C205-C73</f>
        <v>3593528</v>
      </c>
      <c r="D208" s="27">
        <f t="shared" si="221"/>
        <v>3593528</v>
      </c>
      <c r="E208" s="27">
        <f t="shared" si="221"/>
        <v>3619758</v>
      </c>
      <c r="F208" s="27">
        <f t="shared" si="221"/>
        <v>3628893</v>
      </c>
      <c r="G208" s="27">
        <f t="shared" si="221"/>
        <v>3638903</v>
      </c>
      <c r="H208" s="27">
        <f t="shared" si="221"/>
        <v>3642841</v>
      </c>
      <c r="I208" s="27">
        <f t="shared" si="221"/>
        <v>3656241</v>
      </c>
      <c r="J208" s="27">
        <f t="shared" si="221"/>
        <v>3662462</v>
      </c>
      <c r="K208" s="27">
        <f t="shared" si="221"/>
        <v>3662805</v>
      </c>
      <c r="L208" s="27">
        <f t="shared" si="221"/>
        <v>3664255</v>
      </c>
      <c r="M208" s="27">
        <f t="shared" si="221"/>
        <v>3671341</v>
      </c>
      <c r="N208" s="27">
        <f t="shared" si="221"/>
        <v>3690997</v>
      </c>
      <c r="O208" s="27">
        <f t="shared" si="221"/>
        <v>3707774</v>
      </c>
      <c r="P208" s="27">
        <f t="shared" si="221"/>
        <v>3707774</v>
      </c>
      <c r="Q208" s="27">
        <f t="shared" ref="Q208:R208" si="222">Q205-Q73</f>
        <v>3728901</v>
      </c>
      <c r="R208" s="27">
        <f t="shared" si="222"/>
        <v>3728901</v>
      </c>
      <c r="S208" s="27">
        <f t="shared" si="221"/>
        <v>1760698</v>
      </c>
      <c r="T208" s="104"/>
      <c r="U208" s="663">
        <f t="shared" ref="U208:AG209" si="223">D208-C208</f>
        <v>0</v>
      </c>
      <c r="V208" s="663">
        <f t="shared" si="223"/>
        <v>26230</v>
      </c>
      <c r="W208" s="663">
        <f t="shared" si="223"/>
        <v>9135</v>
      </c>
      <c r="X208" s="663">
        <f t="shared" si="223"/>
        <v>10010</v>
      </c>
      <c r="Y208" s="663">
        <f t="shared" si="223"/>
        <v>3938</v>
      </c>
      <c r="Z208" s="663">
        <f t="shared" si="223"/>
        <v>13400</v>
      </c>
      <c r="AA208" s="663">
        <f t="shared" si="223"/>
        <v>6221</v>
      </c>
      <c r="AB208" s="663">
        <f t="shared" si="223"/>
        <v>343</v>
      </c>
      <c r="AC208" s="663">
        <f t="shared" si="223"/>
        <v>1450</v>
      </c>
      <c r="AD208" s="663">
        <f t="shared" si="223"/>
        <v>7086</v>
      </c>
      <c r="AE208" s="663">
        <f t="shared" si="223"/>
        <v>19656</v>
      </c>
      <c r="AF208" s="663">
        <f t="shared" si="223"/>
        <v>16777</v>
      </c>
      <c r="AG208" s="663">
        <f t="shared" si="223"/>
        <v>0</v>
      </c>
      <c r="AH208" s="663">
        <f t="shared" ref="AH208:AI209" si="224">Q208-P208</f>
        <v>21127</v>
      </c>
      <c r="AI208" s="663">
        <f t="shared" si="224"/>
        <v>0</v>
      </c>
    </row>
    <row r="209" spans="1:35" x14ac:dyDescent="0.25">
      <c r="A209" s="1"/>
      <c r="B209" s="343" t="s">
        <v>404</v>
      </c>
      <c r="C209" s="27">
        <f t="shared" ref="C209:S209" si="225">C206-C138</f>
        <v>2773338</v>
      </c>
      <c r="D209" s="27">
        <f t="shared" si="225"/>
        <v>2773338</v>
      </c>
      <c r="E209" s="27">
        <f t="shared" si="225"/>
        <v>2777749</v>
      </c>
      <c r="F209" s="27">
        <f t="shared" si="225"/>
        <v>2785484</v>
      </c>
      <c r="G209" s="27">
        <f t="shared" si="225"/>
        <v>2791504</v>
      </c>
      <c r="H209" s="27">
        <f t="shared" si="225"/>
        <v>2794704</v>
      </c>
      <c r="I209" s="27">
        <f t="shared" si="225"/>
        <v>2808104</v>
      </c>
      <c r="J209" s="27">
        <f t="shared" si="225"/>
        <v>2811104</v>
      </c>
      <c r="K209" s="27">
        <f t="shared" si="225"/>
        <v>2815437</v>
      </c>
      <c r="L209" s="27">
        <f t="shared" si="225"/>
        <v>2816637</v>
      </c>
      <c r="M209" s="27">
        <f t="shared" si="225"/>
        <v>2823723</v>
      </c>
      <c r="N209" s="27">
        <f t="shared" si="225"/>
        <v>2837325</v>
      </c>
      <c r="O209" s="27">
        <f t="shared" si="225"/>
        <v>2848102</v>
      </c>
      <c r="P209" s="27">
        <f t="shared" si="225"/>
        <v>2848102</v>
      </c>
      <c r="Q209" s="27">
        <f t="shared" ref="Q209:R209" si="226">Q206-Q138</f>
        <v>2848102</v>
      </c>
      <c r="R209" s="27">
        <f t="shared" si="226"/>
        <v>2848102</v>
      </c>
      <c r="S209" s="27">
        <f t="shared" si="225"/>
        <v>890301</v>
      </c>
      <c r="T209" s="104"/>
      <c r="U209" s="663">
        <f t="shared" si="223"/>
        <v>0</v>
      </c>
      <c r="V209" s="663">
        <f t="shared" si="223"/>
        <v>4411</v>
      </c>
      <c r="W209" s="663">
        <f t="shared" si="223"/>
        <v>7735</v>
      </c>
      <c r="X209" s="663">
        <f t="shared" si="223"/>
        <v>6020</v>
      </c>
      <c r="Y209" s="663">
        <f t="shared" si="223"/>
        <v>3200</v>
      </c>
      <c r="Z209" s="663">
        <f t="shared" si="223"/>
        <v>13400</v>
      </c>
      <c r="AA209" s="663">
        <f t="shared" si="223"/>
        <v>3000</v>
      </c>
      <c r="AB209" s="663">
        <f t="shared" si="223"/>
        <v>4333</v>
      </c>
      <c r="AC209" s="663">
        <f t="shared" si="223"/>
        <v>1200</v>
      </c>
      <c r="AD209" s="663">
        <f t="shared" si="223"/>
        <v>7086</v>
      </c>
      <c r="AE209" s="663">
        <f t="shared" si="223"/>
        <v>13602</v>
      </c>
      <c r="AF209" s="663">
        <f t="shared" si="223"/>
        <v>10777</v>
      </c>
      <c r="AG209" s="663">
        <f t="shared" si="223"/>
        <v>0</v>
      </c>
      <c r="AH209" s="663">
        <f t="shared" si="224"/>
        <v>0</v>
      </c>
      <c r="AI209" s="663">
        <f t="shared" si="224"/>
        <v>0</v>
      </c>
    </row>
    <row r="210" spans="1:35" x14ac:dyDescent="0.25">
      <c r="A210" s="1"/>
      <c r="B210" s="343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104"/>
      <c r="U210" s="663"/>
      <c r="V210" s="663"/>
      <c r="W210" s="663"/>
      <c r="X210" s="663"/>
      <c r="Y210" s="663"/>
      <c r="Z210" s="663"/>
      <c r="AA210" s="663"/>
      <c r="AB210" s="663"/>
      <c r="AC210" s="663"/>
      <c r="AD210" s="663"/>
      <c r="AE210" s="663"/>
      <c r="AF210" s="663"/>
      <c r="AG210" s="663"/>
      <c r="AH210" s="663"/>
      <c r="AI210" s="663"/>
    </row>
    <row r="211" spans="1:35" x14ac:dyDescent="0.25">
      <c r="A211" s="104"/>
      <c r="B211" s="530" t="s">
        <v>330</v>
      </c>
      <c r="C211" s="532">
        <f t="shared" ref="C211:S212" si="227">C205-C208</f>
        <v>15920</v>
      </c>
      <c r="D211" s="532">
        <f t="shared" si="227"/>
        <v>15920</v>
      </c>
      <c r="E211" s="532">
        <f t="shared" si="227"/>
        <v>15920</v>
      </c>
      <c r="F211" s="532">
        <f t="shared" si="227"/>
        <v>15920</v>
      </c>
      <c r="G211" s="532">
        <f t="shared" si="227"/>
        <v>15920</v>
      </c>
      <c r="H211" s="532">
        <f t="shared" si="227"/>
        <v>15920</v>
      </c>
      <c r="I211" s="532">
        <f t="shared" si="227"/>
        <v>15920</v>
      </c>
      <c r="J211" s="532">
        <f t="shared" si="227"/>
        <v>15920</v>
      </c>
      <c r="K211" s="532">
        <f t="shared" si="227"/>
        <v>15920</v>
      </c>
      <c r="L211" s="532">
        <f t="shared" si="227"/>
        <v>15920</v>
      </c>
      <c r="M211" s="532">
        <f t="shared" si="227"/>
        <v>15920</v>
      </c>
      <c r="N211" s="532">
        <f t="shared" si="227"/>
        <v>15920</v>
      </c>
      <c r="O211" s="532">
        <f t="shared" si="227"/>
        <v>15920</v>
      </c>
      <c r="P211" s="532">
        <f t="shared" si="227"/>
        <v>15920</v>
      </c>
      <c r="Q211" s="532">
        <f t="shared" ref="Q211:R211" si="228">Q205-Q208</f>
        <v>18004</v>
      </c>
      <c r="R211" s="532">
        <f t="shared" si="228"/>
        <v>18004</v>
      </c>
      <c r="S211" s="532">
        <f t="shared" si="227"/>
        <v>6491</v>
      </c>
      <c r="T211" s="104"/>
      <c r="U211" s="663">
        <f t="shared" ref="U211:AG212" si="229">D211-C211</f>
        <v>0</v>
      </c>
      <c r="V211" s="663">
        <f t="shared" si="229"/>
        <v>0</v>
      </c>
      <c r="W211" s="663">
        <f t="shared" si="229"/>
        <v>0</v>
      </c>
      <c r="X211" s="663">
        <f t="shared" si="229"/>
        <v>0</v>
      </c>
      <c r="Y211" s="663">
        <f t="shared" si="229"/>
        <v>0</v>
      </c>
      <c r="Z211" s="663">
        <f t="shared" si="229"/>
        <v>0</v>
      </c>
      <c r="AA211" s="663">
        <f t="shared" si="229"/>
        <v>0</v>
      </c>
      <c r="AB211" s="663">
        <f t="shared" si="229"/>
        <v>0</v>
      </c>
      <c r="AC211" s="663">
        <f t="shared" si="229"/>
        <v>0</v>
      </c>
      <c r="AD211" s="663">
        <f t="shared" si="229"/>
        <v>0</v>
      </c>
      <c r="AE211" s="663">
        <f t="shared" si="229"/>
        <v>0</v>
      </c>
      <c r="AF211" s="663">
        <f t="shared" si="229"/>
        <v>0</v>
      </c>
      <c r="AG211" s="663">
        <f t="shared" si="229"/>
        <v>0</v>
      </c>
      <c r="AH211" s="663">
        <f t="shared" ref="AH211:AI212" si="230">Q211-P211</f>
        <v>2084</v>
      </c>
      <c r="AI211" s="663">
        <f t="shared" si="230"/>
        <v>0</v>
      </c>
    </row>
    <row r="212" spans="1:35" x14ac:dyDescent="0.25">
      <c r="A212" s="1"/>
      <c r="B212" s="531" t="s">
        <v>331</v>
      </c>
      <c r="C212" s="617">
        <f t="shared" si="227"/>
        <v>836110</v>
      </c>
      <c r="D212" s="617">
        <f t="shared" si="227"/>
        <v>836110</v>
      </c>
      <c r="E212" s="617">
        <f t="shared" si="227"/>
        <v>857929</v>
      </c>
      <c r="F212" s="617">
        <f t="shared" si="227"/>
        <v>859329</v>
      </c>
      <c r="G212" s="617">
        <f t="shared" si="227"/>
        <v>859329</v>
      </c>
      <c r="H212" s="617">
        <f t="shared" si="227"/>
        <v>860067</v>
      </c>
      <c r="I212" s="617">
        <f t="shared" si="227"/>
        <v>860067</v>
      </c>
      <c r="J212" s="617">
        <f t="shared" si="227"/>
        <v>863288</v>
      </c>
      <c r="K212" s="617">
        <f t="shared" si="227"/>
        <v>863288</v>
      </c>
      <c r="L212" s="617">
        <f t="shared" si="227"/>
        <v>863538</v>
      </c>
      <c r="M212" s="617">
        <f t="shared" si="227"/>
        <v>863538</v>
      </c>
      <c r="N212" s="617">
        <f t="shared" si="227"/>
        <v>869592</v>
      </c>
      <c r="O212" s="617">
        <f t="shared" si="227"/>
        <v>875592</v>
      </c>
      <c r="P212" s="617">
        <f t="shared" si="227"/>
        <v>875592</v>
      </c>
      <c r="Q212" s="617">
        <f t="shared" ref="Q212:R212" si="231">Q206-Q209</f>
        <v>898803</v>
      </c>
      <c r="R212" s="617">
        <f t="shared" si="231"/>
        <v>898803</v>
      </c>
      <c r="S212" s="617">
        <f t="shared" si="227"/>
        <v>622466</v>
      </c>
      <c r="T212" s="104"/>
      <c r="U212" s="663">
        <f t="shared" si="229"/>
        <v>0</v>
      </c>
      <c r="V212" s="663">
        <f t="shared" si="229"/>
        <v>21819</v>
      </c>
      <c r="W212" s="663">
        <f t="shared" si="229"/>
        <v>1400</v>
      </c>
      <c r="X212" s="663">
        <f t="shared" si="229"/>
        <v>0</v>
      </c>
      <c r="Y212" s="663">
        <f t="shared" si="229"/>
        <v>738</v>
      </c>
      <c r="Z212" s="663">
        <f t="shared" si="229"/>
        <v>0</v>
      </c>
      <c r="AA212" s="663">
        <f t="shared" si="229"/>
        <v>3221</v>
      </c>
      <c r="AB212" s="663">
        <f t="shared" si="229"/>
        <v>0</v>
      </c>
      <c r="AC212" s="663">
        <f t="shared" si="229"/>
        <v>250</v>
      </c>
      <c r="AD212" s="663">
        <f t="shared" si="229"/>
        <v>0</v>
      </c>
      <c r="AE212" s="663">
        <f t="shared" si="229"/>
        <v>6054</v>
      </c>
      <c r="AF212" s="663">
        <f t="shared" si="229"/>
        <v>6000</v>
      </c>
      <c r="AG212" s="663">
        <f t="shared" si="229"/>
        <v>0</v>
      </c>
      <c r="AH212" s="663">
        <f t="shared" si="230"/>
        <v>23211</v>
      </c>
      <c r="AI212" s="663">
        <f t="shared" si="230"/>
        <v>0</v>
      </c>
    </row>
    <row r="213" spans="1:35" x14ac:dyDescent="0.25">
      <c r="A213" s="1"/>
      <c r="B213" s="1"/>
      <c r="C213" s="617">
        <f>C212-C211+C203</f>
        <v>820190</v>
      </c>
      <c r="D213" s="617">
        <f t="shared" ref="D213:S213" si="232">D212-D211+D203</f>
        <v>820190</v>
      </c>
      <c r="E213" s="617">
        <f t="shared" si="232"/>
        <v>842009</v>
      </c>
      <c r="F213" s="617">
        <f t="shared" si="232"/>
        <v>843409</v>
      </c>
      <c r="G213" s="617">
        <f t="shared" si="232"/>
        <v>847399</v>
      </c>
      <c r="H213" s="617">
        <f t="shared" si="232"/>
        <v>848137</v>
      </c>
      <c r="I213" s="617">
        <f t="shared" si="232"/>
        <v>848137</v>
      </c>
      <c r="J213" s="617">
        <f t="shared" si="232"/>
        <v>851358</v>
      </c>
      <c r="K213" s="617">
        <f t="shared" si="232"/>
        <v>847368</v>
      </c>
      <c r="L213" s="617">
        <f t="shared" si="232"/>
        <v>847618</v>
      </c>
      <c r="M213" s="617">
        <f t="shared" si="232"/>
        <v>847618</v>
      </c>
      <c r="N213" s="617">
        <f t="shared" si="232"/>
        <v>853672</v>
      </c>
      <c r="O213" s="617">
        <f t="shared" si="232"/>
        <v>859672</v>
      </c>
      <c r="P213" s="617">
        <f t="shared" si="232"/>
        <v>859672</v>
      </c>
      <c r="Q213" s="617">
        <f t="shared" ref="Q213:R213" si="233">Q212-Q211+Q203</f>
        <v>880799</v>
      </c>
      <c r="R213" s="617">
        <f t="shared" si="233"/>
        <v>880799</v>
      </c>
      <c r="S213" s="617">
        <f t="shared" si="232"/>
        <v>870397</v>
      </c>
      <c r="T213" s="104"/>
      <c r="U213" s="104"/>
      <c r="V213" s="104"/>
      <c r="W213" s="104"/>
    </row>
    <row r="214" spans="1:35" x14ac:dyDescent="0.25">
      <c r="A214" s="1"/>
      <c r="B214" s="346" t="s">
        <v>217</v>
      </c>
      <c r="C214" s="346"/>
      <c r="D214" s="346"/>
      <c r="E214" s="346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46"/>
      <c r="R214" s="346"/>
      <c r="S214" s="346"/>
      <c r="T214" s="104"/>
    </row>
    <row r="215" spans="1:35" x14ac:dyDescent="0.25">
      <c r="A215" s="1"/>
      <c r="B215" s="346" t="s">
        <v>218</v>
      </c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6"/>
      <c r="O215" s="346"/>
      <c r="P215" s="346"/>
      <c r="Q215" s="346"/>
      <c r="R215" s="346"/>
      <c r="S215" s="346"/>
      <c r="T215" s="104"/>
    </row>
    <row r="216" spans="1:35" x14ac:dyDescent="0.25">
      <c r="A216" s="1"/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46"/>
      <c r="S216" s="346"/>
      <c r="T216" s="104"/>
    </row>
    <row r="217" spans="1:35" x14ac:dyDescent="0.25">
      <c r="A217" s="1"/>
      <c r="B217" s="346"/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346"/>
      <c r="S217" s="346"/>
      <c r="T217" s="104"/>
    </row>
    <row r="218" spans="1:35" x14ac:dyDescent="0.25">
      <c r="A218" s="1"/>
      <c r="B218" s="348" t="s">
        <v>327</v>
      </c>
      <c r="C218" s="346"/>
      <c r="D218" s="346"/>
      <c r="E218" s="346"/>
      <c r="F218" s="346"/>
      <c r="G218" s="346"/>
      <c r="H218" s="346"/>
      <c r="I218" s="346"/>
      <c r="J218" s="346"/>
      <c r="K218" s="346"/>
      <c r="L218" s="346"/>
      <c r="M218" s="346"/>
      <c r="N218" s="346"/>
      <c r="O218" s="346"/>
      <c r="P218" s="346"/>
      <c r="Q218" s="346"/>
      <c r="R218" s="346"/>
      <c r="S218" s="346"/>
      <c r="T218" s="104"/>
    </row>
    <row r="219" spans="1:35" x14ac:dyDescent="0.25">
      <c r="A219" s="1"/>
      <c r="B219" s="348"/>
      <c r="C219" s="346"/>
      <c r="D219" s="346"/>
      <c r="E219" s="346"/>
      <c r="F219" s="346"/>
      <c r="G219" s="346"/>
      <c r="H219" s="346"/>
      <c r="I219" s="346"/>
      <c r="J219" s="346"/>
      <c r="K219" s="346"/>
      <c r="L219" s="346"/>
      <c r="M219" s="346"/>
      <c r="N219" s="346"/>
      <c r="O219" s="346"/>
      <c r="P219" s="346"/>
      <c r="Q219" s="346"/>
      <c r="R219" s="346"/>
      <c r="S219" s="346"/>
      <c r="T219" s="104"/>
    </row>
    <row r="220" spans="1:35" x14ac:dyDescent="0.25">
      <c r="A220" s="1"/>
      <c r="B220" s="347" t="s">
        <v>729</v>
      </c>
      <c r="C220" s="346"/>
      <c r="D220" s="346"/>
      <c r="E220" s="346"/>
      <c r="F220" s="346"/>
      <c r="G220" s="346"/>
      <c r="H220" s="346"/>
      <c r="I220" s="346"/>
      <c r="J220" s="346"/>
      <c r="K220" s="346"/>
      <c r="L220" s="346"/>
      <c r="M220" s="346"/>
      <c r="N220" s="346"/>
      <c r="O220" s="346"/>
      <c r="P220" s="346"/>
      <c r="Q220" s="346"/>
      <c r="R220" s="346"/>
      <c r="S220" s="346"/>
      <c r="T220" s="1"/>
    </row>
    <row r="221" spans="1:35" x14ac:dyDescent="0.25">
      <c r="A221" s="1"/>
      <c r="B221" s="346" t="s">
        <v>730</v>
      </c>
      <c r="C221" s="346"/>
      <c r="D221" s="346"/>
      <c r="E221" s="346"/>
      <c r="F221" s="346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346"/>
      <c r="S221" s="346"/>
      <c r="T221" s="1"/>
    </row>
    <row r="222" spans="1:35" x14ac:dyDescent="0.25">
      <c r="A222" s="1"/>
      <c r="B222" s="346" t="s">
        <v>731</v>
      </c>
      <c r="C222" s="346"/>
      <c r="D222" s="346"/>
      <c r="E222" s="346"/>
      <c r="F222" s="346"/>
      <c r="G222" s="346"/>
      <c r="H222" s="346"/>
      <c r="I222" s="346"/>
      <c r="J222" s="346"/>
      <c r="K222" s="346"/>
      <c r="L222" s="346"/>
      <c r="M222" s="346"/>
      <c r="N222" s="346"/>
      <c r="O222" s="346"/>
      <c r="P222" s="346"/>
      <c r="Q222" s="346"/>
      <c r="R222" s="346"/>
      <c r="S222" s="346"/>
      <c r="T222" s="1"/>
    </row>
    <row r="223" spans="1:35" x14ac:dyDescent="0.25">
      <c r="A223" s="1"/>
      <c r="B223" s="346"/>
      <c r="C223" s="346"/>
      <c r="D223" s="346"/>
      <c r="E223" s="346"/>
      <c r="F223" s="346"/>
      <c r="G223" s="346"/>
      <c r="H223" s="346"/>
      <c r="I223" s="346"/>
      <c r="J223" s="346"/>
      <c r="K223" s="346"/>
      <c r="L223" s="346"/>
      <c r="M223" s="346"/>
      <c r="N223" s="346"/>
      <c r="O223" s="346"/>
      <c r="P223" s="346"/>
      <c r="Q223" s="346"/>
      <c r="R223" s="346"/>
      <c r="S223" s="346"/>
      <c r="T223" s="1"/>
    </row>
    <row r="224" spans="1:35" x14ac:dyDescent="0.25">
      <c r="A224" s="1"/>
      <c r="B224" s="348" t="s">
        <v>485</v>
      </c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346"/>
      <c r="S224" s="346"/>
      <c r="T224" s="1"/>
    </row>
    <row r="225" spans="1:20" x14ac:dyDescent="0.25">
      <c r="A225" s="1"/>
      <c r="B225" s="348" t="s">
        <v>550</v>
      </c>
      <c r="C225" s="346"/>
      <c r="D225" s="346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346"/>
      <c r="P225" s="346"/>
      <c r="Q225" s="346"/>
      <c r="R225" s="346"/>
      <c r="S225" s="346"/>
      <c r="T225" s="1"/>
    </row>
    <row r="226" spans="1:20" x14ac:dyDescent="0.25">
      <c r="A226" s="1"/>
      <c r="B226" s="348" t="s">
        <v>630</v>
      </c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46"/>
      <c r="R226" s="346"/>
      <c r="S226" s="346"/>
      <c r="T226" s="1"/>
    </row>
    <row r="227" spans="1:20" x14ac:dyDescent="0.25">
      <c r="A227" s="1"/>
      <c r="B227" s="348" t="s">
        <v>640</v>
      </c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346"/>
      <c r="N227" s="346"/>
      <c r="O227" s="346"/>
      <c r="P227" s="346"/>
      <c r="Q227" s="346"/>
      <c r="R227" s="346"/>
      <c r="S227" s="346"/>
      <c r="T227" s="1"/>
    </row>
    <row r="228" spans="1:20" x14ac:dyDescent="0.25">
      <c r="A228" s="1"/>
      <c r="B228" s="348" t="s">
        <v>698</v>
      </c>
      <c r="C228" s="346"/>
      <c r="D228" s="346"/>
      <c r="E228" s="346"/>
      <c r="F228" s="346"/>
      <c r="G228" s="346"/>
      <c r="H228" s="346"/>
      <c r="I228" s="346"/>
      <c r="J228" s="346"/>
      <c r="K228" s="346"/>
      <c r="L228" s="346"/>
      <c r="M228" s="346"/>
      <c r="N228" s="346"/>
      <c r="O228" s="346"/>
      <c r="P228" s="346"/>
      <c r="Q228" s="346"/>
      <c r="R228" s="346"/>
      <c r="S228" s="346"/>
    </row>
    <row r="229" spans="1:20" x14ac:dyDescent="0.25">
      <c r="A229" s="1"/>
      <c r="B229" s="348" t="s">
        <v>737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1"/>
      <c r="B230" s="34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1"/>
      <c r="B231" s="34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1"/>
      <c r="B232" s="34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</sheetData>
  <mergeCells count="24">
    <mergeCell ref="A202:B202"/>
    <mergeCell ref="A138:B138"/>
    <mergeCell ref="A142:S142"/>
    <mergeCell ref="A143:B143"/>
    <mergeCell ref="A144:B144"/>
    <mergeCell ref="A154:B154"/>
    <mergeCell ref="A174:S174"/>
    <mergeCell ref="A175:B175"/>
    <mergeCell ref="A192:S192"/>
    <mergeCell ref="A193:B193"/>
    <mergeCell ref="A196:B196"/>
    <mergeCell ref="A199:B199"/>
    <mergeCell ref="A137:B137"/>
    <mergeCell ref="A1:S1"/>
    <mergeCell ref="A2:B2"/>
    <mergeCell ref="A3:B3"/>
    <mergeCell ref="A11:B11"/>
    <mergeCell ref="A70:B70"/>
    <mergeCell ref="A72:B72"/>
    <mergeCell ref="A73:B73"/>
    <mergeCell ref="A77:S77"/>
    <mergeCell ref="A78:B78"/>
    <mergeCell ref="A94:B94"/>
    <mergeCell ref="A134:B134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headerFooter>
    <oddHeader xml:space="preserve">&amp;CRozpočet na rok 2022
6. zmena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2"/>
  <sheetViews>
    <sheetView zoomScaleNormal="100" workbookViewId="0">
      <pane xSplit="1" topLeftCell="B1" activePane="topRight" state="frozen"/>
      <selection activeCell="A36" sqref="A36"/>
      <selection pane="topRight" sqref="A1:Q1"/>
    </sheetView>
  </sheetViews>
  <sheetFormatPr defaultRowHeight="15" x14ac:dyDescent="0.25"/>
  <cols>
    <col min="1" max="1" width="6.42578125" customWidth="1"/>
    <col min="2" max="2" width="64.140625" customWidth="1"/>
    <col min="3" max="16" width="13" customWidth="1"/>
    <col min="17" max="17" width="12.85546875" customWidth="1"/>
    <col min="18" max="18" width="6.5703125" customWidth="1"/>
    <col min="20" max="20" width="8.7109375" customWidth="1"/>
    <col min="21" max="21" width="10.28515625" customWidth="1"/>
    <col min="22" max="22" width="9.85546875" customWidth="1"/>
    <col min="24" max="24" width="9.7109375" customWidth="1"/>
    <col min="27" max="27" width="12.28515625" customWidth="1"/>
  </cols>
  <sheetData>
    <row r="1" spans="1:30" ht="18.75" thickBot="1" x14ac:dyDescent="0.3">
      <c r="A1" s="807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1"/>
    </row>
    <row r="2" spans="1:30" ht="39.75" customHeight="1" thickBot="1" x14ac:dyDescent="0.3">
      <c r="A2" s="809" t="s">
        <v>1</v>
      </c>
      <c r="B2" s="810"/>
      <c r="C2" s="416" t="s">
        <v>376</v>
      </c>
      <c r="D2" s="416" t="s">
        <v>509</v>
      </c>
      <c r="E2" s="416" t="s">
        <v>511</v>
      </c>
      <c r="F2" s="416" t="s">
        <v>512</v>
      </c>
      <c r="G2" s="416" t="s">
        <v>453</v>
      </c>
      <c r="H2" s="416" t="s">
        <v>541</v>
      </c>
      <c r="I2" s="416" t="s">
        <v>497</v>
      </c>
      <c r="J2" s="416" t="s">
        <v>556</v>
      </c>
      <c r="K2" s="416" t="s">
        <v>561</v>
      </c>
      <c r="L2" s="416" t="s">
        <v>605</v>
      </c>
      <c r="M2" s="416" t="s">
        <v>606</v>
      </c>
      <c r="N2" s="416" t="s">
        <v>678</v>
      </c>
      <c r="O2" s="416" t="s">
        <v>679</v>
      </c>
      <c r="P2" s="416" t="s">
        <v>704</v>
      </c>
      <c r="Q2" s="416" t="s">
        <v>717</v>
      </c>
      <c r="R2" s="1" t="s">
        <v>407</v>
      </c>
    </row>
    <row r="3" spans="1:30" ht="15.75" thickBot="1" x14ac:dyDescent="0.3">
      <c r="A3" s="811" t="s">
        <v>4</v>
      </c>
      <c r="B3" s="812"/>
      <c r="C3" s="2">
        <f t="shared" ref="C3:Q3" si="0">SUM(C4:C10)</f>
        <v>1289980</v>
      </c>
      <c r="D3" s="2">
        <f t="shared" si="0"/>
        <v>1289980</v>
      </c>
      <c r="E3" s="2">
        <f t="shared" si="0"/>
        <v>1289980</v>
      </c>
      <c r="F3" s="2">
        <f t="shared" si="0"/>
        <v>1289980</v>
      </c>
      <c r="G3" s="2">
        <f t="shared" si="0"/>
        <v>1289980</v>
      </c>
      <c r="H3" s="2">
        <f t="shared" si="0"/>
        <v>1289980</v>
      </c>
      <c r="I3" s="2">
        <f t="shared" si="0"/>
        <v>1294880</v>
      </c>
      <c r="J3" s="2">
        <f t="shared" si="0"/>
        <v>1294880</v>
      </c>
      <c r="K3" s="2">
        <f t="shared" si="0"/>
        <v>1295223</v>
      </c>
      <c r="L3" s="2">
        <f t="shared" ref="L3:M3" si="1">SUM(L4:L10)</f>
        <v>1295223</v>
      </c>
      <c r="M3" s="2">
        <f t="shared" si="1"/>
        <v>1301423</v>
      </c>
      <c r="N3" s="2">
        <f t="shared" ref="N3:O3" si="2">SUM(N4:N10)</f>
        <v>1301423</v>
      </c>
      <c r="O3" s="2">
        <f t="shared" si="2"/>
        <v>1317160</v>
      </c>
      <c r="P3" s="2">
        <f t="shared" ref="P3" si="3">SUM(P4:P10)</f>
        <v>1317160</v>
      </c>
      <c r="Q3" s="2">
        <f t="shared" si="0"/>
        <v>874689</v>
      </c>
      <c r="R3" s="655">
        <f>Q3/P3</f>
        <v>0.66407194266452063</v>
      </c>
    </row>
    <row r="4" spans="1:30" ht="15.75" thickBot="1" x14ac:dyDescent="0.3">
      <c r="A4" s="3">
        <v>111</v>
      </c>
      <c r="B4" s="124" t="s">
        <v>5</v>
      </c>
      <c r="C4" s="6">
        <v>1214000</v>
      </c>
      <c r="D4" s="6">
        <v>1214000</v>
      </c>
      <c r="E4" s="6">
        <v>1214000</v>
      </c>
      <c r="F4" s="6">
        <v>1214000</v>
      </c>
      <c r="G4" s="6">
        <v>1214000</v>
      </c>
      <c r="H4" s="6">
        <v>1214000</v>
      </c>
      <c r="I4" s="719">
        <f>1214000+4900</f>
        <v>1218900</v>
      </c>
      <c r="J4" s="6">
        <f>1214000+4900</f>
        <v>1218900</v>
      </c>
      <c r="K4" s="719">
        <f>1214000+4900+343</f>
        <v>1219243</v>
      </c>
      <c r="L4" s="6">
        <f t="shared" ref="L4" si="4">1214000+4900+343</f>
        <v>1219243</v>
      </c>
      <c r="M4" s="719">
        <f>1214000+4900+343+4500</f>
        <v>1223743</v>
      </c>
      <c r="N4" s="6">
        <f t="shared" ref="N4" si="5">1214000+4900+343+4500</f>
        <v>1223743</v>
      </c>
      <c r="O4" s="719">
        <f>1214000+4900+343+4500+11257</f>
        <v>1235000</v>
      </c>
      <c r="P4" s="6">
        <f>1214000+4900+343+4500+11257</f>
        <v>1235000</v>
      </c>
      <c r="Q4" s="6">
        <v>819892</v>
      </c>
      <c r="R4" s="655">
        <f t="shared" ref="R4:R67" si="6">Q4/P4</f>
        <v>0.66388016194331989</v>
      </c>
    </row>
    <row r="5" spans="1:30" ht="15.75" thickBot="1" x14ac:dyDescent="0.3">
      <c r="A5" s="7">
        <v>121</v>
      </c>
      <c r="B5" s="351" t="s">
        <v>6</v>
      </c>
      <c r="C5" s="11">
        <v>40080</v>
      </c>
      <c r="D5" s="11">
        <v>40080</v>
      </c>
      <c r="E5" s="11">
        <v>40080</v>
      </c>
      <c r="F5" s="11">
        <v>40080</v>
      </c>
      <c r="G5" s="11">
        <v>40080</v>
      </c>
      <c r="H5" s="11">
        <v>40080</v>
      </c>
      <c r="I5" s="11">
        <v>40080</v>
      </c>
      <c r="J5" s="11">
        <v>40080</v>
      </c>
      <c r="K5" s="11">
        <v>40080</v>
      </c>
      <c r="L5" s="11">
        <v>40080</v>
      </c>
      <c r="M5" s="741">
        <f>40080+830</f>
        <v>40910</v>
      </c>
      <c r="N5" s="11">
        <f>40080+830</f>
        <v>40910</v>
      </c>
      <c r="O5" s="11">
        <f>40080+830</f>
        <v>40910</v>
      </c>
      <c r="P5" s="11">
        <f>40080+830</f>
        <v>40910</v>
      </c>
      <c r="Q5" s="11">
        <v>29375</v>
      </c>
      <c r="R5" s="655">
        <f t="shared" si="6"/>
        <v>0.71803959912001958</v>
      </c>
    </row>
    <row r="6" spans="1:30" x14ac:dyDescent="0.25">
      <c r="A6" s="12">
        <v>133</v>
      </c>
      <c r="B6" s="352" t="s">
        <v>7</v>
      </c>
      <c r="C6" s="16">
        <v>1000</v>
      </c>
      <c r="D6" s="16">
        <v>1000</v>
      </c>
      <c r="E6" s="16">
        <v>1000</v>
      </c>
      <c r="F6" s="16">
        <v>1000</v>
      </c>
      <c r="G6" s="16">
        <v>1000</v>
      </c>
      <c r="H6" s="16">
        <v>1000</v>
      </c>
      <c r="I6" s="16">
        <v>1000</v>
      </c>
      <c r="J6" s="16">
        <v>1000</v>
      </c>
      <c r="K6" s="16">
        <v>1000</v>
      </c>
      <c r="L6" s="16">
        <v>1000</v>
      </c>
      <c r="M6" s="754">
        <f>1000+50</f>
        <v>1050</v>
      </c>
      <c r="N6" s="16">
        <f>1000+50</f>
        <v>1050</v>
      </c>
      <c r="O6" s="16">
        <f>1000+50</f>
        <v>1050</v>
      </c>
      <c r="P6" s="16">
        <f>1000+50</f>
        <v>1050</v>
      </c>
      <c r="Q6" s="16">
        <v>1029</v>
      </c>
      <c r="R6" s="655">
        <f t="shared" si="6"/>
        <v>0.98</v>
      </c>
    </row>
    <row r="7" spans="1:30" x14ac:dyDescent="0.25">
      <c r="A7" s="17">
        <v>133</v>
      </c>
      <c r="B7" s="353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400</v>
      </c>
      <c r="I7" s="21">
        <v>400</v>
      </c>
      <c r="J7" s="21">
        <v>400</v>
      </c>
      <c r="K7" s="21">
        <v>400</v>
      </c>
      <c r="L7" s="21">
        <v>400</v>
      </c>
      <c r="M7" s="755">
        <f>400-200</f>
        <v>200</v>
      </c>
      <c r="N7" s="21">
        <f t="shared" ref="N7:P7" si="7">400-200</f>
        <v>200</v>
      </c>
      <c r="O7" s="21">
        <f t="shared" si="7"/>
        <v>200</v>
      </c>
      <c r="P7" s="21">
        <f t="shared" si="7"/>
        <v>200</v>
      </c>
      <c r="Q7" s="21">
        <v>0</v>
      </c>
      <c r="R7" s="655">
        <f t="shared" si="6"/>
        <v>0</v>
      </c>
    </row>
    <row r="8" spans="1:30" x14ac:dyDescent="0.25">
      <c r="A8" s="17">
        <v>133</v>
      </c>
      <c r="B8" s="353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2000</v>
      </c>
      <c r="K8" s="21">
        <v>2000</v>
      </c>
      <c r="L8" s="21">
        <v>2000</v>
      </c>
      <c r="M8" s="755">
        <f>2000-500</f>
        <v>1500</v>
      </c>
      <c r="N8" s="755">
        <f>2000-500-100</f>
        <v>1400</v>
      </c>
      <c r="O8" s="755">
        <f>2000-500+600</f>
        <v>2100</v>
      </c>
      <c r="P8" s="21">
        <f>2000-500+600</f>
        <v>2100</v>
      </c>
      <c r="Q8" s="21">
        <v>875</v>
      </c>
      <c r="R8" s="655">
        <f t="shared" si="6"/>
        <v>0.41666666666666669</v>
      </c>
    </row>
    <row r="9" spans="1:30" x14ac:dyDescent="0.25">
      <c r="A9" s="17">
        <v>133</v>
      </c>
      <c r="B9" s="353" t="s">
        <v>10</v>
      </c>
      <c r="C9" s="21">
        <v>2500</v>
      </c>
      <c r="D9" s="21">
        <v>2500</v>
      </c>
      <c r="E9" s="21">
        <v>2500</v>
      </c>
      <c r="F9" s="21">
        <v>2500</v>
      </c>
      <c r="G9" s="21">
        <v>2500</v>
      </c>
      <c r="H9" s="21">
        <v>2500</v>
      </c>
      <c r="I9" s="21">
        <v>2500</v>
      </c>
      <c r="J9" s="21">
        <v>2500</v>
      </c>
      <c r="K9" s="21">
        <v>2500</v>
      </c>
      <c r="L9" s="21">
        <v>2500</v>
      </c>
      <c r="M9" s="755">
        <f>2500+1520</f>
        <v>4020</v>
      </c>
      <c r="N9" s="755">
        <f>2500+1520+100</f>
        <v>4120</v>
      </c>
      <c r="O9" s="755">
        <f>2500+1520+1880</f>
        <v>5900</v>
      </c>
      <c r="P9" s="21">
        <f>2500+1520+1880</f>
        <v>5900</v>
      </c>
      <c r="Q9" s="21">
        <v>4317</v>
      </c>
      <c r="R9" s="655">
        <f t="shared" si="6"/>
        <v>0.73169491525423724</v>
      </c>
    </row>
    <row r="10" spans="1:30" ht="15.75" thickBot="1" x14ac:dyDescent="0.3">
      <c r="A10" s="22">
        <v>133</v>
      </c>
      <c r="B10" s="354" t="s">
        <v>11</v>
      </c>
      <c r="C10" s="26">
        <v>30000</v>
      </c>
      <c r="D10" s="26">
        <v>30000</v>
      </c>
      <c r="E10" s="26">
        <v>30000</v>
      </c>
      <c r="F10" s="26">
        <v>30000</v>
      </c>
      <c r="G10" s="26">
        <v>30000</v>
      </c>
      <c r="H10" s="26">
        <v>30000</v>
      </c>
      <c r="I10" s="26">
        <v>30000</v>
      </c>
      <c r="J10" s="26">
        <v>30000</v>
      </c>
      <c r="K10" s="26">
        <v>30000</v>
      </c>
      <c r="L10" s="26">
        <v>30000</v>
      </c>
      <c r="M10" s="26">
        <v>30000</v>
      </c>
      <c r="N10" s="26">
        <v>30000</v>
      </c>
      <c r="O10" s="756">
        <f>30000+2000</f>
        <v>32000</v>
      </c>
      <c r="P10" s="26">
        <f>30000+2000</f>
        <v>32000</v>
      </c>
      <c r="Q10" s="26">
        <v>19201</v>
      </c>
      <c r="R10" s="655">
        <f t="shared" si="6"/>
        <v>0.60003125000000002</v>
      </c>
      <c r="S10" s="464">
        <f t="shared" ref="S10:AC10" si="8">SUM(C6:C10)</f>
        <v>35900</v>
      </c>
      <c r="T10" s="464">
        <f t="shared" si="8"/>
        <v>35900</v>
      </c>
      <c r="U10" s="464">
        <f t="shared" si="8"/>
        <v>35900</v>
      </c>
      <c r="V10" s="464">
        <f t="shared" si="8"/>
        <v>35900</v>
      </c>
      <c r="W10" s="464">
        <f t="shared" si="8"/>
        <v>35900</v>
      </c>
      <c r="X10" s="464">
        <f t="shared" si="8"/>
        <v>35900</v>
      </c>
      <c r="Y10" s="464">
        <f t="shared" si="8"/>
        <v>35900</v>
      </c>
      <c r="Z10" s="464">
        <f t="shared" si="8"/>
        <v>35900</v>
      </c>
      <c r="AA10" s="464">
        <f t="shared" si="8"/>
        <v>35900</v>
      </c>
      <c r="AB10" s="464">
        <f t="shared" si="8"/>
        <v>35900</v>
      </c>
      <c r="AC10" s="464">
        <f t="shared" si="8"/>
        <v>36770</v>
      </c>
      <c r="AD10" s="464">
        <f t="shared" ref="AD10" si="9">SUM(Q6:Q10)</f>
        <v>25422</v>
      </c>
    </row>
    <row r="11" spans="1:30" ht="15.75" thickBot="1" x14ac:dyDescent="0.3">
      <c r="A11" s="811" t="s">
        <v>12</v>
      </c>
      <c r="B11" s="812"/>
      <c r="C11" s="355">
        <f t="shared" ref="C11:Q11" si="10">SUM(C12:C31)</f>
        <v>208158</v>
      </c>
      <c r="D11" s="355">
        <f t="shared" si="10"/>
        <v>208158</v>
      </c>
      <c r="E11" s="355">
        <f t="shared" si="10"/>
        <v>208158</v>
      </c>
      <c r="F11" s="355">
        <f t="shared" si="10"/>
        <v>208158</v>
      </c>
      <c r="G11" s="355">
        <f t="shared" si="10"/>
        <v>208158</v>
      </c>
      <c r="H11" s="355">
        <f t="shared" si="10"/>
        <v>208158</v>
      </c>
      <c r="I11" s="355">
        <f t="shared" si="10"/>
        <v>208158</v>
      </c>
      <c r="J11" s="355">
        <f t="shared" si="10"/>
        <v>208158</v>
      </c>
      <c r="K11" s="355">
        <f t="shared" si="10"/>
        <v>208158</v>
      </c>
      <c r="L11" s="355">
        <f t="shared" si="10"/>
        <v>208158</v>
      </c>
      <c r="M11" s="355">
        <f t="shared" si="10"/>
        <v>208158</v>
      </c>
      <c r="N11" s="355">
        <f t="shared" ref="N11:O11" si="11">SUM(N12:N31)</f>
        <v>208158</v>
      </c>
      <c r="O11" s="355">
        <f t="shared" si="11"/>
        <v>209158</v>
      </c>
      <c r="P11" s="355">
        <f t="shared" ref="P11" si="12">SUM(P12:P31)</f>
        <v>209158</v>
      </c>
      <c r="Q11" s="355">
        <f t="shared" si="10"/>
        <v>110551</v>
      </c>
      <c r="R11" s="655">
        <f t="shared" si="6"/>
        <v>0.52855257747731377</v>
      </c>
    </row>
    <row r="12" spans="1:30" x14ac:dyDescent="0.25">
      <c r="A12" s="28">
        <v>212</v>
      </c>
      <c r="B12" s="29" t="s">
        <v>13</v>
      </c>
      <c r="C12" s="32">
        <v>1893</v>
      </c>
      <c r="D12" s="32">
        <v>1893</v>
      </c>
      <c r="E12" s="32">
        <v>1893</v>
      </c>
      <c r="F12" s="32">
        <v>1893</v>
      </c>
      <c r="G12" s="32">
        <v>1893</v>
      </c>
      <c r="H12" s="32">
        <v>1893</v>
      </c>
      <c r="I12" s="32">
        <v>1893</v>
      </c>
      <c r="J12" s="32">
        <v>1893</v>
      </c>
      <c r="K12" s="32">
        <v>1893</v>
      </c>
      <c r="L12" s="32">
        <v>1893</v>
      </c>
      <c r="M12" s="32">
        <v>1893</v>
      </c>
      <c r="N12" s="32">
        <v>1893</v>
      </c>
      <c r="O12" s="32">
        <v>1893</v>
      </c>
      <c r="P12" s="32">
        <v>1893</v>
      </c>
      <c r="Q12" s="32">
        <v>828</v>
      </c>
      <c r="R12" s="655">
        <f t="shared" si="6"/>
        <v>0.43740095087163233</v>
      </c>
    </row>
    <row r="13" spans="1:30" x14ac:dyDescent="0.25">
      <c r="A13" s="12">
        <v>212</v>
      </c>
      <c r="B13" s="13" t="s">
        <v>14</v>
      </c>
      <c r="C13" s="16">
        <v>500</v>
      </c>
      <c r="D13" s="16">
        <v>500</v>
      </c>
      <c r="E13" s="16">
        <v>500</v>
      </c>
      <c r="F13" s="16">
        <v>500</v>
      </c>
      <c r="G13" s="16">
        <v>500</v>
      </c>
      <c r="H13" s="16">
        <v>500</v>
      </c>
      <c r="I13" s="16">
        <v>500</v>
      </c>
      <c r="J13" s="16">
        <v>500</v>
      </c>
      <c r="K13" s="16">
        <v>500</v>
      </c>
      <c r="L13" s="16">
        <v>500</v>
      </c>
      <c r="M13" s="16">
        <v>500</v>
      </c>
      <c r="N13" s="16">
        <v>500</v>
      </c>
      <c r="O13" s="16">
        <v>500</v>
      </c>
      <c r="P13" s="16">
        <v>500</v>
      </c>
      <c r="Q13" s="16">
        <v>320</v>
      </c>
      <c r="R13" s="655">
        <f t="shared" si="6"/>
        <v>0.64</v>
      </c>
    </row>
    <row r="14" spans="1:30" x14ac:dyDescent="0.25">
      <c r="A14" s="17">
        <v>212</v>
      </c>
      <c r="B14" s="18" t="s">
        <v>15</v>
      </c>
      <c r="C14" s="33">
        <v>3712</v>
      </c>
      <c r="D14" s="33">
        <v>3712</v>
      </c>
      <c r="E14" s="33">
        <v>3712</v>
      </c>
      <c r="F14" s="33">
        <v>3712</v>
      </c>
      <c r="G14" s="33">
        <v>3712</v>
      </c>
      <c r="H14" s="33">
        <v>3712</v>
      </c>
      <c r="I14" s="33">
        <v>3712</v>
      </c>
      <c r="J14" s="33">
        <v>3712</v>
      </c>
      <c r="K14" s="33">
        <v>3712</v>
      </c>
      <c r="L14" s="33">
        <v>3712</v>
      </c>
      <c r="M14" s="33">
        <v>3712</v>
      </c>
      <c r="N14" s="33">
        <v>3712</v>
      </c>
      <c r="O14" s="33">
        <v>3712</v>
      </c>
      <c r="P14" s="33">
        <v>3712</v>
      </c>
      <c r="Q14" s="33">
        <v>2264</v>
      </c>
      <c r="R14" s="655">
        <f t="shared" si="6"/>
        <v>0.60991379310344829</v>
      </c>
    </row>
    <row r="15" spans="1:30" x14ac:dyDescent="0.25">
      <c r="A15" s="17">
        <v>212</v>
      </c>
      <c r="B15" s="18" t="s">
        <v>16</v>
      </c>
      <c r="C15" s="21">
        <v>21393</v>
      </c>
      <c r="D15" s="21">
        <v>21393</v>
      </c>
      <c r="E15" s="21">
        <v>21393</v>
      </c>
      <c r="F15" s="21">
        <v>21393</v>
      </c>
      <c r="G15" s="21">
        <v>21393</v>
      </c>
      <c r="H15" s="21">
        <v>21393</v>
      </c>
      <c r="I15" s="21">
        <v>21393</v>
      </c>
      <c r="J15" s="21">
        <v>21393</v>
      </c>
      <c r="K15" s="21">
        <v>21393</v>
      </c>
      <c r="L15" s="21">
        <v>21393</v>
      </c>
      <c r="M15" s="21">
        <v>21393</v>
      </c>
      <c r="N15" s="21">
        <v>21393</v>
      </c>
      <c r="O15" s="21">
        <v>21393</v>
      </c>
      <c r="P15" s="21">
        <v>21393</v>
      </c>
      <c r="Q15" s="21">
        <v>11042</v>
      </c>
      <c r="R15" s="655">
        <f t="shared" si="6"/>
        <v>0.51615014256999958</v>
      </c>
    </row>
    <row r="16" spans="1:30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655">
        <v>0</v>
      </c>
      <c r="S16" s="464">
        <f t="shared" ref="S16:AC16" si="13">SUM(C12:C16)</f>
        <v>27498</v>
      </c>
      <c r="T16" s="464">
        <f t="shared" si="13"/>
        <v>27498</v>
      </c>
      <c r="U16" s="464">
        <f t="shared" si="13"/>
        <v>27498</v>
      </c>
      <c r="V16" s="464">
        <f t="shared" si="13"/>
        <v>27498</v>
      </c>
      <c r="W16" s="464">
        <f t="shared" si="13"/>
        <v>27498</v>
      </c>
      <c r="X16" s="464">
        <f t="shared" si="13"/>
        <v>27498</v>
      </c>
      <c r="Y16" s="464">
        <f t="shared" si="13"/>
        <v>27498</v>
      </c>
      <c r="Z16" s="464">
        <f t="shared" si="13"/>
        <v>27498</v>
      </c>
      <c r="AA16" s="464">
        <f t="shared" si="13"/>
        <v>27498</v>
      </c>
      <c r="AB16" s="464">
        <f t="shared" si="13"/>
        <v>27498</v>
      </c>
      <c r="AC16" s="464">
        <f t="shared" si="13"/>
        <v>27498</v>
      </c>
      <c r="AD16" s="464">
        <f t="shared" ref="AD16" si="14">SUM(Q12:Q16)</f>
        <v>14454</v>
      </c>
    </row>
    <row r="17" spans="1:30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5100</v>
      </c>
      <c r="J17" s="41">
        <v>5100</v>
      </c>
      <c r="K17" s="41">
        <v>5100</v>
      </c>
      <c r="L17" s="41">
        <v>5100</v>
      </c>
      <c r="M17" s="41">
        <v>5100</v>
      </c>
      <c r="N17" s="41">
        <v>5100</v>
      </c>
      <c r="O17" s="41">
        <v>5100</v>
      </c>
      <c r="P17" s="41">
        <v>5100</v>
      </c>
      <c r="Q17" s="41">
        <v>2531</v>
      </c>
      <c r="R17" s="655">
        <f t="shared" si="6"/>
        <v>0.49627450980392157</v>
      </c>
    </row>
    <row r="18" spans="1:30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655">
        <v>0</v>
      </c>
    </row>
    <row r="19" spans="1:30" x14ac:dyDescent="0.25">
      <c r="A19" s="12">
        <v>223</v>
      </c>
      <c r="B19" s="13" t="s">
        <v>398</v>
      </c>
      <c r="C19" s="16">
        <v>650</v>
      </c>
      <c r="D19" s="16">
        <v>650</v>
      </c>
      <c r="E19" s="16">
        <v>650</v>
      </c>
      <c r="F19" s="16">
        <v>650</v>
      </c>
      <c r="G19" s="16">
        <v>650</v>
      </c>
      <c r="H19" s="16">
        <v>650</v>
      </c>
      <c r="I19" s="16">
        <v>650</v>
      </c>
      <c r="J19" s="16">
        <v>650</v>
      </c>
      <c r="K19" s="16">
        <v>650</v>
      </c>
      <c r="L19" s="16">
        <v>650</v>
      </c>
      <c r="M19" s="16">
        <v>650</v>
      </c>
      <c r="N19" s="16">
        <v>650</v>
      </c>
      <c r="O19" s="16">
        <v>650</v>
      </c>
      <c r="P19" s="16">
        <v>650</v>
      </c>
      <c r="Q19" s="16">
        <v>446</v>
      </c>
      <c r="R19" s="655">
        <f t="shared" si="6"/>
        <v>0.68615384615384611</v>
      </c>
    </row>
    <row r="20" spans="1:30" x14ac:dyDescent="0.25">
      <c r="A20" s="17">
        <v>223</v>
      </c>
      <c r="B20" s="18" t="s">
        <v>21</v>
      </c>
      <c r="C20" s="21">
        <f t="shared" ref="C20:P20" si="15">19000+3000</f>
        <v>22000</v>
      </c>
      <c r="D20" s="21">
        <f t="shared" si="15"/>
        <v>22000</v>
      </c>
      <c r="E20" s="21">
        <f t="shared" si="15"/>
        <v>22000</v>
      </c>
      <c r="F20" s="21">
        <f t="shared" si="15"/>
        <v>22000</v>
      </c>
      <c r="G20" s="21">
        <f t="shared" si="15"/>
        <v>22000</v>
      </c>
      <c r="H20" s="21">
        <f t="shared" si="15"/>
        <v>22000</v>
      </c>
      <c r="I20" s="21">
        <f t="shared" si="15"/>
        <v>22000</v>
      </c>
      <c r="J20" s="21">
        <f t="shared" si="15"/>
        <v>22000</v>
      </c>
      <c r="K20" s="21">
        <f t="shared" si="15"/>
        <v>22000</v>
      </c>
      <c r="L20" s="21">
        <f t="shared" si="15"/>
        <v>22000</v>
      </c>
      <c r="M20" s="21">
        <f t="shared" si="15"/>
        <v>22000</v>
      </c>
      <c r="N20" s="21">
        <f t="shared" si="15"/>
        <v>22000</v>
      </c>
      <c r="O20" s="21">
        <f t="shared" si="15"/>
        <v>22000</v>
      </c>
      <c r="P20" s="21">
        <f t="shared" si="15"/>
        <v>22000</v>
      </c>
      <c r="Q20" s="21">
        <v>11412</v>
      </c>
      <c r="R20" s="655">
        <f t="shared" si="6"/>
        <v>0.5187272727272727</v>
      </c>
    </row>
    <row r="21" spans="1:30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50</v>
      </c>
      <c r="K21" s="21">
        <v>50</v>
      </c>
      <c r="L21" s="21">
        <v>50</v>
      </c>
      <c r="M21" s="21">
        <v>50</v>
      </c>
      <c r="N21" s="21">
        <v>50</v>
      </c>
      <c r="O21" s="21">
        <v>50</v>
      </c>
      <c r="P21" s="21">
        <v>50</v>
      </c>
      <c r="Q21" s="21">
        <v>0</v>
      </c>
      <c r="R21" s="655">
        <f t="shared" si="6"/>
        <v>0</v>
      </c>
    </row>
    <row r="22" spans="1:30" x14ac:dyDescent="0.25">
      <c r="A22" s="17">
        <v>223</v>
      </c>
      <c r="B22" s="18" t="s">
        <v>23</v>
      </c>
      <c r="C22" s="21">
        <v>1500</v>
      </c>
      <c r="D22" s="21">
        <v>1500</v>
      </c>
      <c r="E22" s="21">
        <v>1500</v>
      </c>
      <c r="F22" s="21">
        <v>1500</v>
      </c>
      <c r="G22" s="21">
        <v>1500</v>
      </c>
      <c r="H22" s="21">
        <v>1500</v>
      </c>
      <c r="I22" s="21">
        <v>1500</v>
      </c>
      <c r="J22" s="21">
        <v>1500</v>
      </c>
      <c r="K22" s="21">
        <v>1500</v>
      </c>
      <c r="L22" s="21">
        <v>1500</v>
      </c>
      <c r="M22" s="21">
        <v>1500</v>
      </c>
      <c r="N22" s="21">
        <v>1500</v>
      </c>
      <c r="O22" s="755">
        <f>1500+1000</f>
        <v>2500</v>
      </c>
      <c r="P22" s="21">
        <f>1500+1000</f>
        <v>2500</v>
      </c>
      <c r="Q22" s="21">
        <v>1355</v>
      </c>
      <c r="R22" s="655">
        <f t="shared" si="6"/>
        <v>0.54200000000000004</v>
      </c>
    </row>
    <row r="23" spans="1:30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1000</v>
      </c>
      <c r="K23" s="21">
        <v>1000</v>
      </c>
      <c r="L23" s="21">
        <v>1000</v>
      </c>
      <c r="M23" s="21">
        <v>1000</v>
      </c>
      <c r="N23" s="21">
        <v>1000</v>
      </c>
      <c r="O23" s="21">
        <v>1000</v>
      </c>
      <c r="P23" s="21">
        <v>1000</v>
      </c>
      <c r="Q23" s="21">
        <v>244</v>
      </c>
      <c r="R23" s="655">
        <f t="shared" si="6"/>
        <v>0.24399999999999999</v>
      </c>
    </row>
    <row r="24" spans="1:30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1000</v>
      </c>
      <c r="K24" s="21">
        <v>1000</v>
      </c>
      <c r="L24" s="21">
        <v>1000</v>
      </c>
      <c r="M24" s="21">
        <v>1000</v>
      </c>
      <c r="N24" s="21">
        <v>1000</v>
      </c>
      <c r="O24" s="21">
        <v>1000</v>
      </c>
      <c r="P24" s="21">
        <v>1000</v>
      </c>
      <c r="Q24" s="21">
        <v>380</v>
      </c>
      <c r="R24" s="655">
        <f t="shared" si="6"/>
        <v>0.38</v>
      </c>
    </row>
    <row r="25" spans="1:30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40000</v>
      </c>
      <c r="J25" s="21">
        <v>40000</v>
      </c>
      <c r="K25" s="21">
        <v>40000</v>
      </c>
      <c r="L25" s="21">
        <v>40000</v>
      </c>
      <c r="M25" s="21">
        <v>40000</v>
      </c>
      <c r="N25" s="21">
        <v>40000</v>
      </c>
      <c r="O25" s="21">
        <v>40000</v>
      </c>
      <c r="P25" s="21">
        <v>40000</v>
      </c>
      <c r="Q25" s="21">
        <v>28492</v>
      </c>
      <c r="R25" s="655">
        <f t="shared" si="6"/>
        <v>0.71230000000000004</v>
      </c>
    </row>
    <row r="26" spans="1:30" x14ac:dyDescent="0.25">
      <c r="A26" s="17">
        <v>223</v>
      </c>
      <c r="B26" s="18" t="s">
        <v>29</v>
      </c>
      <c r="C26" s="21">
        <v>44100</v>
      </c>
      <c r="D26" s="21">
        <v>44100</v>
      </c>
      <c r="E26" s="21">
        <v>44100</v>
      </c>
      <c r="F26" s="21">
        <v>44100</v>
      </c>
      <c r="G26" s="21">
        <v>44100</v>
      </c>
      <c r="H26" s="21">
        <v>44100</v>
      </c>
      <c r="I26" s="21">
        <v>44100</v>
      </c>
      <c r="J26" s="21">
        <v>44100</v>
      </c>
      <c r="K26" s="21">
        <v>44100</v>
      </c>
      <c r="L26" s="21">
        <v>44100</v>
      </c>
      <c r="M26" s="21">
        <v>44100</v>
      </c>
      <c r="N26" s="21">
        <v>44100</v>
      </c>
      <c r="O26" s="21">
        <v>44100</v>
      </c>
      <c r="P26" s="21">
        <v>44100</v>
      </c>
      <c r="Q26" s="21">
        <v>21486</v>
      </c>
      <c r="R26" s="655">
        <f t="shared" si="6"/>
        <v>0.48721088435374149</v>
      </c>
    </row>
    <row r="27" spans="1:30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60</v>
      </c>
      <c r="K27" s="21">
        <v>60</v>
      </c>
      <c r="L27" s="21">
        <v>60</v>
      </c>
      <c r="M27" s="21">
        <v>60</v>
      </c>
      <c r="N27" s="21">
        <v>60</v>
      </c>
      <c r="O27" s="21">
        <v>60</v>
      </c>
      <c r="P27" s="21">
        <v>60</v>
      </c>
      <c r="Q27" s="21">
        <v>13</v>
      </c>
      <c r="R27" s="655">
        <f t="shared" si="6"/>
        <v>0.21666666666666667</v>
      </c>
    </row>
    <row r="28" spans="1:30" x14ac:dyDescent="0.25">
      <c r="A28" s="17">
        <v>223</v>
      </c>
      <c r="B28" s="18" t="s">
        <v>32</v>
      </c>
      <c r="C28" s="21">
        <v>2100</v>
      </c>
      <c r="D28" s="21">
        <v>2100</v>
      </c>
      <c r="E28" s="21">
        <v>2100</v>
      </c>
      <c r="F28" s="21">
        <v>2100</v>
      </c>
      <c r="G28" s="21">
        <v>2100</v>
      </c>
      <c r="H28" s="21">
        <v>2100</v>
      </c>
      <c r="I28" s="21">
        <v>2100</v>
      </c>
      <c r="J28" s="21">
        <v>2100</v>
      </c>
      <c r="K28" s="21">
        <v>2100</v>
      </c>
      <c r="L28" s="21">
        <v>2100</v>
      </c>
      <c r="M28" s="21">
        <v>2100</v>
      </c>
      <c r="N28" s="21">
        <v>2100</v>
      </c>
      <c r="O28" s="21">
        <v>2100</v>
      </c>
      <c r="P28" s="21">
        <v>2100</v>
      </c>
      <c r="Q28" s="21">
        <v>1128</v>
      </c>
      <c r="R28" s="655">
        <f t="shared" si="6"/>
        <v>0.53714285714285714</v>
      </c>
    </row>
    <row r="29" spans="1:30" x14ac:dyDescent="0.25">
      <c r="A29" s="17">
        <v>223</v>
      </c>
      <c r="B29" s="18" t="s">
        <v>271</v>
      </c>
      <c r="C29" s="21">
        <v>2000</v>
      </c>
      <c r="D29" s="21">
        <v>2000</v>
      </c>
      <c r="E29" s="21">
        <v>2000</v>
      </c>
      <c r="F29" s="21">
        <v>2000</v>
      </c>
      <c r="G29" s="21">
        <v>2000</v>
      </c>
      <c r="H29" s="21">
        <v>2000</v>
      </c>
      <c r="I29" s="21">
        <v>2000</v>
      </c>
      <c r="J29" s="21">
        <v>2000</v>
      </c>
      <c r="K29" s="21">
        <v>2000</v>
      </c>
      <c r="L29" s="21">
        <v>2000</v>
      </c>
      <c r="M29" s="21">
        <v>2000</v>
      </c>
      <c r="N29" s="21">
        <v>2000</v>
      </c>
      <c r="O29" s="21">
        <v>2000</v>
      </c>
      <c r="P29" s="21">
        <v>2000</v>
      </c>
      <c r="Q29" s="21">
        <v>450</v>
      </c>
      <c r="R29" s="655">
        <f t="shared" si="6"/>
        <v>0.22500000000000001</v>
      </c>
    </row>
    <row r="30" spans="1:30" x14ac:dyDescent="0.25">
      <c r="A30" s="43">
        <v>223</v>
      </c>
      <c r="B30" s="44" t="s">
        <v>33</v>
      </c>
      <c r="C30" s="46">
        <v>61000</v>
      </c>
      <c r="D30" s="46">
        <v>61000</v>
      </c>
      <c r="E30" s="46">
        <v>61000</v>
      </c>
      <c r="F30" s="46">
        <v>61000</v>
      </c>
      <c r="G30" s="46">
        <v>61000</v>
      </c>
      <c r="H30" s="46">
        <v>61000</v>
      </c>
      <c r="I30" s="46">
        <v>61000</v>
      </c>
      <c r="J30" s="46">
        <v>61000</v>
      </c>
      <c r="K30" s="46">
        <v>61000</v>
      </c>
      <c r="L30" s="46">
        <v>61000</v>
      </c>
      <c r="M30" s="46">
        <v>61000</v>
      </c>
      <c r="N30" s="46">
        <v>61000</v>
      </c>
      <c r="O30" s="46">
        <v>61000</v>
      </c>
      <c r="P30" s="46">
        <v>61000</v>
      </c>
      <c r="Q30" s="46">
        <v>28160</v>
      </c>
      <c r="R30" s="655">
        <f t="shared" si="6"/>
        <v>0.46163934426229508</v>
      </c>
    </row>
    <row r="31" spans="1:30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100</v>
      </c>
      <c r="J31" s="48">
        <v>100</v>
      </c>
      <c r="K31" s="48">
        <v>100</v>
      </c>
      <c r="L31" s="48">
        <v>100</v>
      </c>
      <c r="M31" s="48">
        <v>100</v>
      </c>
      <c r="N31" s="48">
        <v>100</v>
      </c>
      <c r="O31" s="48">
        <v>100</v>
      </c>
      <c r="P31" s="48">
        <v>100</v>
      </c>
      <c r="Q31" s="48">
        <v>0</v>
      </c>
      <c r="R31" s="655">
        <f t="shared" si="6"/>
        <v>0</v>
      </c>
      <c r="S31" s="27">
        <f t="shared" ref="S31:AC31" si="16">SUM(C19:C31)</f>
        <v>175560</v>
      </c>
      <c r="T31" s="27">
        <f t="shared" si="16"/>
        <v>175560</v>
      </c>
      <c r="U31" s="27">
        <f t="shared" si="16"/>
        <v>175560</v>
      </c>
      <c r="V31" s="27">
        <f t="shared" si="16"/>
        <v>175560</v>
      </c>
      <c r="W31" s="27">
        <f t="shared" si="16"/>
        <v>175560</v>
      </c>
      <c r="X31" s="27">
        <f t="shared" si="16"/>
        <v>175560</v>
      </c>
      <c r="Y31" s="27">
        <f t="shared" si="16"/>
        <v>175560</v>
      </c>
      <c r="Z31" s="27">
        <f t="shared" si="16"/>
        <v>175560</v>
      </c>
      <c r="AA31" s="27">
        <f t="shared" si="16"/>
        <v>175560</v>
      </c>
      <c r="AB31" s="27">
        <f t="shared" si="16"/>
        <v>175560</v>
      </c>
      <c r="AC31" s="27">
        <f t="shared" si="16"/>
        <v>175560</v>
      </c>
      <c r="AD31" s="27">
        <f t="shared" ref="AD31" si="17">SUM(Q19:Q31)</f>
        <v>93566</v>
      </c>
    </row>
    <row r="32" spans="1:30" ht="15.75" thickBot="1" x14ac:dyDescent="0.3">
      <c r="A32" s="749" t="s">
        <v>35</v>
      </c>
      <c r="B32" s="750"/>
      <c r="C32" s="2">
        <f t="shared" ref="C32:Q32" si="18">SUM(C33)</f>
        <v>50</v>
      </c>
      <c r="D32" s="2">
        <f t="shared" si="18"/>
        <v>50</v>
      </c>
      <c r="E32" s="2">
        <f t="shared" si="18"/>
        <v>50</v>
      </c>
      <c r="F32" s="2">
        <f t="shared" si="18"/>
        <v>50</v>
      </c>
      <c r="G32" s="2">
        <f t="shared" si="18"/>
        <v>50</v>
      </c>
      <c r="H32" s="2">
        <f t="shared" si="18"/>
        <v>50</v>
      </c>
      <c r="I32" s="2">
        <f t="shared" si="18"/>
        <v>50</v>
      </c>
      <c r="J32" s="2">
        <f t="shared" si="18"/>
        <v>50</v>
      </c>
      <c r="K32" s="2">
        <f t="shared" si="18"/>
        <v>50</v>
      </c>
      <c r="L32" s="2">
        <f t="shared" si="18"/>
        <v>50</v>
      </c>
      <c r="M32" s="2">
        <f t="shared" si="18"/>
        <v>50</v>
      </c>
      <c r="N32" s="2">
        <f t="shared" si="18"/>
        <v>50</v>
      </c>
      <c r="O32" s="2">
        <f t="shared" si="18"/>
        <v>50</v>
      </c>
      <c r="P32" s="2">
        <f t="shared" si="18"/>
        <v>50</v>
      </c>
      <c r="Q32" s="2">
        <f t="shared" si="18"/>
        <v>7</v>
      </c>
      <c r="R32" s="655">
        <f t="shared" si="6"/>
        <v>0.14000000000000001</v>
      </c>
    </row>
    <row r="33" spans="1:33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50</v>
      </c>
      <c r="K33" s="38">
        <v>50</v>
      </c>
      <c r="L33" s="38">
        <v>50</v>
      </c>
      <c r="M33" s="38">
        <v>50</v>
      </c>
      <c r="N33" s="38">
        <v>50</v>
      </c>
      <c r="O33" s="38">
        <v>50</v>
      </c>
      <c r="P33" s="38">
        <v>50</v>
      </c>
      <c r="Q33" s="38">
        <v>7</v>
      </c>
      <c r="R33" s="655">
        <f t="shared" si="6"/>
        <v>0.14000000000000001</v>
      </c>
    </row>
    <row r="34" spans="1:33" ht="15.75" thickBot="1" x14ac:dyDescent="0.3">
      <c r="A34" s="749" t="s">
        <v>37</v>
      </c>
      <c r="B34" s="750"/>
      <c r="C34" s="355">
        <f>SUM(C35:C40)</f>
        <v>47400</v>
      </c>
      <c r="D34" s="355">
        <f>SUM(D35:D40)</f>
        <v>47400</v>
      </c>
      <c r="E34" s="355">
        <f t="shared" ref="E34:Q34" si="19">SUM(E35:E40)</f>
        <v>47405</v>
      </c>
      <c r="F34" s="355">
        <f t="shared" si="19"/>
        <v>47405</v>
      </c>
      <c r="G34" s="355">
        <f t="shared" si="19"/>
        <v>47405</v>
      </c>
      <c r="H34" s="355">
        <f t="shared" si="19"/>
        <v>47405</v>
      </c>
      <c r="I34" s="355">
        <f t="shared" si="19"/>
        <v>53405</v>
      </c>
      <c r="J34" s="355">
        <f t="shared" si="19"/>
        <v>53405</v>
      </c>
      <c r="K34" s="355">
        <f t="shared" si="19"/>
        <v>53405</v>
      </c>
      <c r="L34" s="355">
        <f t="shared" si="19"/>
        <v>53405</v>
      </c>
      <c r="M34" s="355">
        <f t="shared" si="19"/>
        <v>53405</v>
      </c>
      <c r="N34" s="355">
        <f t="shared" ref="N34:O34" si="20">SUM(N35:N40)</f>
        <v>53405</v>
      </c>
      <c r="O34" s="355">
        <f t="shared" si="20"/>
        <v>53405</v>
      </c>
      <c r="P34" s="355">
        <f t="shared" ref="P34" si="21">SUM(P35:P40)</f>
        <v>53405</v>
      </c>
      <c r="Q34" s="355">
        <f t="shared" si="19"/>
        <v>20368</v>
      </c>
      <c r="R34" s="655">
        <f t="shared" si="6"/>
        <v>0.38138751053272163</v>
      </c>
    </row>
    <row r="35" spans="1:33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655">
        <v>0</v>
      </c>
    </row>
    <row r="36" spans="1:33" x14ac:dyDescent="0.25">
      <c r="A36" s="52">
        <v>292</v>
      </c>
      <c r="B36" s="53" t="s">
        <v>39</v>
      </c>
      <c r="C36" s="55">
        <v>300</v>
      </c>
      <c r="D36" s="55">
        <v>300</v>
      </c>
      <c r="E36" s="55">
        <v>300</v>
      </c>
      <c r="F36" s="55">
        <v>300</v>
      </c>
      <c r="G36" s="55">
        <v>300</v>
      </c>
      <c r="H36" s="55">
        <v>300</v>
      </c>
      <c r="I36" s="55">
        <v>300</v>
      </c>
      <c r="J36" s="55">
        <v>300</v>
      </c>
      <c r="K36" s="55">
        <v>300</v>
      </c>
      <c r="L36" s="55">
        <v>300</v>
      </c>
      <c r="M36" s="55">
        <v>300</v>
      </c>
      <c r="N36" s="55">
        <v>300</v>
      </c>
      <c r="O36" s="55">
        <v>300</v>
      </c>
      <c r="P36" s="55">
        <v>300</v>
      </c>
      <c r="Q36" s="55">
        <v>25</v>
      </c>
      <c r="R36" s="655">
        <f t="shared" si="6"/>
        <v>8.3333333333333329E-2</v>
      </c>
    </row>
    <row r="37" spans="1:33" x14ac:dyDescent="0.25">
      <c r="A37" s="57">
        <v>292</v>
      </c>
      <c r="B37" s="58" t="s">
        <v>40</v>
      </c>
      <c r="C37" s="61">
        <v>5000</v>
      </c>
      <c r="D37" s="61">
        <v>5000</v>
      </c>
      <c r="E37" s="61">
        <v>5000</v>
      </c>
      <c r="F37" s="61">
        <v>5000</v>
      </c>
      <c r="G37" s="61">
        <v>5000</v>
      </c>
      <c r="H37" s="61">
        <v>5000</v>
      </c>
      <c r="I37" s="61">
        <v>5000</v>
      </c>
      <c r="J37" s="61">
        <v>5000</v>
      </c>
      <c r="K37" s="61">
        <v>5000</v>
      </c>
      <c r="L37" s="61">
        <v>5000</v>
      </c>
      <c r="M37" s="61">
        <v>5000</v>
      </c>
      <c r="N37" s="61">
        <v>5000</v>
      </c>
      <c r="O37" s="61">
        <v>5000</v>
      </c>
      <c r="P37" s="61">
        <v>5000</v>
      </c>
      <c r="Q37" s="61">
        <v>413</v>
      </c>
      <c r="R37" s="655">
        <f t="shared" si="6"/>
        <v>8.2600000000000007E-2</v>
      </c>
    </row>
    <row r="38" spans="1:33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500</v>
      </c>
      <c r="J38" s="60">
        <v>500</v>
      </c>
      <c r="K38" s="60">
        <v>500</v>
      </c>
      <c r="L38" s="60">
        <v>500</v>
      </c>
      <c r="M38" s="60">
        <v>500</v>
      </c>
      <c r="N38" s="60">
        <v>500</v>
      </c>
      <c r="O38" s="60">
        <v>500</v>
      </c>
      <c r="P38" s="60">
        <v>500</v>
      </c>
      <c r="Q38" s="60">
        <v>6</v>
      </c>
      <c r="R38" s="655">
        <f t="shared" si="6"/>
        <v>1.2E-2</v>
      </c>
    </row>
    <row r="39" spans="1:33" x14ac:dyDescent="0.25">
      <c r="A39" s="57">
        <v>292</v>
      </c>
      <c r="B39" s="18" t="s">
        <v>42</v>
      </c>
      <c r="C39" s="64">
        <v>310</v>
      </c>
      <c r="D39" s="64">
        <v>310</v>
      </c>
      <c r="E39" s="619">
        <f t="shared" ref="E39:P39" si="22">310+5</f>
        <v>315</v>
      </c>
      <c r="F39" s="64">
        <f t="shared" si="22"/>
        <v>315</v>
      </c>
      <c r="G39" s="64">
        <f t="shared" si="22"/>
        <v>315</v>
      </c>
      <c r="H39" s="64">
        <f t="shared" si="22"/>
        <v>315</v>
      </c>
      <c r="I39" s="64">
        <f t="shared" si="22"/>
        <v>315</v>
      </c>
      <c r="J39" s="64">
        <f t="shared" si="22"/>
        <v>315</v>
      </c>
      <c r="K39" s="64">
        <f t="shared" si="22"/>
        <v>315</v>
      </c>
      <c r="L39" s="64">
        <f t="shared" si="22"/>
        <v>315</v>
      </c>
      <c r="M39" s="64">
        <f t="shared" si="22"/>
        <v>315</v>
      </c>
      <c r="N39" s="64">
        <f t="shared" si="22"/>
        <v>315</v>
      </c>
      <c r="O39" s="64">
        <f t="shared" si="22"/>
        <v>315</v>
      </c>
      <c r="P39" s="64">
        <f t="shared" si="22"/>
        <v>315</v>
      </c>
      <c r="Q39" s="64">
        <v>0</v>
      </c>
      <c r="R39" s="655">
        <f t="shared" si="6"/>
        <v>0</v>
      </c>
    </row>
    <row r="40" spans="1:33" ht="15.75" thickBot="1" x14ac:dyDescent="0.3">
      <c r="A40" s="57">
        <v>292</v>
      </c>
      <c r="B40" s="58" t="s">
        <v>648</v>
      </c>
      <c r="C40" s="60">
        <f>41600-C39</f>
        <v>41290</v>
      </c>
      <c r="D40" s="60">
        <f>41600-D39</f>
        <v>41290</v>
      </c>
      <c r="E40" s="60">
        <f>41290</f>
        <v>41290</v>
      </c>
      <c r="F40" s="60">
        <f>41290</f>
        <v>41290</v>
      </c>
      <c r="G40" s="60">
        <v>41290</v>
      </c>
      <c r="H40" s="60">
        <v>41290</v>
      </c>
      <c r="I40" s="622">
        <f>41290+6000</f>
        <v>47290</v>
      </c>
      <c r="J40" s="60">
        <f>41290+6000</f>
        <v>47290</v>
      </c>
      <c r="K40" s="60">
        <f>41290+6000</f>
        <v>47290</v>
      </c>
      <c r="L40" s="60">
        <f t="shared" ref="L40:P40" si="23">41290+6000</f>
        <v>47290</v>
      </c>
      <c r="M40" s="60">
        <f t="shared" si="23"/>
        <v>47290</v>
      </c>
      <c r="N40" s="60">
        <f t="shared" si="23"/>
        <v>47290</v>
      </c>
      <c r="O40" s="60">
        <f t="shared" si="23"/>
        <v>47290</v>
      </c>
      <c r="P40" s="60">
        <f t="shared" si="23"/>
        <v>47290</v>
      </c>
      <c r="Q40" s="60">
        <v>19924</v>
      </c>
      <c r="R40" s="655">
        <f t="shared" si="6"/>
        <v>0.42131528864453371</v>
      </c>
    </row>
    <row r="41" spans="1:33" ht="15.75" thickBot="1" x14ac:dyDescent="0.3">
      <c r="A41" s="65" t="s">
        <v>44</v>
      </c>
      <c r="B41" s="359"/>
      <c r="C41" s="355">
        <f t="shared" ref="C41:Q41" si="24">SUM(C42:C66)</f>
        <v>686340</v>
      </c>
      <c r="D41" s="355">
        <f t="shared" si="24"/>
        <v>686340</v>
      </c>
      <c r="E41" s="355">
        <f t="shared" si="24"/>
        <v>712565</v>
      </c>
      <c r="F41" s="355">
        <f t="shared" si="24"/>
        <v>718965</v>
      </c>
      <c r="G41" s="355">
        <f t="shared" si="24"/>
        <v>724965</v>
      </c>
      <c r="H41" s="355">
        <f t="shared" si="24"/>
        <v>728903</v>
      </c>
      <c r="I41" s="355">
        <f t="shared" si="24"/>
        <v>728903</v>
      </c>
      <c r="J41" s="355">
        <f t="shared" si="24"/>
        <v>735124</v>
      </c>
      <c r="K41" s="355">
        <f t="shared" si="24"/>
        <v>735124</v>
      </c>
      <c r="L41" s="355">
        <f t="shared" si="24"/>
        <v>736574</v>
      </c>
      <c r="M41" s="355">
        <f t="shared" si="24"/>
        <v>736574</v>
      </c>
      <c r="N41" s="355">
        <f t="shared" ref="N41" si="25">SUM(N42:N66)</f>
        <v>756230</v>
      </c>
      <c r="O41" s="355">
        <f t="shared" ref="O41:P41" si="26">SUM(O42:O66)</f>
        <v>756230</v>
      </c>
      <c r="P41" s="355">
        <f t="shared" si="26"/>
        <v>756230</v>
      </c>
      <c r="Q41" s="355">
        <f t="shared" si="24"/>
        <v>561324</v>
      </c>
      <c r="R41" s="655">
        <f t="shared" si="6"/>
        <v>0.74226624175184797</v>
      </c>
      <c r="S41" s="464">
        <f>SUM(C43:C62)+C65+C66</f>
        <v>683140</v>
      </c>
      <c r="T41" s="464">
        <f t="shared" ref="T41:AG41" si="27">SUM(D43:D62)+D65+D66</f>
        <v>683140</v>
      </c>
      <c r="U41" s="464">
        <f t="shared" si="27"/>
        <v>709365</v>
      </c>
      <c r="V41" s="464">
        <f t="shared" si="27"/>
        <v>710765</v>
      </c>
      <c r="W41" s="464">
        <f t="shared" si="27"/>
        <v>716765</v>
      </c>
      <c r="X41" s="464">
        <f t="shared" si="27"/>
        <v>720703</v>
      </c>
      <c r="Y41" s="464">
        <f t="shared" si="27"/>
        <v>720703</v>
      </c>
      <c r="Z41" s="464">
        <f t="shared" si="27"/>
        <v>723924</v>
      </c>
      <c r="AA41" s="464">
        <f t="shared" si="27"/>
        <v>723924</v>
      </c>
      <c r="AB41" s="464">
        <f t="shared" si="27"/>
        <v>725374</v>
      </c>
      <c r="AC41" s="464">
        <f t="shared" si="27"/>
        <v>725374</v>
      </c>
      <c r="AD41" s="464">
        <f t="shared" si="27"/>
        <v>745030</v>
      </c>
      <c r="AE41" s="464">
        <f t="shared" si="27"/>
        <v>745030</v>
      </c>
      <c r="AF41" s="464">
        <f t="shared" si="27"/>
        <v>745030</v>
      </c>
      <c r="AG41" s="464">
        <f t="shared" si="27"/>
        <v>550124</v>
      </c>
    </row>
    <row r="42" spans="1:33" x14ac:dyDescent="0.25">
      <c r="A42" s="67">
        <v>311</v>
      </c>
      <c r="B42" s="360" t="s">
        <v>45</v>
      </c>
      <c r="C42" s="68">
        <v>0</v>
      </c>
      <c r="D42" s="68">
        <v>0</v>
      </c>
      <c r="E42" s="68">
        <v>0</v>
      </c>
      <c r="F42" s="696">
        <v>5000</v>
      </c>
      <c r="G42" s="68">
        <f>5000</f>
        <v>5000</v>
      </c>
      <c r="H42" s="68">
        <f>5000</f>
        <v>5000</v>
      </c>
      <c r="I42" s="68">
        <f>5000</f>
        <v>5000</v>
      </c>
      <c r="J42" s="696">
        <f>5000+3000</f>
        <v>8000</v>
      </c>
      <c r="K42" s="68">
        <f>5000+3000</f>
        <v>8000</v>
      </c>
      <c r="L42" s="68">
        <f t="shared" ref="L42:P42" si="28">5000+3000</f>
        <v>8000</v>
      </c>
      <c r="M42" s="68">
        <f t="shared" si="28"/>
        <v>8000</v>
      </c>
      <c r="N42" s="68">
        <f t="shared" si="28"/>
        <v>8000</v>
      </c>
      <c r="O42" s="68">
        <f t="shared" si="28"/>
        <v>8000</v>
      </c>
      <c r="P42" s="68">
        <f t="shared" si="28"/>
        <v>8000</v>
      </c>
      <c r="Q42" s="68">
        <v>8000</v>
      </c>
      <c r="R42" s="655">
        <f t="shared" si="6"/>
        <v>1</v>
      </c>
    </row>
    <row r="43" spans="1:33" x14ac:dyDescent="0.25">
      <c r="A43" s="71">
        <v>312</v>
      </c>
      <c r="B43" s="76" t="s">
        <v>252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655">
        <v>0</v>
      </c>
    </row>
    <row r="44" spans="1:33" x14ac:dyDescent="0.25">
      <c r="A44" s="67">
        <v>312</v>
      </c>
      <c r="B44" s="360" t="s">
        <v>279</v>
      </c>
      <c r="C44" s="68">
        <v>4000</v>
      </c>
      <c r="D44" s="68">
        <v>4000</v>
      </c>
      <c r="E44" s="68">
        <v>4000</v>
      </c>
      <c r="F44" s="68">
        <v>4000</v>
      </c>
      <c r="G44" s="68">
        <v>4000</v>
      </c>
      <c r="H44" s="68">
        <v>4000</v>
      </c>
      <c r="I44" s="68">
        <v>4000</v>
      </c>
      <c r="J44" s="68">
        <v>4000</v>
      </c>
      <c r="K44" s="68">
        <v>4000</v>
      </c>
      <c r="L44" s="68">
        <v>4000</v>
      </c>
      <c r="M44" s="68">
        <v>4000</v>
      </c>
      <c r="N44" s="68">
        <v>4000</v>
      </c>
      <c r="O44" s="68">
        <v>4000</v>
      </c>
      <c r="P44" s="68">
        <v>4000</v>
      </c>
      <c r="Q44" s="68">
        <v>1250</v>
      </c>
      <c r="R44" s="655">
        <f t="shared" si="6"/>
        <v>0.3125</v>
      </c>
    </row>
    <row r="45" spans="1:33" x14ac:dyDescent="0.25">
      <c r="A45" s="67">
        <v>312</v>
      </c>
      <c r="B45" s="360" t="s">
        <v>272</v>
      </c>
      <c r="C45" s="70">
        <v>4750</v>
      </c>
      <c r="D45" s="70">
        <v>4750</v>
      </c>
      <c r="E45" s="70">
        <v>4750</v>
      </c>
      <c r="F45" s="70">
        <v>4750</v>
      </c>
      <c r="G45" s="70">
        <v>4750</v>
      </c>
      <c r="H45" s="70">
        <v>4750</v>
      </c>
      <c r="I45" s="70">
        <v>4750</v>
      </c>
      <c r="J45" s="70">
        <v>4750</v>
      </c>
      <c r="K45" s="70">
        <v>4750</v>
      </c>
      <c r="L45" s="70">
        <v>4750</v>
      </c>
      <c r="M45" s="70">
        <v>4750</v>
      </c>
      <c r="N45" s="70">
        <v>4750</v>
      </c>
      <c r="O45" s="70">
        <v>4750</v>
      </c>
      <c r="P45" s="70">
        <v>4750</v>
      </c>
      <c r="Q45" s="70">
        <v>4619</v>
      </c>
      <c r="R45" s="655">
        <f t="shared" si="6"/>
        <v>0.97242105263157896</v>
      </c>
    </row>
    <row r="46" spans="1:33" x14ac:dyDescent="0.25">
      <c r="A46" s="71">
        <v>312</v>
      </c>
      <c r="B46" s="76" t="s">
        <v>480</v>
      </c>
      <c r="C46" s="73">
        <v>0</v>
      </c>
      <c r="D46" s="73">
        <v>0</v>
      </c>
      <c r="E46" s="73">
        <v>0</v>
      </c>
      <c r="F46" s="73">
        <v>0</v>
      </c>
      <c r="G46" s="697">
        <f>6000</f>
        <v>6000</v>
      </c>
      <c r="H46" s="73">
        <f>6000</f>
        <v>6000</v>
      </c>
      <c r="I46" s="73">
        <f>6000</f>
        <v>6000</v>
      </c>
      <c r="J46" s="73">
        <f>6000</f>
        <v>6000</v>
      </c>
      <c r="K46" s="73">
        <f>6000</f>
        <v>6000</v>
      </c>
      <c r="L46" s="73">
        <f>6000</f>
        <v>6000</v>
      </c>
      <c r="M46" s="73">
        <f>6000</f>
        <v>6000</v>
      </c>
      <c r="N46" s="73">
        <f>6000</f>
        <v>6000</v>
      </c>
      <c r="O46" s="73">
        <f>6000</f>
        <v>6000</v>
      </c>
      <c r="P46" s="73">
        <f>6000</f>
        <v>6000</v>
      </c>
      <c r="Q46" s="73">
        <v>2881</v>
      </c>
      <c r="R46" s="655">
        <f t="shared" si="6"/>
        <v>0.48016666666666669</v>
      </c>
    </row>
    <row r="47" spans="1:33" x14ac:dyDescent="0.25">
      <c r="A47" s="69">
        <v>312</v>
      </c>
      <c r="B47" s="450" t="s">
        <v>649</v>
      </c>
      <c r="C47" s="70">
        <v>2000</v>
      </c>
      <c r="D47" s="70">
        <v>2000</v>
      </c>
      <c r="E47" s="70">
        <v>2000</v>
      </c>
      <c r="F47" s="70">
        <v>2000</v>
      </c>
      <c r="G47" s="70">
        <v>2000</v>
      </c>
      <c r="H47" s="70">
        <v>2000</v>
      </c>
      <c r="I47" s="70">
        <v>2000</v>
      </c>
      <c r="J47" s="70">
        <v>2000</v>
      </c>
      <c r="K47" s="70">
        <v>2000</v>
      </c>
      <c r="L47" s="70">
        <v>2000</v>
      </c>
      <c r="M47" s="70">
        <v>2000</v>
      </c>
      <c r="N47" s="70">
        <v>2000</v>
      </c>
      <c r="O47" s="70">
        <v>2000</v>
      </c>
      <c r="P47" s="70">
        <v>2000</v>
      </c>
      <c r="Q47" s="70">
        <v>767</v>
      </c>
      <c r="R47" s="655">
        <f t="shared" si="6"/>
        <v>0.38350000000000001</v>
      </c>
    </row>
    <row r="48" spans="1:33" x14ac:dyDescent="0.25">
      <c r="A48" s="71">
        <v>312</v>
      </c>
      <c r="B48" s="353" t="s">
        <v>231</v>
      </c>
      <c r="C48" s="16">
        <v>7900</v>
      </c>
      <c r="D48" s="16">
        <v>7900</v>
      </c>
      <c r="E48" s="16">
        <v>7900</v>
      </c>
      <c r="F48" s="16">
        <v>7900</v>
      </c>
      <c r="G48" s="16">
        <v>7900</v>
      </c>
      <c r="H48" s="16">
        <v>7900</v>
      </c>
      <c r="I48" s="16">
        <v>7900</v>
      </c>
      <c r="J48" s="16">
        <v>7900</v>
      </c>
      <c r="K48" s="16">
        <v>7900</v>
      </c>
      <c r="L48" s="16">
        <v>7900</v>
      </c>
      <c r="M48" s="16">
        <v>7900</v>
      </c>
      <c r="N48" s="16">
        <v>7900</v>
      </c>
      <c r="O48" s="16">
        <v>7900</v>
      </c>
      <c r="P48" s="16">
        <v>7900</v>
      </c>
      <c r="Q48" s="16">
        <v>5617</v>
      </c>
      <c r="R48" s="655">
        <f t="shared" si="6"/>
        <v>0.71101265822784809</v>
      </c>
    </row>
    <row r="49" spans="1:31" x14ac:dyDescent="0.25">
      <c r="A49" s="71">
        <v>312</v>
      </c>
      <c r="B49" s="353" t="s">
        <v>232</v>
      </c>
      <c r="C49" s="16">
        <v>150</v>
      </c>
      <c r="D49" s="16">
        <v>150</v>
      </c>
      <c r="E49" s="16">
        <v>150</v>
      </c>
      <c r="F49" s="16">
        <v>150</v>
      </c>
      <c r="G49" s="16">
        <v>150</v>
      </c>
      <c r="H49" s="16">
        <v>150</v>
      </c>
      <c r="I49" s="16">
        <v>150</v>
      </c>
      <c r="J49" s="16">
        <v>150</v>
      </c>
      <c r="K49" s="16">
        <v>150</v>
      </c>
      <c r="L49" s="16">
        <v>150</v>
      </c>
      <c r="M49" s="16">
        <v>150</v>
      </c>
      <c r="N49" s="16">
        <v>150</v>
      </c>
      <c r="O49" s="16">
        <v>150</v>
      </c>
      <c r="P49" s="16">
        <v>150</v>
      </c>
      <c r="Q49" s="16">
        <v>0</v>
      </c>
      <c r="R49" s="655">
        <f t="shared" si="6"/>
        <v>0</v>
      </c>
    </row>
    <row r="50" spans="1:31" x14ac:dyDescent="0.25">
      <c r="A50" s="71">
        <v>312</v>
      </c>
      <c r="B50" s="118" t="s">
        <v>51</v>
      </c>
      <c r="C50" s="73">
        <v>2950</v>
      </c>
      <c r="D50" s="73">
        <v>2950</v>
      </c>
      <c r="E50" s="73">
        <v>2950</v>
      </c>
      <c r="F50" s="73">
        <v>2950</v>
      </c>
      <c r="G50" s="73">
        <v>2950</v>
      </c>
      <c r="H50" s="73">
        <v>2950</v>
      </c>
      <c r="I50" s="73">
        <v>2950</v>
      </c>
      <c r="J50" s="73">
        <v>2950</v>
      </c>
      <c r="K50" s="73">
        <v>2950</v>
      </c>
      <c r="L50" s="73">
        <v>2950</v>
      </c>
      <c r="M50" s="73">
        <v>2950</v>
      </c>
      <c r="N50" s="73">
        <v>2950</v>
      </c>
      <c r="O50" s="73">
        <v>2950</v>
      </c>
      <c r="P50" s="73">
        <v>2950</v>
      </c>
      <c r="Q50" s="73">
        <v>88</v>
      </c>
      <c r="R50" s="655">
        <f t="shared" si="6"/>
        <v>2.9830508474576273E-2</v>
      </c>
    </row>
    <row r="51" spans="1:31" ht="15.75" thickBot="1" x14ac:dyDescent="0.3">
      <c r="A51" s="74">
        <v>312</v>
      </c>
      <c r="B51" s="82" t="s">
        <v>54</v>
      </c>
      <c r="C51" s="75">
        <v>40</v>
      </c>
      <c r="D51" s="75">
        <v>40</v>
      </c>
      <c r="E51" s="75">
        <v>40</v>
      </c>
      <c r="F51" s="75">
        <v>40</v>
      </c>
      <c r="G51" s="75">
        <v>40</v>
      </c>
      <c r="H51" s="75">
        <v>40</v>
      </c>
      <c r="I51" s="75">
        <v>40</v>
      </c>
      <c r="J51" s="75">
        <v>40</v>
      </c>
      <c r="K51" s="75">
        <v>40</v>
      </c>
      <c r="L51" s="75">
        <v>40</v>
      </c>
      <c r="M51" s="75">
        <v>40</v>
      </c>
      <c r="N51" s="75">
        <v>40</v>
      </c>
      <c r="O51" s="75">
        <v>40</v>
      </c>
      <c r="P51" s="75">
        <v>40</v>
      </c>
      <c r="Q51" s="75">
        <v>37</v>
      </c>
      <c r="R51" s="655">
        <f t="shared" si="6"/>
        <v>0.92500000000000004</v>
      </c>
    </row>
    <row r="52" spans="1:31" ht="15.75" thickBot="1" x14ac:dyDescent="0.3">
      <c r="A52" s="349">
        <v>312</v>
      </c>
      <c r="B52" s="361" t="s">
        <v>399</v>
      </c>
      <c r="C52" s="350">
        <v>4100</v>
      </c>
      <c r="D52" s="350">
        <v>4100</v>
      </c>
      <c r="E52" s="350">
        <v>4100</v>
      </c>
      <c r="F52" s="350">
        <v>4100</v>
      </c>
      <c r="G52" s="350">
        <v>4100</v>
      </c>
      <c r="H52" s="350">
        <v>4100</v>
      </c>
      <c r="I52" s="350">
        <v>4100</v>
      </c>
      <c r="J52" s="350">
        <v>4100</v>
      </c>
      <c r="K52" s="350">
        <v>4100</v>
      </c>
      <c r="L52" s="350">
        <v>4100</v>
      </c>
      <c r="M52" s="350">
        <v>4100</v>
      </c>
      <c r="N52" s="350">
        <v>4100</v>
      </c>
      <c r="O52" s="350">
        <v>4100</v>
      </c>
      <c r="P52" s="350">
        <v>4100</v>
      </c>
      <c r="Q52" s="350">
        <v>2190</v>
      </c>
      <c r="R52" s="655">
        <f t="shared" si="6"/>
        <v>0.53414634146341466</v>
      </c>
    </row>
    <row r="53" spans="1:31" x14ac:dyDescent="0.25">
      <c r="A53" s="71">
        <v>312</v>
      </c>
      <c r="B53" s="85" t="s">
        <v>55</v>
      </c>
      <c r="C53" s="16">
        <v>19100</v>
      </c>
      <c r="D53" s="16">
        <v>19100</v>
      </c>
      <c r="E53" s="16">
        <v>19100</v>
      </c>
      <c r="F53" s="16">
        <v>19100</v>
      </c>
      <c r="G53" s="16">
        <v>19100</v>
      </c>
      <c r="H53" s="16">
        <v>19100</v>
      </c>
      <c r="I53" s="16">
        <v>19100</v>
      </c>
      <c r="J53" s="16">
        <v>19100</v>
      </c>
      <c r="K53" s="16">
        <v>19100</v>
      </c>
      <c r="L53" s="16">
        <v>19100</v>
      </c>
      <c r="M53" s="16">
        <v>19100</v>
      </c>
      <c r="N53" s="16">
        <v>19100</v>
      </c>
      <c r="O53" s="16">
        <v>19100</v>
      </c>
      <c r="P53" s="16">
        <v>19100</v>
      </c>
      <c r="Q53" s="16">
        <v>14533</v>
      </c>
      <c r="R53" s="655">
        <f t="shared" si="6"/>
        <v>0.76089005235602092</v>
      </c>
    </row>
    <row r="54" spans="1:31" x14ac:dyDescent="0.25">
      <c r="A54" s="71">
        <v>312</v>
      </c>
      <c r="B54" s="118" t="s">
        <v>56</v>
      </c>
      <c r="C54" s="16">
        <v>11000</v>
      </c>
      <c r="D54" s="16">
        <v>11000</v>
      </c>
      <c r="E54" s="16">
        <v>11000</v>
      </c>
      <c r="F54" s="16">
        <v>11000</v>
      </c>
      <c r="G54" s="16">
        <v>11000</v>
      </c>
      <c r="H54" s="16">
        <v>11000</v>
      </c>
      <c r="I54" s="16">
        <v>11000</v>
      </c>
      <c r="J54" s="16">
        <v>11000</v>
      </c>
      <c r="K54" s="16">
        <v>11000</v>
      </c>
      <c r="L54" s="16">
        <v>11000</v>
      </c>
      <c r="M54" s="16">
        <v>11000</v>
      </c>
      <c r="N54" s="16">
        <v>11000</v>
      </c>
      <c r="O54" s="16">
        <v>11000</v>
      </c>
      <c r="P54" s="16">
        <v>11000</v>
      </c>
      <c r="Q54" s="16">
        <v>8250</v>
      </c>
      <c r="R54" s="655">
        <f t="shared" si="6"/>
        <v>0.75</v>
      </c>
    </row>
    <row r="55" spans="1:31" ht="15.75" thickBot="1" x14ac:dyDescent="0.3">
      <c r="A55" s="77">
        <v>312</v>
      </c>
      <c r="B55" s="165" t="s">
        <v>57</v>
      </c>
      <c r="C55" s="79">
        <v>8600</v>
      </c>
      <c r="D55" s="79">
        <v>8600</v>
      </c>
      <c r="E55" s="79">
        <v>8600</v>
      </c>
      <c r="F55" s="79">
        <v>8600</v>
      </c>
      <c r="G55" s="79">
        <v>8600</v>
      </c>
      <c r="H55" s="79">
        <v>8600</v>
      </c>
      <c r="I55" s="79">
        <v>8600</v>
      </c>
      <c r="J55" s="79">
        <v>8600</v>
      </c>
      <c r="K55" s="79">
        <v>8600</v>
      </c>
      <c r="L55" s="79">
        <v>8600</v>
      </c>
      <c r="M55" s="79">
        <v>8600</v>
      </c>
      <c r="N55" s="79">
        <v>8600</v>
      </c>
      <c r="O55" s="79">
        <v>8600</v>
      </c>
      <c r="P55" s="79">
        <v>8600</v>
      </c>
      <c r="Q55" s="79">
        <v>4210</v>
      </c>
      <c r="R55" s="655">
        <f t="shared" si="6"/>
        <v>0.48953488372093024</v>
      </c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</row>
    <row r="56" spans="1:31" ht="15.75" thickBot="1" x14ac:dyDescent="0.3">
      <c r="A56" s="77">
        <v>312</v>
      </c>
      <c r="B56" s="165" t="s">
        <v>540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20">
        <v>3200</v>
      </c>
      <c r="I56" s="79">
        <v>3200</v>
      </c>
      <c r="J56" s="79">
        <v>3200</v>
      </c>
      <c r="K56" s="79">
        <v>3200</v>
      </c>
      <c r="L56" s="79">
        <v>3200</v>
      </c>
      <c r="M56" s="79">
        <v>3200</v>
      </c>
      <c r="N56" s="79">
        <v>3200</v>
      </c>
      <c r="O56" s="79">
        <v>3200</v>
      </c>
      <c r="P56" s="79">
        <v>3200</v>
      </c>
      <c r="Q56" s="79">
        <v>3200</v>
      </c>
      <c r="R56" s="655">
        <f t="shared" si="6"/>
        <v>1</v>
      </c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</row>
    <row r="57" spans="1:31" ht="15.75" thickBot="1" x14ac:dyDescent="0.3">
      <c r="A57" s="74">
        <v>312</v>
      </c>
      <c r="B57" s="82" t="s">
        <v>60</v>
      </c>
      <c r="C57" s="75">
        <v>0</v>
      </c>
      <c r="D57" s="75">
        <v>0</v>
      </c>
      <c r="E57" s="633">
        <f>2000</f>
        <v>2000</v>
      </c>
      <c r="F57" s="75">
        <f>2000</f>
        <v>2000</v>
      </c>
      <c r="G57" s="75">
        <f>2000</f>
        <v>2000</v>
      </c>
      <c r="H57" s="75">
        <f>2000</f>
        <v>2000</v>
      </c>
      <c r="I57" s="75">
        <f>2000</f>
        <v>2000</v>
      </c>
      <c r="J57" s="75">
        <f>2000</f>
        <v>2000</v>
      </c>
      <c r="K57" s="75">
        <f>2000</f>
        <v>2000</v>
      </c>
      <c r="L57" s="633">
        <f>2000+1200</f>
        <v>3200</v>
      </c>
      <c r="M57" s="75">
        <f>2000+1200</f>
        <v>3200</v>
      </c>
      <c r="N57" s="75">
        <f t="shared" ref="N57:P57" si="29">2000+1200</f>
        <v>3200</v>
      </c>
      <c r="O57" s="75">
        <f t="shared" si="29"/>
        <v>3200</v>
      </c>
      <c r="P57" s="75">
        <f t="shared" si="29"/>
        <v>3200</v>
      </c>
      <c r="Q57" s="75">
        <v>3200</v>
      </c>
      <c r="R57" s="655">
        <f t="shared" si="6"/>
        <v>1</v>
      </c>
    </row>
    <row r="58" spans="1:31" x14ac:dyDescent="0.25">
      <c r="A58" s="71">
        <v>312</v>
      </c>
      <c r="B58" s="352" t="s">
        <v>61</v>
      </c>
      <c r="C58" s="83">
        <v>5000</v>
      </c>
      <c r="D58" s="83">
        <v>5000</v>
      </c>
      <c r="E58" s="83">
        <v>5000</v>
      </c>
      <c r="F58" s="83">
        <v>5000</v>
      </c>
      <c r="G58" s="83">
        <v>5000</v>
      </c>
      <c r="H58" s="83">
        <v>5000</v>
      </c>
      <c r="I58" s="83">
        <v>5000</v>
      </c>
      <c r="J58" s="83">
        <v>5000</v>
      </c>
      <c r="K58" s="83">
        <v>5000</v>
      </c>
      <c r="L58" s="83">
        <v>5000</v>
      </c>
      <c r="M58" s="83">
        <v>5000</v>
      </c>
      <c r="N58" s="83">
        <v>5000</v>
      </c>
      <c r="O58" s="83">
        <v>5000</v>
      </c>
      <c r="P58" s="83">
        <v>5000</v>
      </c>
      <c r="Q58" s="83">
        <v>4838</v>
      </c>
      <c r="R58" s="655">
        <f t="shared" si="6"/>
        <v>0.96760000000000002</v>
      </c>
    </row>
    <row r="59" spans="1:31" x14ac:dyDescent="0.25">
      <c r="A59" s="84">
        <v>312</v>
      </c>
      <c r="B59" s="362" t="s">
        <v>62</v>
      </c>
      <c r="C59" s="21">
        <v>3700</v>
      </c>
      <c r="D59" s="21">
        <v>3700</v>
      </c>
      <c r="E59" s="21">
        <v>3700</v>
      </c>
      <c r="F59" s="21">
        <v>3700</v>
      </c>
      <c r="G59" s="21">
        <v>3700</v>
      </c>
      <c r="H59" s="21">
        <v>3700</v>
      </c>
      <c r="I59" s="21">
        <v>3700</v>
      </c>
      <c r="J59" s="21">
        <v>3700</v>
      </c>
      <c r="K59" s="21">
        <v>3700</v>
      </c>
      <c r="L59" s="21">
        <v>3700</v>
      </c>
      <c r="M59" s="21">
        <v>3700</v>
      </c>
      <c r="N59" s="21">
        <v>3700</v>
      </c>
      <c r="O59" s="21">
        <v>3700</v>
      </c>
      <c r="P59" s="21">
        <v>3700</v>
      </c>
      <c r="Q59" s="21">
        <v>3593</v>
      </c>
      <c r="R59" s="655">
        <f t="shared" si="6"/>
        <v>0.97108108108108104</v>
      </c>
    </row>
    <row r="60" spans="1:31" x14ac:dyDescent="0.25">
      <c r="A60" s="84">
        <v>312</v>
      </c>
      <c r="B60" s="363" t="s">
        <v>320</v>
      </c>
      <c r="C60" s="33">
        <v>3000</v>
      </c>
      <c r="D60" s="33">
        <v>3000</v>
      </c>
      <c r="E60" s="651">
        <f t="shared" ref="E60:M60" si="30">3000+2406</f>
        <v>5406</v>
      </c>
      <c r="F60" s="33">
        <f t="shared" si="30"/>
        <v>5406</v>
      </c>
      <c r="G60" s="33">
        <f t="shared" si="30"/>
        <v>5406</v>
      </c>
      <c r="H60" s="33">
        <f t="shared" si="30"/>
        <v>5406</v>
      </c>
      <c r="I60" s="33">
        <f t="shared" si="30"/>
        <v>5406</v>
      </c>
      <c r="J60" s="33">
        <f t="shared" si="30"/>
        <v>5406</v>
      </c>
      <c r="K60" s="33">
        <f t="shared" si="30"/>
        <v>5406</v>
      </c>
      <c r="L60" s="33">
        <f t="shared" si="30"/>
        <v>5406</v>
      </c>
      <c r="M60" s="33">
        <f t="shared" si="30"/>
        <v>5406</v>
      </c>
      <c r="N60" s="651">
        <f>3000+2406+1802</f>
        <v>7208</v>
      </c>
      <c r="O60" s="33">
        <f>3000+2406+1802</f>
        <v>7208</v>
      </c>
      <c r="P60" s="33">
        <f>3000+2406+1802</f>
        <v>7208</v>
      </c>
      <c r="Q60" s="33">
        <v>7208</v>
      </c>
      <c r="R60" s="655">
        <f t="shared" si="6"/>
        <v>1</v>
      </c>
    </row>
    <row r="61" spans="1:31" x14ac:dyDescent="0.25">
      <c r="A61" s="71">
        <v>312</v>
      </c>
      <c r="B61" s="118" t="s">
        <v>680</v>
      </c>
      <c r="C61" s="16">
        <f t="shared" ref="C61:M61" si="31">89800-64300</f>
        <v>25500</v>
      </c>
      <c r="D61" s="16">
        <f t="shared" si="31"/>
        <v>25500</v>
      </c>
      <c r="E61" s="16">
        <f t="shared" si="31"/>
        <v>25500</v>
      </c>
      <c r="F61" s="16">
        <f t="shared" si="31"/>
        <v>25500</v>
      </c>
      <c r="G61" s="16">
        <f t="shared" si="31"/>
        <v>25500</v>
      </c>
      <c r="H61" s="16">
        <f t="shared" si="31"/>
        <v>25500</v>
      </c>
      <c r="I61" s="16">
        <f t="shared" si="31"/>
        <v>25500</v>
      </c>
      <c r="J61" s="16">
        <f t="shared" si="31"/>
        <v>25500</v>
      </c>
      <c r="K61" s="16">
        <f t="shared" si="31"/>
        <v>25500</v>
      </c>
      <c r="L61" s="16">
        <f t="shared" si="31"/>
        <v>25500</v>
      </c>
      <c r="M61" s="16">
        <f t="shared" si="31"/>
        <v>25500</v>
      </c>
      <c r="N61" s="754">
        <f>89800-64300+11800</f>
        <v>37300</v>
      </c>
      <c r="O61" s="16">
        <f>89800-64300+11800</f>
        <v>37300</v>
      </c>
      <c r="P61" s="16">
        <f>89800-64300+11800</f>
        <v>37300</v>
      </c>
      <c r="Q61" s="16">
        <v>37246</v>
      </c>
      <c r="R61" s="655">
        <f t="shared" si="6"/>
        <v>0.99855227882037534</v>
      </c>
    </row>
    <row r="62" spans="1:31" ht="15.75" thickBot="1" x14ac:dyDescent="0.3">
      <c r="A62" s="77">
        <v>312</v>
      </c>
      <c r="B62" s="165" t="s">
        <v>64</v>
      </c>
      <c r="C62" s="79">
        <v>46400</v>
      </c>
      <c r="D62" s="79">
        <v>46400</v>
      </c>
      <c r="E62" s="79">
        <v>46400</v>
      </c>
      <c r="F62" s="79">
        <v>46400</v>
      </c>
      <c r="G62" s="79">
        <v>46400</v>
      </c>
      <c r="H62" s="79">
        <v>46400</v>
      </c>
      <c r="I62" s="79">
        <v>46400</v>
      </c>
      <c r="J62" s="79">
        <v>46400</v>
      </c>
      <c r="K62" s="79">
        <v>46400</v>
      </c>
      <c r="L62" s="79">
        <v>46400</v>
      </c>
      <c r="M62" s="79">
        <v>46400</v>
      </c>
      <c r="N62" s="79">
        <v>46400</v>
      </c>
      <c r="O62" s="79">
        <v>46400</v>
      </c>
      <c r="P62" s="79">
        <v>46400</v>
      </c>
      <c r="Q62" s="79">
        <v>20582</v>
      </c>
      <c r="R62" s="655">
        <f t="shared" si="6"/>
        <v>0.44357758620689658</v>
      </c>
    </row>
    <row r="63" spans="1:31" x14ac:dyDescent="0.25">
      <c r="A63" s="71">
        <v>315</v>
      </c>
      <c r="B63" s="76" t="s">
        <v>59</v>
      </c>
      <c r="C63" s="16">
        <v>3000</v>
      </c>
      <c r="D63" s="16">
        <v>3000</v>
      </c>
      <c r="E63" s="16">
        <v>3000</v>
      </c>
      <c r="F63" s="16">
        <v>3000</v>
      </c>
      <c r="G63" s="16">
        <v>3000</v>
      </c>
      <c r="H63" s="16">
        <v>3000</v>
      </c>
      <c r="I63" s="16">
        <v>3000</v>
      </c>
      <c r="J63" s="16">
        <v>3000</v>
      </c>
      <c r="K63" s="16">
        <v>3000</v>
      </c>
      <c r="L63" s="16">
        <v>3000</v>
      </c>
      <c r="M63" s="16">
        <v>3000</v>
      </c>
      <c r="N63" s="16">
        <v>3000</v>
      </c>
      <c r="O63" s="16">
        <v>3000</v>
      </c>
      <c r="P63" s="16">
        <v>3000</v>
      </c>
      <c r="Q63" s="16">
        <v>3000</v>
      </c>
      <c r="R63" s="655">
        <f t="shared" si="6"/>
        <v>1</v>
      </c>
    </row>
    <row r="64" spans="1:31" ht="15.75" thickBot="1" x14ac:dyDescent="0.3">
      <c r="A64" s="77">
        <v>315</v>
      </c>
      <c r="B64" s="78" t="s">
        <v>319</v>
      </c>
      <c r="C64" s="79">
        <v>200</v>
      </c>
      <c r="D64" s="79">
        <v>200</v>
      </c>
      <c r="E64" s="79">
        <v>200</v>
      </c>
      <c r="F64" s="79">
        <v>200</v>
      </c>
      <c r="G64" s="79">
        <v>200</v>
      </c>
      <c r="H64" s="79">
        <v>200</v>
      </c>
      <c r="I64" s="79">
        <v>200</v>
      </c>
      <c r="J64" s="79">
        <v>200</v>
      </c>
      <c r="K64" s="79">
        <v>200</v>
      </c>
      <c r="L64" s="79">
        <v>200</v>
      </c>
      <c r="M64" s="79">
        <v>200</v>
      </c>
      <c r="N64" s="79">
        <v>200</v>
      </c>
      <c r="O64" s="79">
        <v>200</v>
      </c>
      <c r="P64" s="79">
        <v>200</v>
      </c>
      <c r="Q64" s="79">
        <v>200</v>
      </c>
      <c r="R64" s="655">
        <f t="shared" si="6"/>
        <v>1</v>
      </c>
      <c r="S64" s="464">
        <f>SUM(C63:C64)</f>
        <v>3200</v>
      </c>
      <c r="T64" s="464">
        <f t="shared" ref="T64:AE64" si="32">SUM(D63:D64)</f>
        <v>3200</v>
      </c>
      <c r="U64" s="464">
        <f t="shared" si="32"/>
        <v>3200</v>
      </c>
      <c r="V64" s="464">
        <f t="shared" si="32"/>
        <v>3200</v>
      </c>
      <c r="W64" s="464">
        <f t="shared" si="32"/>
        <v>3200</v>
      </c>
      <c r="X64" s="464">
        <f t="shared" si="32"/>
        <v>3200</v>
      </c>
      <c r="Y64" s="464">
        <f t="shared" si="32"/>
        <v>3200</v>
      </c>
      <c r="Z64" s="464">
        <f t="shared" si="32"/>
        <v>3200</v>
      </c>
      <c r="AA64" s="464">
        <f t="shared" si="32"/>
        <v>3200</v>
      </c>
      <c r="AB64" s="464">
        <f t="shared" si="32"/>
        <v>3200</v>
      </c>
      <c r="AC64" s="464">
        <f t="shared" si="32"/>
        <v>3200</v>
      </c>
      <c r="AD64" s="464">
        <f t="shared" si="32"/>
        <v>3200</v>
      </c>
      <c r="AE64" s="464">
        <f t="shared" si="32"/>
        <v>3200</v>
      </c>
    </row>
    <row r="65" spans="1:34" ht="15.75" x14ac:dyDescent="0.25">
      <c r="A65" s="521">
        <v>312</v>
      </c>
      <c r="B65" s="522" t="s">
        <v>254</v>
      </c>
      <c r="C65" s="526">
        <v>0</v>
      </c>
      <c r="D65" s="526">
        <v>0</v>
      </c>
      <c r="E65" s="526">
        <v>0</v>
      </c>
      <c r="F65" s="526">
        <v>0</v>
      </c>
      <c r="G65" s="526">
        <v>0</v>
      </c>
      <c r="H65" s="526">
        <v>0</v>
      </c>
      <c r="I65" s="526">
        <v>0</v>
      </c>
      <c r="J65" s="526">
        <v>0</v>
      </c>
      <c r="K65" s="526">
        <v>0</v>
      </c>
      <c r="L65" s="526">
        <v>0</v>
      </c>
      <c r="M65" s="526">
        <v>0</v>
      </c>
      <c r="N65" s="526">
        <v>0</v>
      </c>
      <c r="O65" s="526">
        <v>0</v>
      </c>
      <c r="P65" s="526">
        <v>0</v>
      </c>
      <c r="Q65" s="526">
        <v>0</v>
      </c>
      <c r="R65" s="655">
        <v>0</v>
      </c>
    </row>
    <row r="66" spans="1:34" ht="16.5" thickBot="1" x14ac:dyDescent="0.3">
      <c r="A66" s="86">
        <v>312</v>
      </c>
      <c r="B66" s="87" t="s">
        <v>65</v>
      </c>
      <c r="C66" s="88">
        <v>534950</v>
      </c>
      <c r="D66" s="88">
        <v>534950</v>
      </c>
      <c r="E66" s="620">
        <f>534950+21819</f>
        <v>556769</v>
      </c>
      <c r="F66" s="620">
        <f>534950+21819+1400</f>
        <v>558169</v>
      </c>
      <c r="G66" s="695">
        <f>534950+21819+1400</f>
        <v>558169</v>
      </c>
      <c r="H66" s="620">
        <f>534950+21819+1400+600+138</f>
        <v>558907</v>
      </c>
      <c r="I66" s="695">
        <f>534950+21819+1400+600+138</f>
        <v>558907</v>
      </c>
      <c r="J66" s="620">
        <f>534950+21819+1400+600+138+337+2884</f>
        <v>562128</v>
      </c>
      <c r="K66" s="695">
        <f>534950+21819+1400+600+138+3221</f>
        <v>562128</v>
      </c>
      <c r="L66" s="620">
        <f>534950+21819+1400+600+138+3221+450-200</f>
        <v>562378</v>
      </c>
      <c r="M66" s="695">
        <f>534950+21819+1400+600+138+3221+250</f>
        <v>562378</v>
      </c>
      <c r="N66" s="620">
        <f>534950+21819+1400+600+138+3221+250+6054</f>
        <v>568432</v>
      </c>
      <c r="O66" s="695">
        <f>534950+21819+1400+600+138+3221+250+6054</f>
        <v>568432</v>
      </c>
      <c r="P66" s="695">
        <f>534950+21819+1400+600+138+3221+250+6054</f>
        <v>568432</v>
      </c>
      <c r="Q66" s="88">
        <v>425815</v>
      </c>
      <c r="R66" s="655">
        <f t="shared" si="6"/>
        <v>0.74910455428265821</v>
      </c>
      <c r="S66" s="464">
        <f t="shared" ref="S66:S74" si="33">D66-C66</f>
        <v>0</v>
      </c>
      <c r="T66" s="464">
        <f t="shared" ref="T66:T74" si="34">E66-D66</f>
        <v>21819</v>
      </c>
      <c r="U66" s="464">
        <f t="shared" ref="U66:U74" si="35">F66-E66</f>
        <v>1400</v>
      </c>
      <c r="V66" s="464">
        <f t="shared" ref="V66:V74" si="36">G66-F66</f>
        <v>0</v>
      </c>
      <c r="W66" s="464">
        <f t="shared" ref="W66:W74" si="37">H66-G66</f>
        <v>738</v>
      </c>
      <c r="X66" s="464">
        <f t="shared" ref="X66:X74" si="38">I66-H66</f>
        <v>0</v>
      </c>
      <c r="Y66" s="464">
        <f t="shared" ref="Y66:Y74" si="39">J66-I66</f>
        <v>3221</v>
      </c>
      <c r="Z66" s="464">
        <f t="shared" ref="Z66:Z74" si="40">K66-J66</f>
        <v>0</v>
      </c>
      <c r="AA66" s="464">
        <f t="shared" ref="AA66:AA74" si="41">L66-K66</f>
        <v>250</v>
      </c>
      <c r="AB66" s="464">
        <f t="shared" ref="AB66:AB74" si="42">M66-L66</f>
        <v>0</v>
      </c>
      <c r="AC66" s="464">
        <f t="shared" ref="AC66:AC74" si="43">N66-M66</f>
        <v>6054</v>
      </c>
      <c r="AD66" s="464">
        <f t="shared" ref="AD66:AD74" si="44">O66-N66</f>
        <v>0</v>
      </c>
      <c r="AE66" s="464">
        <f t="shared" ref="AE66:AE74" si="45">P66-O66</f>
        <v>0</v>
      </c>
      <c r="AF66" s="464"/>
      <c r="AG66" s="464"/>
      <c r="AH66" s="464"/>
    </row>
    <row r="67" spans="1:34" ht="16.5" thickBot="1" x14ac:dyDescent="0.3">
      <c r="A67" s="89" t="s">
        <v>66</v>
      </c>
      <c r="B67" s="364"/>
      <c r="C67" s="90">
        <f t="shared" ref="C67:Q67" si="46">SUM(C3+C11+C32+C34+C41)</f>
        <v>2231928</v>
      </c>
      <c r="D67" s="90">
        <f t="shared" si="46"/>
        <v>2231928</v>
      </c>
      <c r="E67" s="90">
        <f t="shared" si="46"/>
        <v>2258158</v>
      </c>
      <c r="F67" s="90">
        <f t="shared" si="46"/>
        <v>2264558</v>
      </c>
      <c r="G67" s="90">
        <f t="shared" si="46"/>
        <v>2270558</v>
      </c>
      <c r="H67" s="90">
        <f t="shared" si="46"/>
        <v>2274496</v>
      </c>
      <c r="I67" s="90">
        <f t="shared" si="46"/>
        <v>2285396</v>
      </c>
      <c r="J67" s="90">
        <f t="shared" si="46"/>
        <v>2291617</v>
      </c>
      <c r="K67" s="90">
        <f t="shared" si="46"/>
        <v>2291960</v>
      </c>
      <c r="L67" s="90">
        <f t="shared" si="46"/>
        <v>2293410</v>
      </c>
      <c r="M67" s="90">
        <f t="shared" si="46"/>
        <v>2299610</v>
      </c>
      <c r="N67" s="90">
        <f t="shared" ref="N67:O67" si="47">SUM(N3+N11+N32+N34+N41)</f>
        <v>2319266</v>
      </c>
      <c r="O67" s="90">
        <f t="shared" si="47"/>
        <v>2336003</v>
      </c>
      <c r="P67" s="90">
        <f t="shared" ref="P67" si="48">SUM(P3+P11+P32+P34+P41)</f>
        <v>2336003</v>
      </c>
      <c r="Q67" s="90">
        <f t="shared" si="46"/>
        <v>1566939</v>
      </c>
      <c r="R67" s="655">
        <f t="shared" si="6"/>
        <v>0.67077782006273112</v>
      </c>
      <c r="S67" s="464">
        <f t="shared" si="33"/>
        <v>0</v>
      </c>
      <c r="T67" s="464">
        <f t="shared" si="34"/>
        <v>26230</v>
      </c>
      <c r="U67" s="464">
        <f t="shared" si="35"/>
        <v>6400</v>
      </c>
      <c r="V67" s="464">
        <f t="shared" si="36"/>
        <v>6000</v>
      </c>
      <c r="W67" s="464">
        <f t="shared" si="37"/>
        <v>3938</v>
      </c>
      <c r="X67" s="464">
        <f t="shared" si="38"/>
        <v>10900</v>
      </c>
      <c r="Y67" s="464">
        <f t="shared" si="39"/>
        <v>6221</v>
      </c>
      <c r="Z67" s="464">
        <f t="shared" si="40"/>
        <v>343</v>
      </c>
      <c r="AA67" s="464">
        <f t="shared" si="41"/>
        <v>1450</v>
      </c>
      <c r="AB67" s="464">
        <f t="shared" si="42"/>
        <v>6200</v>
      </c>
      <c r="AC67" s="464">
        <f t="shared" si="43"/>
        <v>19656</v>
      </c>
      <c r="AD67" s="464">
        <f t="shared" si="44"/>
        <v>16737</v>
      </c>
      <c r="AE67" s="464">
        <f t="shared" si="45"/>
        <v>0</v>
      </c>
      <c r="AF67" s="464"/>
      <c r="AG67" s="464"/>
      <c r="AH67" s="464"/>
    </row>
    <row r="68" spans="1:34" x14ac:dyDescent="0.25">
      <c r="A68" s="91" t="s">
        <v>67</v>
      </c>
      <c r="B68" s="92" t="s">
        <v>68</v>
      </c>
      <c r="C68" s="93">
        <v>2450</v>
      </c>
      <c r="D68" s="93">
        <v>2450</v>
      </c>
      <c r="E68" s="93">
        <v>2450</v>
      </c>
      <c r="F68" s="93">
        <v>2450</v>
      </c>
      <c r="G68" s="93">
        <v>2450</v>
      </c>
      <c r="H68" s="93">
        <v>2450</v>
      </c>
      <c r="I68" s="93">
        <v>2450</v>
      </c>
      <c r="J68" s="93">
        <v>2450</v>
      </c>
      <c r="K68" s="93">
        <v>2450</v>
      </c>
      <c r="L68" s="93">
        <v>2450</v>
      </c>
      <c r="M68" s="93">
        <v>2450</v>
      </c>
      <c r="N68" s="93">
        <v>2450</v>
      </c>
      <c r="O68" s="93">
        <v>2450</v>
      </c>
      <c r="P68" s="93">
        <v>2450</v>
      </c>
      <c r="Q68" s="93">
        <v>47</v>
      </c>
      <c r="R68" s="655">
        <f t="shared" ref="R68:R130" si="49">Q68/P68</f>
        <v>1.9183673469387756E-2</v>
      </c>
      <c r="S68" s="464">
        <f t="shared" si="33"/>
        <v>0</v>
      </c>
      <c r="T68" s="464">
        <f t="shared" si="34"/>
        <v>0</v>
      </c>
      <c r="U68" s="464">
        <f t="shared" si="35"/>
        <v>0</v>
      </c>
      <c r="V68" s="464">
        <f t="shared" si="36"/>
        <v>0</v>
      </c>
      <c r="W68" s="464">
        <f t="shared" si="37"/>
        <v>0</v>
      </c>
      <c r="X68" s="464">
        <f t="shared" si="38"/>
        <v>0</v>
      </c>
      <c r="Y68" s="464">
        <f t="shared" si="39"/>
        <v>0</v>
      </c>
      <c r="Z68" s="464">
        <f t="shared" si="40"/>
        <v>0</v>
      </c>
      <c r="AA68" s="464">
        <f t="shared" si="41"/>
        <v>0</v>
      </c>
      <c r="AB68" s="464">
        <f t="shared" si="42"/>
        <v>0</v>
      </c>
      <c r="AC68" s="464">
        <f t="shared" si="43"/>
        <v>0</v>
      </c>
      <c r="AD68" s="464">
        <f t="shared" si="44"/>
        <v>0</v>
      </c>
      <c r="AE68" s="464">
        <f t="shared" si="45"/>
        <v>0</v>
      </c>
      <c r="AF68" s="464"/>
      <c r="AG68" s="464"/>
      <c r="AH68" s="464"/>
    </row>
    <row r="69" spans="1:34" ht="15.75" thickBot="1" x14ac:dyDescent="0.3">
      <c r="A69" s="94" t="s">
        <v>67</v>
      </c>
      <c r="B69" s="92" t="s">
        <v>69</v>
      </c>
      <c r="C69" s="95">
        <v>2000</v>
      </c>
      <c r="D69" s="95">
        <v>2000</v>
      </c>
      <c r="E69" s="95">
        <v>2000</v>
      </c>
      <c r="F69" s="95">
        <v>2000</v>
      </c>
      <c r="G69" s="95">
        <v>2000</v>
      </c>
      <c r="H69" s="95">
        <v>2000</v>
      </c>
      <c r="I69" s="95">
        <v>2000</v>
      </c>
      <c r="J69" s="95">
        <v>2000</v>
      </c>
      <c r="K69" s="95">
        <v>2000</v>
      </c>
      <c r="L69" s="95">
        <v>2000</v>
      </c>
      <c r="M69" s="95">
        <v>2000</v>
      </c>
      <c r="N69" s="95">
        <v>2000</v>
      </c>
      <c r="O69" s="95">
        <v>2000</v>
      </c>
      <c r="P69" s="95">
        <v>2000</v>
      </c>
      <c r="Q69" s="95">
        <v>924</v>
      </c>
      <c r="R69" s="655">
        <f t="shared" si="49"/>
        <v>0.46200000000000002</v>
      </c>
      <c r="S69" s="464">
        <f t="shared" si="33"/>
        <v>0</v>
      </c>
      <c r="T69" s="464">
        <f t="shared" si="34"/>
        <v>0</v>
      </c>
      <c r="U69" s="464">
        <f t="shared" si="35"/>
        <v>0</v>
      </c>
      <c r="V69" s="464">
        <f t="shared" si="36"/>
        <v>0</v>
      </c>
      <c r="W69" s="464">
        <f t="shared" si="37"/>
        <v>0</v>
      </c>
      <c r="X69" s="464">
        <f t="shared" si="38"/>
        <v>0</v>
      </c>
      <c r="Y69" s="464">
        <f t="shared" si="39"/>
        <v>0</v>
      </c>
      <c r="Z69" s="464">
        <f t="shared" si="40"/>
        <v>0</v>
      </c>
      <c r="AA69" s="464">
        <f t="shared" si="41"/>
        <v>0</v>
      </c>
      <c r="AB69" s="464">
        <f t="shared" si="42"/>
        <v>0</v>
      </c>
      <c r="AC69" s="464">
        <f t="shared" si="43"/>
        <v>0</v>
      </c>
      <c r="AD69" s="464">
        <f t="shared" si="44"/>
        <v>0</v>
      </c>
      <c r="AE69" s="464">
        <f t="shared" si="45"/>
        <v>0</v>
      </c>
      <c r="AF69" s="464"/>
      <c r="AG69" s="464"/>
      <c r="AH69" s="464"/>
    </row>
    <row r="70" spans="1:34" ht="15.75" thickBot="1" x14ac:dyDescent="0.3">
      <c r="A70" s="813" t="s">
        <v>71</v>
      </c>
      <c r="B70" s="814"/>
      <c r="C70" s="99">
        <f t="shared" ref="C70:Q70" si="50">SUM(C68:C69)</f>
        <v>4450</v>
      </c>
      <c r="D70" s="99">
        <f t="shared" si="50"/>
        <v>4450</v>
      </c>
      <c r="E70" s="99">
        <f t="shared" si="50"/>
        <v>4450</v>
      </c>
      <c r="F70" s="99">
        <f t="shared" si="50"/>
        <v>4450</v>
      </c>
      <c r="G70" s="99">
        <f t="shared" si="50"/>
        <v>4450</v>
      </c>
      <c r="H70" s="99">
        <f t="shared" si="50"/>
        <v>4450</v>
      </c>
      <c r="I70" s="99">
        <f t="shared" si="50"/>
        <v>4450</v>
      </c>
      <c r="J70" s="99">
        <f t="shared" ref="J70:M70" si="51">SUM(J68:J69)</f>
        <v>4450</v>
      </c>
      <c r="K70" s="99">
        <f t="shared" si="51"/>
        <v>4450</v>
      </c>
      <c r="L70" s="99">
        <f t="shared" si="51"/>
        <v>4450</v>
      </c>
      <c r="M70" s="99">
        <f t="shared" si="51"/>
        <v>4450</v>
      </c>
      <c r="N70" s="99">
        <f t="shared" ref="N70:O70" si="52">SUM(N68:N69)</f>
        <v>4450</v>
      </c>
      <c r="O70" s="99">
        <f t="shared" si="52"/>
        <v>4450</v>
      </c>
      <c r="P70" s="99">
        <f t="shared" ref="P70" si="53">SUM(P68:P69)</f>
        <v>4450</v>
      </c>
      <c r="Q70" s="99">
        <f t="shared" si="50"/>
        <v>971</v>
      </c>
      <c r="R70" s="655">
        <f t="shared" si="49"/>
        <v>0.21820224719101122</v>
      </c>
      <c r="S70" s="464">
        <f t="shared" si="33"/>
        <v>0</v>
      </c>
      <c r="T70" s="464">
        <f t="shared" si="34"/>
        <v>0</v>
      </c>
      <c r="U70" s="464">
        <f t="shared" si="35"/>
        <v>0</v>
      </c>
      <c r="V70" s="464">
        <f t="shared" si="36"/>
        <v>0</v>
      </c>
      <c r="W70" s="464">
        <f t="shared" si="37"/>
        <v>0</v>
      </c>
      <c r="X70" s="464">
        <f t="shared" si="38"/>
        <v>0</v>
      </c>
      <c r="Y70" s="464">
        <f t="shared" si="39"/>
        <v>0</v>
      </c>
      <c r="Z70" s="464">
        <f t="shared" si="40"/>
        <v>0</v>
      </c>
      <c r="AA70" s="464">
        <f t="shared" si="41"/>
        <v>0</v>
      </c>
      <c r="AB70" s="464">
        <f t="shared" si="42"/>
        <v>0</v>
      </c>
      <c r="AC70" s="464">
        <f t="shared" si="43"/>
        <v>0</v>
      </c>
      <c r="AD70" s="464">
        <f t="shared" si="44"/>
        <v>0</v>
      </c>
      <c r="AE70" s="464">
        <f t="shared" si="45"/>
        <v>0</v>
      </c>
      <c r="AF70" s="464"/>
      <c r="AG70" s="464"/>
      <c r="AH70" s="464"/>
    </row>
    <row r="71" spans="1:34" ht="15.75" thickBot="1" x14ac:dyDescent="0.3">
      <c r="A71" s="100" t="s">
        <v>67</v>
      </c>
      <c r="B71" s="101" t="s">
        <v>72</v>
      </c>
      <c r="C71" s="455">
        <v>11470</v>
      </c>
      <c r="D71" s="455">
        <v>11470</v>
      </c>
      <c r="E71" s="455">
        <v>11470</v>
      </c>
      <c r="F71" s="455">
        <v>11470</v>
      </c>
      <c r="G71" s="455">
        <v>11470</v>
      </c>
      <c r="H71" s="455">
        <v>11470</v>
      </c>
      <c r="I71" s="455">
        <v>11470</v>
      </c>
      <c r="J71" s="455">
        <v>11470</v>
      </c>
      <c r="K71" s="455">
        <v>11470</v>
      </c>
      <c r="L71" s="455">
        <v>11470</v>
      </c>
      <c r="M71" s="455">
        <v>11470</v>
      </c>
      <c r="N71" s="455">
        <v>11470</v>
      </c>
      <c r="O71" s="455">
        <v>11470</v>
      </c>
      <c r="P71" s="455">
        <v>11470</v>
      </c>
      <c r="Q71" s="455">
        <v>5520</v>
      </c>
      <c r="R71" s="655">
        <f t="shared" si="49"/>
        <v>0.48125544899738448</v>
      </c>
      <c r="S71" s="464">
        <f t="shared" si="33"/>
        <v>0</v>
      </c>
      <c r="T71" s="464">
        <f t="shared" si="34"/>
        <v>0</v>
      </c>
      <c r="U71" s="464">
        <f t="shared" si="35"/>
        <v>0</v>
      </c>
      <c r="V71" s="464">
        <f t="shared" si="36"/>
        <v>0</v>
      </c>
      <c r="W71" s="464">
        <f t="shared" si="37"/>
        <v>0</v>
      </c>
      <c r="X71" s="464">
        <f t="shared" si="38"/>
        <v>0</v>
      </c>
      <c r="Y71" s="464">
        <f t="shared" si="39"/>
        <v>0</v>
      </c>
      <c r="Z71" s="464">
        <f t="shared" si="40"/>
        <v>0</v>
      </c>
      <c r="AA71" s="464">
        <f t="shared" si="41"/>
        <v>0</v>
      </c>
      <c r="AB71" s="464">
        <f t="shared" si="42"/>
        <v>0</v>
      </c>
      <c r="AC71" s="464">
        <f t="shared" si="43"/>
        <v>0</v>
      </c>
      <c r="AD71" s="464">
        <f t="shared" si="44"/>
        <v>0</v>
      </c>
      <c r="AE71" s="464">
        <f t="shared" si="45"/>
        <v>0</v>
      </c>
      <c r="AF71" s="464"/>
      <c r="AG71" s="464"/>
      <c r="AH71" s="464"/>
    </row>
    <row r="72" spans="1:34" ht="15.75" thickBot="1" x14ac:dyDescent="0.3">
      <c r="A72" s="813" t="s">
        <v>275</v>
      </c>
      <c r="B72" s="814"/>
      <c r="C72" s="451">
        <f t="shared" ref="C72:Q72" si="54">SUM(C71:C71)</f>
        <v>11470</v>
      </c>
      <c r="D72" s="451">
        <f t="shared" si="54"/>
        <v>11470</v>
      </c>
      <c r="E72" s="451">
        <f t="shared" si="54"/>
        <v>11470</v>
      </c>
      <c r="F72" s="451">
        <f t="shared" si="54"/>
        <v>11470</v>
      </c>
      <c r="G72" s="451">
        <f t="shared" si="54"/>
        <v>11470</v>
      </c>
      <c r="H72" s="451">
        <f t="shared" si="54"/>
        <v>11470</v>
      </c>
      <c r="I72" s="451">
        <f t="shared" si="54"/>
        <v>11470</v>
      </c>
      <c r="J72" s="451">
        <f t="shared" si="54"/>
        <v>11470</v>
      </c>
      <c r="K72" s="451">
        <f t="shared" si="54"/>
        <v>11470</v>
      </c>
      <c r="L72" s="451">
        <f t="shared" si="54"/>
        <v>11470</v>
      </c>
      <c r="M72" s="451">
        <f t="shared" si="54"/>
        <v>11470</v>
      </c>
      <c r="N72" s="451">
        <f t="shared" ref="N72:O72" si="55">SUM(N71:N71)</f>
        <v>11470</v>
      </c>
      <c r="O72" s="451">
        <f t="shared" si="55"/>
        <v>11470</v>
      </c>
      <c r="P72" s="451">
        <f t="shared" ref="P72" si="56">SUM(P71:P71)</f>
        <v>11470</v>
      </c>
      <c r="Q72" s="451">
        <f t="shared" si="54"/>
        <v>5520</v>
      </c>
      <c r="R72" s="655">
        <f t="shared" si="49"/>
        <v>0.48125544899738448</v>
      </c>
      <c r="S72" s="464">
        <f t="shared" si="33"/>
        <v>0</v>
      </c>
      <c r="T72" s="464">
        <f t="shared" si="34"/>
        <v>0</v>
      </c>
      <c r="U72" s="464">
        <f t="shared" si="35"/>
        <v>0</v>
      </c>
      <c r="V72" s="464">
        <f t="shared" si="36"/>
        <v>0</v>
      </c>
      <c r="W72" s="464">
        <f t="shared" si="37"/>
        <v>0</v>
      </c>
      <c r="X72" s="464">
        <f t="shared" si="38"/>
        <v>0</v>
      </c>
      <c r="Y72" s="464">
        <f t="shared" si="39"/>
        <v>0</v>
      </c>
      <c r="Z72" s="464">
        <f t="shared" si="40"/>
        <v>0</v>
      </c>
      <c r="AA72" s="464">
        <f t="shared" si="41"/>
        <v>0</v>
      </c>
      <c r="AB72" s="464">
        <f t="shared" si="42"/>
        <v>0</v>
      </c>
      <c r="AC72" s="464">
        <f t="shared" si="43"/>
        <v>0</v>
      </c>
      <c r="AD72" s="464">
        <f t="shared" si="44"/>
        <v>0</v>
      </c>
      <c r="AE72" s="464">
        <f t="shared" si="45"/>
        <v>0</v>
      </c>
      <c r="AF72" s="464"/>
      <c r="AG72" s="464"/>
      <c r="AH72" s="464"/>
    </row>
    <row r="73" spans="1:34" ht="16.5" thickBot="1" x14ac:dyDescent="0.3">
      <c r="A73" s="815" t="s">
        <v>73</v>
      </c>
      <c r="B73" s="816"/>
      <c r="C73" s="103">
        <f t="shared" ref="C73:Q73" si="57">C70+C72</f>
        <v>15920</v>
      </c>
      <c r="D73" s="103">
        <f t="shared" si="57"/>
        <v>15920</v>
      </c>
      <c r="E73" s="103">
        <f t="shared" si="57"/>
        <v>15920</v>
      </c>
      <c r="F73" s="103">
        <f t="shared" si="57"/>
        <v>15920</v>
      </c>
      <c r="G73" s="103">
        <f t="shared" si="57"/>
        <v>15920</v>
      </c>
      <c r="H73" s="103">
        <f t="shared" si="57"/>
        <v>15920</v>
      </c>
      <c r="I73" s="103">
        <f t="shared" si="57"/>
        <v>15920</v>
      </c>
      <c r="J73" s="103">
        <f t="shared" si="57"/>
        <v>15920</v>
      </c>
      <c r="K73" s="103">
        <f t="shared" si="57"/>
        <v>15920</v>
      </c>
      <c r="L73" s="103">
        <f t="shared" si="57"/>
        <v>15920</v>
      </c>
      <c r="M73" s="103">
        <f t="shared" si="57"/>
        <v>15920</v>
      </c>
      <c r="N73" s="103">
        <f t="shared" ref="N73:O73" si="58">N70+N72</f>
        <v>15920</v>
      </c>
      <c r="O73" s="103">
        <f t="shared" si="58"/>
        <v>15920</v>
      </c>
      <c r="P73" s="103">
        <f t="shared" ref="P73" si="59">P70+P72</f>
        <v>15920</v>
      </c>
      <c r="Q73" s="103">
        <f t="shared" si="57"/>
        <v>6491</v>
      </c>
      <c r="R73" s="655">
        <f t="shared" si="49"/>
        <v>0.40772613065326635</v>
      </c>
      <c r="S73" s="464">
        <f t="shared" si="33"/>
        <v>0</v>
      </c>
      <c r="T73" s="464">
        <f t="shared" si="34"/>
        <v>0</v>
      </c>
      <c r="U73" s="464">
        <f t="shared" si="35"/>
        <v>0</v>
      </c>
      <c r="V73" s="464">
        <f t="shared" si="36"/>
        <v>0</v>
      </c>
      <c r="W73" s="464">
        <f t="shared" si="37"/>
        <v>0</v>
      </c>
      <c r="X73" s="464">
        <f t="shared" si="38"/>
        <v>0</v>
      </c>
      <c r="Y73" s="464">
        <f t="shared" si="39"/>
        <v>0</v>
      </c>
      <c r="Z73" s="464">
        <f t="shared" si="40"/>
        <v>0</v>
      </c>
      <c r="AA73" s="464">
        <f t="shared" si="41"/>
        <v>0</v>
      </c>
      <c r="AB73" s="464">
        <f t="shared" si="42"/>
        <v>0</v>
      </c>
      <c r="AC73" s="464">
        <f t="shared" si="43"/>
        <v>0</v>
      </c>
      <c r="AD73" s="464">
        <f t="shared" si="44"/>
        <v>0</v>
      </c>
      <c r="AE73" s="464">
        <f t="shared" si="45"/>
        <v>0</v>
      </c>
      <c r="AF73" s="464"/>
      <c r="AG73" s="464"/>
      <c r="AH73" s="464"/>
    </row>
    <row r="74" spans="1:34" ht="16.5" thickBot="1" x14ac:dyDescent="0.3">
      <c r="A74" s="89" t="s">
        <v>74</v>
      </c>
      <c r="B74" s="66"/>
      <c r="C74" s="90">
        <f t="shared" ref="C74:Q74" si="60">C67+C73</f>
        <v>2247848</v>
      </c>
      <c r="D74" s="90">
        <f t="shared" si="60"/>
        <v>2247848</v>
      </c>
      <c r="E74" s="90">
        <f t="shared" si="60"/>
        <v>2274078</v>
      </c>
      <c r="F74" s="90">
        <f t="shared" si="60"/>
        <v>2280478</v>
      </c>
      <c r="G74" s="90">
        <f t="shared" si="60"/>
        <v>2286478</v>
      </c>
      <c r="H74" s="90">
        <f t="shared" si="60"/>
        <v>2290416</v>
      </c>
      <c r="I74" s="90">
        <f t="shared" si="60"/>
        <v>2301316</v>
      </c>
      <c r="J74" s="90">
        <f t="shared" si="60"/>
        <v>2307537</v>
      </c>
      <c r="K74" s="90">
        <f t="shared" si="60"/>
        <v>2307880</v>
      </c>
      <c r="L74" s="90">
        <f t="shared" si="60"/>
        <v>2309330</v>
      </c>
      <c r="M74" s="90">
        <f t="shared" si="60"/>
        <v>2315530</v>
      </c>
      <c r="N74" s="90">
        <f t="shared" ref="N74:O74" si="61">N67+N73</f>
        <v>2335186</v>
      </c>
      <c r="O74" s="90">
        <f t="shared" si="61"/>
        <v>2351923</v>
      </c>
      <c r="P74" s="90">
        <f t="shared" ref="P74" si="62">P67+P73</f>
        <v>2351923</v>
      </c>
      <c r="Q74" s="90">
        <f t="shared" si="60"/>
        <v>1573430</v>
      </c>
      <c r="R74" s="655">
        <f t="shared" si="49"/>
        <v>0.66899724183147158</v>
      </c>
      <c r="S74" s="464">
        <f t="shared" si="33"/>
        <v>0</v>
      </c>
      <c r="T74" s="464">
        <f t="shared" si="34"/>
        <v>26230</v>
      </c>
      <c r="U74" s="464">
        <f t="shared" si="35"/>
        <v>6400</v>
      </c>
      <c r="V74" s="464">
        <f t="shared" si="36"/>
        <v>6000</v>
      </c>
      <c r="W74" s="464">
        <f t="shared" si="37"/>
        <v>3938</v>
      </c>
      <c r="X74" s="464">
        <f t="shared" si="38"/>
        <v>10900</v>
      </c>
      <c r="Y74" s="464">
        <f t="shared" si="39"/>
        <v>6221</v>
      </c>
      <c r="Z74" s="464">
        <f t="shared" si="40"/>
        <v>343</v>
      </c>
      <c r="AA74" s="464">
        <f t="shared" si="41"/>
        <v>1450</v>
      </c>
      <c r="AB74" s="464">
        <f t="shared" si="42"/>
        <v>6200</v>
      </c>
      <c r="AC74" s="464">
        <f t="shared" si="43"/>
        <v>19656</v>
      </c>
      <c r="AD74" s="464">
        <f t="shared" si="44"/>
        <v>16737</v>
      </c>
      <c r="AE74" s="464">
        <f t="shared" si="45"/>
        <v>0</v>
      </c>
      <c r="AF74" s="464"/>
      <c r="AG74" s="464"/>
      <c r="AH74" s="464"/>
    </row>
    <row r="75" spans="1:34" x14ac:dyDescent="0.25">
      <c r="A75" s="1"/>
      <c r="B75" s="1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655"/>
    </row>
    <row r="76" spans="1:34" ht="15.75" x14ac:dyDescent="0.25">
      <c r="A76" s="105"/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655"/>
    </row>
    <row r="77" spans="1:34" ht="18.75" thickBot="1" x14ac:dyDescent="0.3">
      <c r="A77" s="817" t="s">
        <v>75</v>
      </c>
      <c r="B77" s="818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655"/>
    </row>
    <row r="78" spans="1:34" ht="41.25" customHeight="1" thickBot="1" x14ac:dyDescent="0.3">
      <c r="A78" s="819" t="s">
        <v>1</v>
      </c>
      <c r="B78" s="820"/>
      <c r="C78" s="416" t="s">
        <v>376</v>
      </c>
      <c r="D78" s="416" t="s">
        <v>509</v>
      </c>
      <c r="E78" s="416" t="s">
        <v>511</v>
      </c>
      <c r="F78" s="416" t="s">
        <v>512</v>
      </c>
      <c r="G78" s="416" t="s">
        <v>377</v>
      </c>
      <c r="H78" s="416" t="s">
        <v>541</v>
      </c>
      <c r="I78" s="416" t="s">
        <v>497</v>
      </c>
      <c r="J78" s="416" t="s">
        <v>556</v>
      </c>
      <c r="K78" s="416" t="s">
        <v>561</v>
      </c>
      <c r="L78" s="416" t="s">
        <v>605</v>
      </c>
      <c r="M78" s="416" t="s">
        <v>606</v>
      </c>
      <c r="N78" s="416" t="s">
        <v>678</v>
      </c>
      <c r="O78" s="416" t="s">
        <v>679</v>
      </c>
      <c r="P78" s="416" t="s">
        <v>704</v>
      </c>
      <c r="Q78" s="416" t="s">
        <v>717</v>
      </c>
      <c r="R78" s="655"/>
    </row>
    <row r="79" spans="1:34" ht="15.75" thickBot="1" x14ac:dyDescent="0.3">
      <c r="A79" s="108" t="s">
        <v>76</v>
      </c>
      <c r="B79" s="109"/>
      <c r="C79" s="112">
        <f t="shared" ref="C79:Q79" si="63">SUM(C80:C84)</f>
        <v>290310</v>
      </c>
      <c r="D79" s="112">
        <f t="shared" si="63"/>
        <v>290310</v>
      </c>
      <c r="E79" s="112">
        <f t="shared" si="63"/>
        <v>290310</v>
      </c>
      <c r="F79" s="112">
        <f t="shared" si="63"/>
        <v>290310</v>
      </c>
      <c r="G79" s="112">
        <f t="shared" si="63"/>
        <v>290310</v>
      </c>
      <c r="H79" s="112">
        <f t="shared" si="63"/>
        <v>290310</v>
      </c>
      <c r="I79" s="112">
        <f t="shared" si="63"/>
        <v>290910</v>
      </c>
      <c r="J79" s="112">
        <f t="shared" si="63"/>
        <v>290910</v>
      </c>
      <c r="K79" s="112">
        <f t="shared" si="63"/>
        <v>290910</v>
      </c>
      <c r="L79" s="112">
        <f t="shared" si="63"/>
        <v>290910</v>
      </c>
      <c r="M79" s="112">
        <f t="shared" si="63"/>
        <v>291110</v>
      </c>
      <c r="N79" s="112">
        <f t="shared" ref="N79:O79" si="64">SUM(N80:N84)</f>
        <v>291110</v>
      </c>
      <c r="O79" s="112">
        <f t="shared" si="64"/>
        <v>297810</v>
      </c>
      <c r="P79" s="112">
        <f t="shared" ref="P79" si="65">SUM(P80:P84)</f>
        <v>297810</v>
      </c>
      <c r="Q79" s="112">
        <f t="shared" si="63"/>
        <v>139805</v>
      </c>
      <c r="R79" s="655">
        <f t="shared" si="49"/>
        <v>0.46944360498304288</v>
      </c>
    </row>
    <row r="80" spans="1:34" x14ac:dyDescent="0.25">
      <c r="A80" s="113" t="s">
        <v>77</v>
      </c>
      <c r="B80" s="85" t="s">
        <v>78</v>
      </c>
      <c r="C80" s="56">
        <f t="shared" ref="C80:H80" si="66">143650</f>
        <v>143650</v>
      </c>
      <c r="D80" s="56">
        <f t="shared" si="66"/>
        <v>143650</v>
      </c>
      <c r="E80" s="56">
        <f t="shared" si="66"/>
        <v>143650</v>
      </c>
      <c r="F80" s="56">
        <f t="shared" si="66"/>
        <v>143650</v>
      </c>
      <c r="G80" s="56">
        <f t="shared" si="66"/>
        <v>143650</v>
      </c>
      <c r="H80" s="56">
        <f t="shared" si="66"/>
        <v>143650</v>
      </c>
      <c r="I80" s="623">
        <f>143650+100</f>
        <v>143750</v>
      </c>
      <c r="J80" s="56">
        <f>143650+100</f>
        <v>143750</v>
      </c>
      <c r="K80" s="56">
        <f>143650+100</f>
        <v>143750</v>
      </c>
      <c r="L80" s="56">
        <f t="shared" ref="L80" si="67">143650+100</f>
        <v>143750</v>
      </c>
      <c r="M80" s="623">
        <f>143650+100-3500</f>
        <v>140250</v>
      </c>
      <c r="N80" s="56">
        <f t="shared" ref="N80" si="68">143650+100-3500</f>
        <v>140250</v>
      </c>
      <c r="O80" s="623">
        <f>143650+100-3500+6700</f>
        <v>146950</v>
      </c>
      <c r="P80" s="56">
        <f>143650+100-3500+6700</f>
        <v>146950</v>
      </c>
      <c r="Q80" s="56">
        <v>57668</v>
      </c>
      <c r="R80" s="655">
        <f t="shared" si="49"/>
        <v>0.39243280027220145</v>
      </c>
    </row>
    <row r="81" spans="1:18" x14ac:dyDescent="0.25">
      <c r="A81" s="117" t="s">
        <v>79</v>
      </c>
      <c r="B81" s="118" t="s">
        <v>80</v>
      </c>
      <c r="C81" s="61">
        <v>83740</v>
      </c>
      <c r="D81" s="61">
        <v>83740</v>
      </c>
      <c r="E81" s="61">
        <v>83740</v>
      </c>
      <c r="F81" s="61">
        <v>83740</v>
      </c>
      <c r="G81" s="61">
        <v>83740</v>
      </c>
      <c r="H81" s="61">
        <v>83740</v>
      </c>
      <c r="I81" s="725">
        <f>83740+500</f>
        <v>84240</v>
      </c>
      <c r="J81" s="61">
        <f>83740+500</f>
        <v>84240</v>
      </c>
      <c r="K81" s="61">
        <f>83740+500</f>
        <v>84240</v>
      </c>
      <c r="L81" s="61">
        <f t="shared" ref="L81" si="69">83740+500</f>
        <v>84240</v>
      </c>
      <c r="M81" s="725">
        <f>83740+500+200+1200</f>
        <v>85640</v>
      </c>
      <c r="N81" s="61">
        <f t="shared" ref="N81:P81" si="70">83740+500+200+1200</f>
        <v>85640</v>
      </c>
      <c r="O81" s="61">
        <f t="shared" si="70"/>
        <v>85640</v>
      </c>
      <c r="P81" s="61">
        <f t="shared" si="70"/>
        <v>85640</v>
      </c>
      <c r="Q81" s="61">
        <v>50520</v>
      </c>
      <c r="R81" s="655">
        <f t="shared" si="49"/>
        <v>0.58991125642223263</v>
      </c>
    </row>
    <row r="82" spans="1:18" x14ac:dyDescent="0.25">
      <c r="A82" s="117" t="s">
        <v>81</v>
      </c>
      <c r="B82" s="118" t="s">
        <v>608</v>
      </c>
      <c r="C82" s="61">
        <f t="shared" ref="C82:P82" si="71">4000-1000</f>
        <v>3000</v>
      </c>
      <c r="D82" s="61">
        <f t="shared" si="71"/>
        <v>3000</v>
      </c>
      <c r="E82" s="61">
        <f t="shared" si="71"/>
        <v>3000</v>
      </c>
      <c r="F82" s="61">
        <f t="shared" si="71"/>
        <v>3000</v>
      </c>
      <c r="G82" s="61">
        <f t="shared" si="71"/>
        <v>3000</v>
      </c>
      <c r="H82" s="61">
        <f t="shared" si="71"/>
        <v>3000</v>
      </c>
      <c r="I82" s="61">
        <f t="shared" si="71"/>
        <v>3000</v>
      </c>
      <c r="J82" s="61">
        <f t="shared" si="71"/>
        <v>3000</v>
      </c>
      <c r="K82" s="61">
        <f t="shared" si="71"/>
        <v>3000</v>
      </c>
      <c r="L82" s="61">
        <f t="shared" si="71"/>
        <v>3000</v>
      </c>
      <c r="M82" s="61">
        <f t="shared" si="71"/>
        <v>3000</v>
      </c>
      <c r="N82" s="61">
        <f t="shared" si="71"/>
        <v>3000</v>
      </c>
      <c r="O82" s="61">
        <f t="shared" si="71"/>
        <v>3000</v>
      </c>
      <c r="P82" s="61">
        <f t="shared" si="71"/>
        <v>3000</v>
      </c>
      <c r="Q82" s="61">
        <v>1489</v>
      </c>
      <c r="R82" s="655">
        <f t="shared" si="49"/>
        <v>0.49633333333333335</v>
      </c>
    </row>
    <row r="83" spans="1:18" x14ac:dyDescent="0.25">
      <c r="A83" s="121" t="s">
        <v>83</v>
      </c>
      <c r="B83" s="118" t="s">
        <v>84</v>
      </c>
      <c r="C83" s="61">
        <v>55920</v>
      </c>
      <c r="D83" s="61">
        <v>55920</v>
      </c>
      <c r="E83" s="61">
        <v>55920</v>
      </c>
      <c r="F83" s="61">
        <v>55920</v>
      </c>
      <c r="G83" s="61">
        <v>55920</v>
      </c>
      <c r="H83" s="61">
        <v>55920</v>
      </c>
      <c r="I83" s="61">
        <v>55920</v>
      </c>
      <c r="J83" s="61">
        <v>55920</v>
      </c>
      <c r="K83" s="61">
        <v>55920</v>
      </c>
      <c r="L83" s="61">
        <v>55920</v>
      </c>
      <c r="M83" s="725">
        <f>55920+2300</f>
        <v>58220</v>
      </c>
      <c r="N83" s="61">
        <f t="shared" ref="N83:P83" si="72">55920+2300</f>
        <v>58220</v>
      </c>
      <c r="O83" s="61">
        <f t="shared" si="72"/>
        <v>58220</v>
      </c>
      <c r="P83" s="61">
        <f t="shared" si="72"/>
        <v>58220</v>
      </c>
      <c r="Q83" s="61">
        <v>30128</v>
      </c>
      <c r="R83" s="655">
        <f t="shared" si="49"/>
        <v>0.51748540020611478</v>
      </c>
    </row>
    <row r="84" spans="1:18" ht="15.75" thickBot="1" x14ac:dyDescent="0.3">
      <c r="A84" s="123" t="s">
        <v>85</v>
      </c>
      <c r="B84" s="124" t="s">
        <v>236</v>
      </c>
      <c r="C84" s="128">
        <v>4000</v>
      </c>
      <c r="D84" s="128">
        <v>4000</v>
      </c>
      <c r="E84" s="128">
        <v>4000</v>
      </c>
      <c r="F84" s="128">
        <v>4000</v>
      </c>
      <c r="G84" s="128">
        <v>4000</v>
      </c>
      <c r="H84" s="128">
        <v>4000</v>
      </c>
      <c r="I84" s="128">
        <v>4000</v>
      </c>
      <c r="J84" s="128">
        <v>4000</v>
      </c>
      <c r="K84" s="128">
        <v>4000</v>
      </c>
      <c r="L84" s="128">
        <v>4000</v>
      </c>
      <c r="M84" s="128">
        <v>4000</v>
      </c>
      <c r="N84" s="128">
        <v>4000</v>
      </c>
      <c r="O84" s="128">
        <v>4000</v>
      </c>
      <c r="P84" s="128">
        <v>4000</v>
      </c>
      <c r="Q84" s="128">
        <v>0</v>
      </c>
      <c r="R84" s="655">
        <f t="shared" si="49"/>
        <v>0</v>
      </c>
    </row>
    <row r="85" spans="1:18" ht="15.75" thickBot="1" x14ac:dyDescent="0.3">
      <c r="A85" s="129" t="s">
        <v>86</v>
      </c>
      <c r="B85" s="130"/>
      <c r="C85" s="112">
        <f t="shared" ref="C85:Q85" si="73">SUM(C86)</f>
        <v>14610</v>
      </c>
      <c r="D85" s="112">
        <f t="shared" si="73"/>
        <v>14610</v>
      </c>
      <c r="E85" s="112">
        <f t="shared" si="73"/>
        <v>14615</v>
      </c>
      <c r="F85" s="112">
        <f t="shared" si="73"/>
        <v>14615</v>
      </c>
      <c r="G85" s="112">
        <f t="shared" si="73"/>
        <v>12615</v>
      </c>
      <c r="H85" s="112">
        <f t="shared" si="73"/>
        <v>12615</v>
      </c>
      <c r="I85" s="112">
        <f t="shared" si="73"/>
        <v>12615</v>
      </c>
      <c r="J85" s="112">
        <f t="shared" si="73"/>
        <v>12615</v>
      </c>
      <c r="K85" s="112">
        <f t="shared" si="73"/>
        <v>12615</v>
      </c>
      <c r="L85" s="112">
        <f t="shared" si="73"/>
        <v>12615</v>
      </c>
      <c r="M85" s="112">
        <f t="shared" si="73"/>
        <v>12615</v>
      </c>
      <c r="N85" s="112">
        <f t="shared" si="73"/>
        <v>12615</v>
      </c>
      <c r="O85" s="112">
        <f t="shared" si="73"/>
        <v>10095</v>
      </c>
      <c r="P85" s="112">
        <f t="shared" si="73"/>
        <v>10095</v>
      </c>
      <c r="Q85" s="112">
        <f t="shared" si="73"/>
        <v>6074</v>
      </c>
      <c r="R85" s="655">
        <f t="shared" si="49"/>
        <v>0.60168400198117877</v>
      </c>
    </row>
    <row r="86" spans="1:18" ht="15.75" thickBot="1" x14ac:dyDescent="0.3">
      <c r="A86" s="131" t="s">
        <v>87</v>
      </c>
      <c r="B86" s="106" t="s">
        <v>281</v>
      </c>
      <c r="C86" s="134">
        <v>14610</v>
      </c>
      <c r="D86" s="134">
        <v>14610</v>
      </c>
      <c r="E86" s="621">
        <f>14610+5</f>
        <v>14615</v>
      </c>
      <c r="F86" s="134">
        <f>14610+5</f>
        <v>14615</v>
      </c>
      <c r="G86" s="621">
        <f>14610+5-2000</f>
        <v>12615</v>
      </c>
      <c r="H86" s="134">
        <f>14610+5-2000</f>
        <v>12615</v>
      </c>
      <c r="I86" s="134">
        <f>14610+5-2000</f>
        <v>12615</v>
      </c>
      <c r="J86" s="134">
        <f>14610+5-2000</f>
        <v>12615</v>
      </c>
      <c r="K86" s="134">
        <f>14610+5-2000</f>
        <v>12615</v>
      </c>
      <c r="L86" s="134">
        <f t="shared" ref="L86:N86" si="74">14610+5-2000</f>
        <v>12615</v>
      </c>
      <c r="M86" s="134">
        <f t="shared" si="74"/>
        <v>12615</v>
      </c>
      <c r="N86" s="134">
        <f t="shared" si="74"/>
        <v>12615</v>
      </c>
      <c r="O86" s="621">
        <f>14610+5-2000-2520</f>
        <v>10095</v>
      </c>
      <c r="P86" s="134">
        <f>14610+5-2000-2520</f>
        <v>10095</v>
      </c>
      <c r="Q86" s="134">
        <v>6074</v>
      </c>
      <c r="R86" s="655">
        <f t="shared" si="49"/>
        <v>0.60168400198117877</v>
      </c>
    </row>
    <row r="87" spans="1:18" ht="15.75" thickBot="1" x14ac:dyDescent="0.3">
      <c r="A87" s="129" t="s">
        <v>88</v>
      </c>
      <c r="B87" s="130"/>
      <c r="C87" s="112">
        <f t="shared" ref="C87:Q87" si="75">SUM(C88:C89)</f>
        <v>16500</v>
      </c>
      <c r="D87" s="112">
        <f t="shared" si="75"/>
        <v>16500</v>
      </c>
      <c r="E87" s="112">
        <f t="shared" si="75"/>
        <v>16500</v>
      </c>
      <c r="F87" s="112">
        <f t="shared" si="75"/>
        <v>16500</v>
      </c>
      <c r="G87" s="112">
        <f t="shared" si="75"/>
        <v>17000</v>
      </c>
      <c r="H87" s="112">
        <f t="shared" si="75"/>
        <v>17000</v>
      </c>
      <c r="I87" s="112">
        <f t="shared" si="75"/>
        <v>17000</v>
      </c>
      <c r="J87" s="112">
        <f t="shared" ref="J87:M87" si="76">SUM(J88:J89)</f>
        <v>17000</v>
      </c>
      <c r="K87" s="112">
        <f t="shared" si="76"/>
        <v>17000</v>
      </c>
      <c r="L87" s="112">
        <f t="shared" si="76"/>
        <v>17000</v>
      </c>
      <c r="M87" s="112">
        <f t="shared" si="76"/>
        <v>17000</v>
      </c>
      <c r="N87" s="112">
        <f t="shared" ref="N87:O87" si="77">SUM(N88:N89)</f>
        <v>17000</v>
      </c>
      <c r="O87" s="112">
        <f t="shared" si="77"/>
        <v>17000</v>
      </c>
      <c r="P87" s="112">
        <f t="shared" ref="P87" si="78">SUM(P88:P89)</f>
        <v>17000</v>
      </c>
      <c r="Q87" s="112">
        <f t="shared" si="75"/>
        <v>8894</v>
      </c>
      <c r="R87" s="655">
        <f t="shared" si="49"/>
        <v>0.52317647058823524</v>
      </c>
    </row>
    <row r="88" spans="1:18" x14ac:dyDescent="0.25">
      <c r="A88" s="135" t="s">
        <v>89</v>
      </c>
      <c r="B88" s="136" t="s">
        <v>90</v>
      </c>
      <c r="C88" s="139">
        <v>14900</v>
      </c>
      <c r="D88" s="139">
        <v>14900</v>
      </c>
      <c r="E88" s="139">
        <f>14900</f>
        <v>14900</v>
      </c>
      <c r="F88" s="139">
        <f>14900</f>
        <v>14900</v>
      </c>
      <c r="G88" s="643">
        <f>14900+500</f>
        <v>15400</v>
      </c>
      <c r="H88" s="139">
        <f>14900+500</f>
        <v>15400</v>
      </c>
      <c r="I88" s="139">
        <f>14900+500</f>
        <v>15400</v>
      </c>
      <c r="J88" s="139">
        <f>14900+500</f>
        <v>15400</v>
      </c>
      <c r="K88" s="139">
        <f>14900+500</f>
        <v>15400</v>
      </c>
      <c r="L88" s="139">
        <f t="shared" ref="L88:P88" si="79">14900+500</f>
        <v>15400</v>
      </c>
      <c r="M88" s="139">
        <f t="shared" si="79"/>
        <v>15400</v>
      </c>
      <c r="N88" s="139">
        <f t="shared" si="79"/>
        <v>15400</v>
      </c>
      <c r="O88" s="139">
        <f t="shared" si="79"/>
        <v>15400</v>
      </c>
      <c r="P88" s="139">
        <f t="shared" si="79"/>
        <v>15400</v>
      </c>
      <c r="Q88" s="139">
        <v>8222</v>
      </c>
      <c r="R88" s="655">
        <f t="shared" si="49"/>
        <v>0.53389610389610387</v>
      </c>
    </row>
    <row r="89" spans="1:18" ht="15.75" thickBot="1" x14ac:dyDescent="0.3">
      <c r="A89" s="140" t="s">
        <v>91</v>
      </c>
      <c r="B89" s="141" t="s">
        <v>92</v>
      </c>
      <c r="C89" s="128">
        <v>1600</v>
      </c>
      <c r="D89" s="128">
        <v>1600</v>
      </c>
      <c r="E89" s="128">
        <v>1600</v>
      </c>
      <c r="F89" s="128">
        <v>1600</v>
      </c>
      <c r="G89" s="128">
        <v>1600</v>
      </c>
      <c r="H89" s="128">
        <v>1600</v>
      </c>
      <c r="I89" s="128">
        <v>1600</v>
      </c>
      <c r="J89" s="128">
        <v>1600</v>
      </c>
      <c r="K89" s="128">
        <v>1600</v>
      </c>
      <c r="L89" s="128">
        <v>1600</v>
      </c>
      <c r="M89" s="128">
        <v>1600</v>
      </c>
      <c r="N89" s="128">
        <v>1600</v>
      </c>
      <c r="O89" s="128">
        <v>1600</v>
      </c>
      <c r="P89" s="128">
        <v>1600</v>
      </c>
      <c r="Q89" s="128">
        <v>672</v>
      </c>
      <c r="R89" s="655">
        <f t="shared" si="49"/>
        <v>0.42</v>
      </c>
    </row>
    <row r="90" spans="1:18" ht="15.75" thickBot="1" x14ac:dyDescent="0.3">
      <c r="A90" s="108" t="s">
        <v>93</v>
      </c>
      <c r="B90" s="144"/>
      <c r="C90" s="112">
        <f t="shared" ref="C90:Q90" si="80">SUM(C91:C93)</f>
        <v>71400</v>
      </c>
      <c r="D90" s="112">
        <f t="shared" si="80"/>
        <v>71400</v>
      </c>
      <c r="E90" s="112">
        <f t="shared" si="80"/>
        <v>71400</v>
      </c>
      <c r="F90" s="112">
        <f t="shared" si="80"/>
        <v>71400</v>
      </c>
      <c r="G90" s="112">
        <f t="shared" si="80"/>
        <v>71400</v>
      </c>
      <c r="H90" s="112">
        <f t="shared" si="80"/>
        <v>71400</v>
      </c>
      <c r="I90" s="112">
        <f t="shared" si="80"/>
        <v>71400</v>
      </c>
      <c r="J90" s="112">
        <f t="shared" si="80"/>
        <v>71400</v>
      </c>
      <c r="K90" s="112">
        <f t="shared" si="80"/>
        <v>71643</v>
      </c>
      <c r="L90" s="112">
        <f t="shared" si="80"/>
        <v>71643</v>
      </c>
      <c r="M90" s="112">
        <f t="shared" si="80"/>
        <v>71943</v>
      </c>
      <c r="N90" s="112">
        <f t="shared" ref="N90:O90" si="81">SUM(N91:N93)</f>
        <v>71943</v>
      </c>
      <c r="O90" s="112">
        <f t="shared" si="81"/>
        <v>71943</v>
      </c>
      <c r="P90" s="112">
        <f t="shared" ref="P90" si="82">SUM(P91:P93)</f>
        <v>71943</v>
      </c>
      <c r="Q90" s="112">
        <f t="shared" si="80"/>
        <v>39356</v>
      </c>
      <c r="R90" s="655">
        <f t="shared" si="49"/>
        <v>0.54704418775975427</v>
      </c>
    </row>
    <row r="91" spans="1:18" x14ac:dyDescent="0.25">
      <c r="A91" s="145" t="s">
        <v>94</v>
      </c>
      <c r="B91" s="146" t="s">
        <v>592</v>
      </c>
      <c r="C91" s="55">
        <v>25300</v>
      </c>
      <c r="D91" s="55">
        <v>25300</v>
      </c>
      <c r="E91" s="55">
        <v>25300</v>
      </c>
      <c r="F91" s="55">
        <v>25300</v>
      </c>
      <c r="G91" s="55">
        <v>25300</v>
      </c>
      <c r="H91" s="55">
        <v>25300</v>
      </c>
      <c r="I91" s="55">
        <v>25300</v>
      </c>
      <c r="J91" s="55">
        <v>25300</v>
      </c>
      <c r="K91" s="634">
        <f>25300+243</f>
        <v>25543</v>
      </c>
      <c r="L91" s="55">
        <f t="shared" ref="L91" si="83">25300+243</f>
        <v>25543</v>
      </c>
      <c r="M91" s="634">
        <f>25300+243+300</f>
        <v>25843</v>
      </c>
      <c r="N91" s="55">
        <f t="shared" ref="N91:P91" si="84">25300+243+300</f>
        <v>25843</v>
      </c>
      <c r="O91" s="55">
        <f t="shared" si="84"/>
        <v>25843</v>
      </c>
      <c r="P91" s="55">
        <f t="shared" si="84"/>
        <v>25843</v>
      </c>
      <c r="Q91" s="55">
        <v>14301</v>
      </c>
      <c r="R91" s="655">
        <f t="shared" si="49"/>
        <v>0.55338002553883059</v>
      </c>
    </row>
    <row r="92" spans="1:18" x14ac:dyDescent="0.25">
      <c r="A92" s="121" t="s">
        <v>96</v>
      </c>
      <c r="B92" s="118" t="s">
        <v>97</v>
      </c>
      <c r="C92" s="60">
        <v>24300</v>
      </c>
      <c r="D92" s="60">
        <v>24300</v>
      </c>
      <c r="E92" s="60">
        <v>24300</v>
      </c>
      <c r="F92" s="60">
        <v>24300</v>
      </c>
      <c r="G92" s="60">
        <v>24300</v>
      </c>
      <c r="H92" s="60">
        <v>24300</v>
      </c>
      <c r="I92" s="60">
        <v>24300</v>
      </c>
      <c r="J92" s="60">
        <v>24300</v>
      </c>
      <c r="K92" s="60">
        <v>24300</v>
      </c>
      <c r="L92" s="60">
        <v>24300</v>
      </c>
      <c r="M92" s="60">
        <f>24300</f>
        <v>24300</v>
      </c>
      <c r="N92" s="60">
        <f>24300</f>
        <v>24300</v>
      </c>
      <c r="O92" s="60">
        <f>24300</f>
        <v>24300</v>
      </c>
      <c r="P92" s="622">
        <f>24300</f>
        <v>24300</v>
      </c>
      <c r="Q92" s="60">
        <v>13196</v>
      </c>
      <c r="R92" s="655">
        <f t="shared" si="49"/>
        <v>0.54304526748971194</v>
      </c>
    </row>
    <row r="93" spans="1:18" ht="15.75" thickBot="1" x14ac:dyDescent="0.3">
      <c r="A93" s="121" t="s">
        <v>98</v>
      </c>
      <c r="B93" s="118" t="s">
        <v>99</v>
      </c>
      <c r="C93" s="60">
        <v>21800</v>
      </c>
      <c r="D93" s="60">
        <v>21800</v>
      </c>
      <c r="E93" s="60">
        <v>21800</v>
      </c>
      <c r="F93" s="60">
        <v>21800</v>
      </c>
      <c r="G93" s="60">
        <v>21800</v>
      </c>
      <c r="H93" s="60">
        <v>21800</v>
      </c>
      <c r="I93" s="60">
        <v>21800</v>
      </c>
      <c r="J93" s="60">
        <v>21800</v>
      </c>
      <c r="K93" s="60">
        <v>21800</v>
      </c>
      <c r="L93" s="60">
        <v>21800</v>
      </c>
      <c r="M93" s="60">
        <v>21800</v>
      </c>
      <c r="N93" s="60">
        <v>21800</v>
      </c>
      <c r="O93" s="60">
        <v>21800</v>
      </c>
      <c r="P93" s="60">
        <v>21800</v>
      </c>
      <c r="Q93" s="60">
        <v>11859</v>
      </c>
      <c r="R93" s="655">
        <f t="shared" si="49"/>
        <v>0.54399082568807344</v>
      </c>
    </row>
    <row r="94" spans="1:18" ht="15.75" thickBot="1" x14ac:dyDescent="0.3">
      <c r="A94" s="821" t="s">
        <v>100</v>
      </c>
      <c r="B94" s="822"/>
      <c r="C94" s="112">
        <f t="shared" ref="C94:Q94" si="85">SUM(C95:C98)</f>
        <v>124900</v>
      </c>
      <c r="D94" s="112">
        <f t="shared" si="85"/>
        <v>124900</v>
      </c>
      <c r="E94" s="112">
        <f t="shared" si="85"/>
        <v>124900</v>
      </c>
      <c r="F94" s="112">
        <f t="shared" si="85"/>
        <v>124900</v>
      </c>
      <c r="G94" s="112">
        <f t="shared" si="85"/>
        <v>123900</v>
      </c>
      <c r="H94" s="112">
        <f t="shared" si="85"/>
        <v>123900</v>
      </c>
      <c r="I94" s="112">
        <f t="shared" si="85"/>
        <v>123900</v>
      </c>
      <c r="J94" s="112">
        <f t="shared" si="85"/>
        <v>123900</v>
      </c>
      <c r="K94" s="112">
        <f t="shared" si="85"/>
        <v>123900</v>
      </c>
      <c r="L94" s="112">
        <f t="shared" si="85"/>
        <v>123900</v>
      </c>
      <c r="M94" s="112">
        <f t="shared" si="85"/>
        <v>124100</v>
      </c>
      <c r="N94" s="112">
        <f t="shared" ref="N94:O94" si="86">SUM(N95:N98)</f>
        <v>124100</v>
      </c>
      <c r="O94" s="112">
        <f t="shared" si="86"/>
        <v>125000</v>
      </c>
      <c r="P94" s="112">
        <f t="shared" ref="P94" si="87">SUM(P95:P98)</f>
        <v>125000</v>
      </c>
      <c r="Q94" s="112">
        <f t="shared" si="85"/>
        <v>58871</v>
      </c>
      <c r="R94" s="655">
        <f t="shared" si="49"/>
        <v>0.470968</v>
      </c>
    </row>
    <row r="95" spans="1:18" x14ac:dyDescent="0.25">
      <c r="A95" s="153" t="s">
        <v>101</v>
      </c>
      <c r="B95" s="154" t="s">
        <v>102</v>
      </c>
      <c r="C95" s="139">
        <v>76800</v>
      </c>
      <c r="D95" s="139">
        <v>76800</v>
      </c>
      <c r="E95" s="139">
        <v>76800</v>
      </c>
      <c r="F95" s="139">
        <v>76800</v>
      </c>
      <c r="G95" s="139">
        <v>76800</v>
      </c>
      <c r="H95" s="139">
        <v>76800</v>
      </c>
      <c r="I95" s="139">
        <v>76800</v>
      </c>
      <c r="J95" s="139">
        <v>76800</v>
      </c>
      <c r="K95" s="139">
        <v>76800</v>
      </c>
      <c r="L95" s="139">
        <v>76800</v>
      </c>
      <c r="M95" s="643">
        <f>76800+200</f>
        <v>77000</v>
      </c>
      <c r="N95" s="139">
        <f t="shared" ref="N95:P95" si="88">76800+200</f>
        <v>77000</v>
      </c>
      <c r="O95" s="139">
        <f t="shared" si="88"/>
        <v>77000</v>
      </c>
      <c r="P95" s="139">
        <f t="shared" si="88"/>
        <v>77000</v>
      </c>
      <c r="Q95" s="139">
        <v>33294</v>
      </c>
      <c r="R95" s="655">
        <f t="shared" si="49"/>
        <v>0.43238961038961038</v>
      </c>
    </row>
    <row r="96" spans="1:18" x14ac:dyDescent="0.25">
      <c r="A96" s="121" t="s">
        <v>103</v>
      </c>
      <c r="B96" s="118" t="s">
        <v>104</v>
      </c>
      <c r="C96" s="152">
        <v>36500</v>
      </c>
      <c r="D96" s="152">
        <v>36500</v>
      </c>
      <c r="E96" s="152">
        <v>36500</v>
      </c>
      <c r="F96" s="152">
        <v>36500</v>
      </c>
      <c r="G96" s="644">
        <f>36500-1000</f>
        <v>35500</v>
      </c>
      <c r="H96" s="152">
        <f>36500-1000</f>
        <v>35500</v>
      </c>
      <c r="I96" s="152">
        <f>36500-1000</f>
        <v>35500</v>
      </c>
      <c r="J96" s="152">
        <f>36500-1000</f>
        <v>35500</v>
      </c>
      <c r="K96" s="152">
        <f>36500-1000</f>
        <v>35500</v>
      </c>
      <c r="L96" s="152">
        <f t="shared" ref="L96:N96" si="89">36500-1000</f>
        <v>35500</v>
      </c>
      <c r="M96" s="152">
        <f t="shared" si="89"/>
        <v>35500</v>
      </c>
      <c r="N96" s="152">
        <f t="shared" si="89"/>
        <v>35500</v>
      </c>
      <c r="O96" s="644">
        <f>36500-1000+900</f>
        <v>36400</v>
      </c>
      <c r="P96" s="152">
        <f>36500-1000+900</f>
        <v>36400</v>
      </c>
      <c r="Q96" s="152">
        <v>20714</v>
      </c>
      <c r="R96" s="655">
        <f t="shared" si="49"/>
        <v>0.56906593406593409</v>
      </c>
    </row>
    <row r="97" spans="1:18" x14ac:dyDescent="0.25">
      <c r="A97" s="131" t="s">
        <v>105</v>
      </c>
      <c r="B97" s="159" t="s">
        <v>106</v>
      </c>
      <c r="C97" s="163">
        <v>1500</v>
      </c>
      <c r="D97" s="163">
        <v>1500</v>
      </c>
      <c r="E97" s="163">
        <v>1500</v>
      </c>
      <c r="F97" s="163">
        <v>1500</v>
      </c>
      <c r="G97" s="163">
        <v>1500</v>
      </c>
      <c r="H97" s="163">
        <v>1500</v>
      </c>
      <c r="I97" s="163">
        <v>1500</v>
      </c>
      <c r="J97" s="163">
        <v>1500</v>
      </c>
      <c r="K97" s="163">
        <v>1500</v>
      </c>
      <c r="L97" s="163">
        <v>1500</v>
      </c>
      <c r="M97" s="163">
        <v>1500</v>
      </c>
      <c r="N97" s="163">
        <v>1500</v>
      </c>
      <c r="O97" s="163">
        <v>1500</v>
      </c>
      <c r="P97" s="163">
        <v>1500</v>
      </c>
      <c r="Q97" s="163">
        <v>1302</v>
      </c>
      <c r="R97" s="655">
        <f t="shared" si="49"/>
        <v>0.86799999999999999</v>
      </c>
    </row>
    <row r="98" spans="1:18" ht="15.75" thickBot="1" x14ac:dyDescent="0.3">
      <c r="A98" s="164" t="s">
        <v>107</v>
      </c>
      <c r="B98" s="165" t="s">
        <v>108</v>
      </c>
      <c r="C98" s="168">
        <v>10100</v>
      </c>
      <c r="D98" s="168">
        <v>10100</v>
      </c>
      <c r="E98" s="168">
        <v>10100</v>
      </c>
      <c r="F98" s="168">
        <v>10100</v>
      </c>
      <c r="G98" s="168">
        <v>10100</v>
      </c>
      <c r="H98" s="168">
        <v>10100</v>
      </c>
      <c r="I98" s="168">
        <v>10100</v>
      </c>
      <c r="J98" s="168">
        <v>10100</v>
      </c>
      <c r="K98" s="168">
        <v>10100</v>
      </c>
      <c r="L98" s="168">
        <v>10100</v>
      </c>
      <c r="M98" s="168">
        <v>10100</v>
      </c>
      <c r="N98" s="168">
        <v>10100</v>
      </c>
      <c r="O98" s="168">
        <v>10100</v>
      </c>
      <c r="P98" s="168">
        <v>10100</v>
      </c>
      <c r="Q98" s="168">
        <v>3561</v>
      </c>
      <c r="R98" s="655">
        <f t="shared" si="49"/>
        <v>0.35257425742574255</v>
      </c>
    </row>
    <row r="99" spans="1:18" ht="15.75" thickBot="1" x14ac:dyDescent="0.3">
      <c r="A99" s="108" t="s">
        <v>109</v>
      </c>
      <c r="B99" s="144"/>
      <c r="C99" s="110">
        <f t="shared" ref="C99:Q99" si="90">SUM(C100:C102)</f>
        <v>204648</v>
      </c>
      <c r="D99" s="110">
        <f t="shared" si="90"/>
        <v>204648</v>
      </c>
      <c r="E99" s="110">
        <f t="shared" si="90"/>
        <v>204648</v>
      </c>
      <c r="F99" s="110">
        <f t="shared" si="90"/>
        <v>204648</v>
      </c>
      <c r="G99" s="110">
        <f t="shared" si="90"/>
        <v>200648</v>
      </c>
      <c r="H99" s="110">
        <f t="shared" si="90"/>
        <v>200648</v>
      </c>
      <c r="I99" s="110">
        <f t="shared" si="90"/>
        <v>201248</v>
      </c>
      <c r="J99" s="110">
        <f t="shared" si="90"/>
        <v>201248</v>
      </c>
      <c r="K99" s="110">
        <f t="shared" si="90"/>
        <v>193248</v>
      </c>
      <c r="L99" s="110">
        <f t="shared" si="90"/>
        <v>193248</v>
      </c>
      <c r="M99" s="110">
        <f t="shared" si="90"/>
        <v>194638</v>
      </c>
      <c r="N99" s="110">
        <f t="shared" ref="N99:O99" si="91">SUM(N100:N102)</f>
        <v>194638</v>
      </c>
      <c r="O99" s="110">
        <f t="shared" si="91"/>
        <v>194768</v>
      </c>
      <c r="P99" s="110">
        <f t="shared" ref="P99" si="92">SUM(P100:P102)</f>
        <v>194768</v>
      </c>
      <c r="Q99" s="110">
        <f t="shared" si="90"/>
        <v>85593</v>
      </c>
      <c r="R99" s="655">
        <f t="shared" si="49"/>
        <v>0.43946130781237164</v>
      </c>
    </row>
    <row r="100" spans="1:18" x14ac:dyDescent="0.25">
      <c r="A100" s="145" t="s">
        <v>110</v>
      </c>
      <c r="B100" s="85" t="s">
        <v>111</v>
      </c>
      <c r="C100" s="116">
        <v>156748</v>
      </c>
      <c r="D100" s="116">
        <v>156748</v>
      </c>
      <c r="E100" s="116">
        <v>156748</v>
      </c>
      <c r="F100" s="116">
        <v>156748</v>
      </c>
      <c r="G100" s="645">
        <f>156748+5500</f>
        <v>162248</v>
      </c>
      <c r="H100" s="116">
        <f>156748+5500</f>
        <v>162248</v>
      </c>
      <c r="I100" s="116">
        <f>156748+5500</f>
        <v>162248</v>
      </c>
      <c r="J100" s="116">
        <f>156748+5500</f>
        <v>162248</v>
      </c>
      <c r="K100" s="645">
        <f>156748+5500-8000</f>
        <v>154248</v>
      </c>
      <c r="L100" s="116">
        <f t="shared" ref="L100" si="93">156748+5500-8000</f>
        <v>154248</v>
      </c>
      <c r="M100" s="645">
        <f>156748+5500-8000+1390</f>
        <v>155638</v>
      </c>
      <c r="N100" s="116">
        <f t="shared" ref="N100" si="94">156748+5500-8000+1390</f>
        <v>155638</v>
      </c>
      <c r="O100" s="645">
        <f>156748+5500-8000+1390-3870</f>
        <v>151768</v>
      </c>
      <c r="P100" s="645">
        <f>156748+5500-8000+1390-3870</f>
        <v>151768</v>
      </c>
      <c r="Q100" s="116">
        <v>65976</v>
      </c>
      <c r="R100" s="655">
        <f t="shared" si="49"/>
        <v>0.43471614569606243</v>
      </c>
    </row>
    <row r="101" spans="1:18" x14ac:dyDescent="0.25">
      <c r="A101" s="170" t="s">
        <v>112</v>
      </c>
      <c r="B101" s="118" t="s">
        <v>113</v>
      </c>
      <c r="C101" s="152">
        <v>29700</v>
      </c>
      <c r="D101" s="152">
        <v>29700</v>
      </c>
      <c r="E101" s="152">
        <v>29700</v>
      </c>
      <c r="F101" s="152">
        <v>29700</v>
      </c>
      <c r="G101" s="644">
        <f>29700-8000</f>
        <v>21700</v>
      </c>
      <c r="H101" s="152">
        <f>29700-8000</f>
        <v>21700</v>
      </c>
      <c r="I101" s="152">
        <f>29700-8000</f>
        <v>21700</v>
      </c>
      <c r="J101" s="152">
        <f>29700-8000</f>
        <v>21700</v>
      </c>
      <c r="K101" s="152">
        <f>29700-8000</f>
        <v>21700</v>
      </c>
      <c r="L101" s="152">
        <f t="shared" ref="L101:P101" si="95">29700-8000</f>
        <v>21700</v>
      </c>
      <c r="M101" s="152">
        <f t="shared" si="95"/>
        <v>21700</v>
      </c>
      <c r="N101" s="152">
        <f t="shared" si="95"/>
        <v>21700</v>
      </c>
      <c r="O101" s="152">
        <f t="shared" si="95"/>
        <v>21700</v>
      </c>
      <c r="P101" s="152">
        <f t="shared" si="95"/>
        <v>21700</v>
      </c>
      <c r="Q101" s="152">
        <v>11615</v>
      </c>
      <c r="R101" s="655">
        <f t="shared" si="49"/>
        <v>0.53525345622119813</v>
      </c>
    </row>
    <row r="102" spans="1:18" ht="15.75" thickBot="1" x14ac:dyDescent="0.3">
      <c r="A102" s="171" t="s">
        <v>114</v>
      </c>
      <c r="B102" s="165" t="s">
        <v>115</v>
      </c>
      <c r="C102" s="174">
        <v>18200</v>
      </c>
      <c r="D102" s="174">
        <v>18200</v>
      </c>
      <c r="E102" s="174">
        <v>18200</v>
      </c>
      <c r="F102" s="174">
        <v>18200</v>
      </c>
      <c r="G102" s="646">
        <f>18200+1500-3000</f>
        <v>16700</v>
      </c>
      <c r="H102" s="174">
        <f>18200+1500-3000</f>
        <v>16700</v>
      </c>
      <c r="I102" s="646">
        <f>18200+1500-3000+600</f>
        <v>17300</v>
      </c>
      <c r="J102" s="174">
        <f>18200+1500-3000+600</f>
        <v>17300</v>
      </c>
      <c r="K102" s="174">
        <f>18200+1500-3000+600</f>
        <v>17300</v>
      </c>
      <c r="L102" s="174">
        <f t="shared" ref="L102:N102" si="96">18200+1500-3000+600</f>
        <v>17300</v>
      </c>
      <c r="M102" s="174">
        <f t="shared" si="96"/>
        <v>17300</v>
      </c>
      <c r="N102" s="174">
        <f t="shared" si="96"/>
        <v>17300</v>
      </c>
      <c r="O102" s="646">
        <f>18200+1500-3000+600+4000</f>
        <v>21300</v>
      </c>
      <c r="P102" s="174">
        <f>18200+1500-3000+600+4000</f>
        <v>21300</v>
      </c>
      <c r="Q102" s="174">
        <v>8002</v>
      </c>
      <c r="R102" s="655">
        <f t="shared" si="49"/>
        <v>0.37568075117370892</v>
      </c>
    </row>
    <row r="103" spans="1:18" ht="15.75" thickBot="1" x14ac:dyDescent="0.3">
      <c r="A103" s="175" t="s">
        <v>116</v>
      </c>
      <c r="B103" s="176"/>
      <c r="C103" s="177">
        <f t="shared" ref="C103:Q103" si="97">SUM(C104:C107)</f>
        <v>4850</v>
      </c>
      <c r="D103" s="177">
        <f t="shared" si="97"/>
        <v>4850</v>
      </c>
      <c r="E103" s="177">
        <f t="shared" si="97"/>
        <v>4850</v>
      </c>
      <c r="F103" s="177">
        <f t="shared" si="97"/>
        <v>4850</v>
      </c>
      <c r="G103" s="177">
        <f t="shared" si="97"/>
        <v>3850</v>
      </c>
      <c r="H103" s="177">
        <f t="shared" si="97"/>
        <v>3850</v>
      </c>
      <c r="I103" s="177">
        <f t="shared" si="97"/>
        <v>3850</v>
      </c>
      <c r="J103" s="177">
        <f t="shared" ref="J103:M103" si="98">SUM(J104:J107)</f>
        <v>3850</v>
      </c>
      <c r="K103" s="177">
        <f t="shared" si="98"/>
        <v>3850</v>
      </c>
      <c r="L103" s="177">
        <f t="shared" si="98"/>
        <v>3850</v>
      </c>
      <c r="M103" s="177">
        <f t="shared" si="98"/>
        <v>3850</v>
      </c>
      <c r="N103" s="177">
        <f t="shared" ref="N103:O103" si="99">SUM(N104:N107)</f>
        <v>3850</v>
      </c>
      <c r="O103" s="177">
        <f t="shared" si="99"/>
        <v>3850</v>
      </c>
      <c r="P103" s="177">
        <f t="shared" ref="P103" si="100">SUM(P104:P107)</f>
        <v>3850</v>
      </c>
      <c r="Q103" s="177">
        <f t="shared" si="97"/>
        <v>1007</v>
      </c>
      <c r="R103" s="655">
        <f t="shared" si="49"/>
        <v>0.26155844155844155</v>
      </c>
    </row>
    <row r="104" spans="1:18" x14ac:dyDescent="0.25">
      <c r="A104" s="135" t="s">
        <v>117</v>
      </c>
      <c r="B104" s="154" t="s">
        <v>118</v>
      </c>
      <c r="C104" s="181">
        <v>50</v>
      </c>
      <c r="D104" s="181">
        <v>50</v>
      </c>
      <c r="E104" s="181">
        <v>50</v>
      </c>
      <c r="F104" s="181">
        <v>50</v>
      </c>
      <c r="G104" s="181">
        <v>50</v>
      </c>
      <c r="H104" s="181">
        <v>50</v>
      </c>
      <c r="I104" s="181">
        <v>50</v>
      </c>
      <c r="J104" s="181">
        <v>50</v>
      </c>
      <c r="K104" s="181">
        <v>50</v>
      </c>
      <c r="L104" s="181">
        <v>50</v>
      </c>
      <c r="M104" s="181">
        <v>50</v>
      </c>
      <c r="N104" s="181">
        <v>50</v>
      </c>
      <c r="O104" s="181">
        <v>50</v>
      </c>
      <c r="P104" s="181">
        <v>50</v>
      </c>
      <c r="Q104" s="181">
        <v>50</v>
      </c>
      <c r="R104" s="655">
        <f t="shared" si="49"/>
        <v>1</v>
      </c>
    </row>
    <row r="105" spans="1:18" x14ac:dyDescent="0.25">
      <c r="A105" s="170" t="s">
        <v>119</v>
      </c>
      <c r="B105" s="118" t="s">
        <v>120</v>
      </c>
      <c r="C105" s="184">
        <v>50</v>
      </c>
      <c r="D105" s="184">
        <v>50</v>
      </c>
      <c r="E105" s="184">
        <v>50</v>
      </c>
      <c r="F105" s="184">
        <v>50</v>
      </c>
      <c r="G105" s="184">
        <v>50</v>
      </c>
      <c r="H105" s="184">
        <v>50</v>
      </c>
      <c r="I105" s="184">
        <v>50</v>
      </c>
      <c r="J105" s="184">
        <v>50</v>
      </c>
      <c r="K105" s="184">
        <v>50</v>
      </c>
      <c r="L105" s="184">
        <v>50</v>
      </c>
      <c r="M105" s="184">
        <v>50</v>
      </c>
      <c r="N105" s="184">
        <v>50</v>
      </c>
      <c r="O105" s="184">
        <v>50</v>
      </c>
      <c r="P105" s="184">
        <v>50</v>
      </c>
      <c r="Q105" s="184">
        <v>30</v>
      </c>
      <c r="R105" s="655">
        <f t="shared" si="49"/>
        <v>0.6</v>
      </c>
    </row>
    <row r="106" spans="1:18" x14ac:dyDescent="0.25">
      <c r="A106" s="170" t="s">
        <v>121</v>
      </c>
      <c r="B106" s="118" t="s">
        <v>122</v>
      </c>
      <c r="C106" s="60">
        <v>750</v>
      </c>
      <c r="D106" s="60">
        <v>750</v>
      </c>
      <c r="E106" s="60">
        <v>750</v>
      </c>
      <c r="F106" s="60">
        <v>750</v>
      </c>
      <c r="G106" s="60">
        <v>750</v>
      </c>
      <c r="H106" s="60">
        <v>750</v>
      </c>
      <c r="I106" s="60">
        <v>750</v>
      </c>
      <c r="J106" s="60">
        <v>750</v>
      </c>
      <c r="K106" s="60">
        <v>750</v>
      </c>
      <c r="L106" s="60">
        <v>750</v>
      </c>
      <c r="M106" s="60">
        <v>750</v>
      </c>
      <c r="N106" s="60">
        <v>750</v>
      </c>
      <c r="O106" s="60">
        <v>750</v>
      </c>
      <c r="P106" s="60">
        <v>750</v>
      </c>
      <c r="Q106" s="60">
        <v>160</v>
      </c>
      <c r="R106" s="655">
        <f t="shared" si="49"/>
        <v>0.21333333333333335</v>
      </c>
    </row>
    <row r="107" spans="1:18" ht="15.75" thickBot="1" x14ac:dyDescent="0.3">
      <c r="A107" s="187" t="s">
        <v>123</v>
      </c>
      <c r="B107" s="188" t="s">
        <v>260</v>
      </c>
      <c r="C107" s="191">
        <v>4000</v>
      </c>
      <c r="D107" s="191">
        <v>4000</v>
      </c>
      <c r="E107" s="191">
        <v>4000</v>
      </c>
      <c r="F107" s="191">
        <v>4000</v>
      </c>
      <c r="G107" s="698">
        <f>4000-1000</f>
        <v>3000</v>
      </c>
      <c r="H107" s="128">
        <f>4000-1000</f>
        <v>3000</v>
      </c>
      <c r="I107" s="128">
        <f>4000-1000</f>
        <v>3000</v>
      </c>
      <c r="J107" s="128">
        <f>4000-1000</f>
        <v>3000</v>
      </c>
      <c r="K107" s="128">
        <f>4000-1000</f>
        <v>3000</v>
      </c>
      <c r="L107" s="128">
        <f t="shared" ref="L107:P107" si="101">4000-1000</f>
        <v>3000</v>
      </c>
      <c r="M107" s="128">
        <f t="shared" si="101"/>
        <v>3000</v>
      </c>
      <c r="N107" s="128">
        <f t="shared" si="101"/>
        <v>3000</v>
      </c>
      <c r="O107" s="128">
        <f t="shared" si="101"/>
        <v>3000</v>
      </c>
      <c r="P107" s="128">
        <f t="shared" si="101"/>
        <v>3000</v>
      </c>
      <c r="Q107" s="191">
        <v>767</v>
      </c>
      <c r="R107" s="655">
        <f t="shared" si="49"/>
        <v>0.25566666666666665</v>
      </c>
    </row>
    <row r="108" spans="1:18" ht="15.75" thickBot="1" x14ac:dyDescent="0.3">
      <c r="A108" s="192" t="s">
        <v>124</v>
      </c>
      <c r="B108" s="193"/>
      <c r="C108" s="194">
        <f t="shared" ref="C108:Q108" si="102">SUM(C109:C113)</f>
        <v>109550</v>
      </c>
      <c r="D108" s="194">
        <f t="shared" si="102"/>
        <v>109550</v>
      </c>
      <c r="E108" s="194">
        <f t="shared" si="102"/>
        <v>111550</v>
      </c>
      <c r="F108" s="194">
        <f t="shared" si="102"/>
        <v>116550</v>
      </c>
      <c r="G108" s="194">
        <f t="shared" si="102"/>
        <v>119250</v>
      </c>
      <c r="H108" s="194">
        <f t="shared" si="102"/>
        <v>122450</v>
      </c>
      <c r="I108" s="194">
        <f t="shared" si="102"/>
        <v>128050</v>
      </c>
      <c r="J108" s="194">
        <f t="shared" si="102"/>
        <v>131050</v>
      </c>
      <c r="K108" s="194">
        <f t="shared" si="102"/>
        <v>139150</v>
      </c>
      <c r="L108" s="194">
        <f t="shared" si="102"/>
        <v>140350</v>
      </c>
      <c r="M108" s="194">
        <f t="shared" si="102"/>
        <v>140650</v>
      </c>
      <c r="N108" s="194">
        <f t="shared" ref="N108:O108" si="103">SUM(N109:N113)</f>
        <v>140650</v>
      </c>
      <c r="O108" s="194">
        <f t="shared" si="103"/>
        <v>126707</v>
      </c>
      <c r="P108" s="194">
        <f t="shared" ref="P108" si="104">SUM(P109:P113)</f>
        <v>126707</v>
      </c>
      <c r="Q108" s="194">
        <f t="shared" si="102"/>
        <v>80932</v>
      </c>
      <c r="R108" s="655">
        <f t="shared" si="49"/>
        <v>0.63873345592587627</v>
      </c>
    </row>
    <row r="109" spans="1:18" x14ac:dyDescent="0.25">
      <c r="A109" s="153" t="s">
        <v>125</v>
      </c>
      <c r="B109" s="154" t="s">
        <v>126</v>
      </c>
      <c r="C109" s="139">
        <v>24000</v>
      </c>
      <c r="D109" s="139">
        <v>24000</v>
      </c>
      <c r="E109" s="139">
        <v>24000</v>
      </c>
      <c r="F109" s="139">
        <v>24000</v>
      </c>
      <c r="G109" s="643">
        <f>24000+1500</f>
        <v>25500</v>
      </c>
      <c r="H109" s="139">
        <f>24000+1500</f>
        <v>25500</v>
      </c>
      <c r="I109" s="139">
        <f>24000+1500</f>
        <v>25500</v>
      </c>
      <c r="J109" s="139">
        <f>24000+1500</f>
        <v>25500</v>
      </c>
      <c r="K109" s="139">
        <f>24000+1500</f>
        <v>25500</v>
      </c>
      <c r="L109" s="139">
        <f t="shared" ref="L109:P109" si="105">24000+1500</f>
        <v>25500</v>
      </c>
      <c r="M109" s="139">
        <f t="shared" si="105"/>
        <v>25500</v>
      </c>
      <c r="N109" s="139">
        <f t="shared" si="105"/>
        <v>25500</v>
      </c>
      <c r="O109" s="139">
        <f t="shared" si="105"/>
        <v>25500</v>
      </c>
      <c r="P109" s="643">
        <f t="shared" si="105"/>
        <v>25500</v>
      </c>
      <c r="Q109" s="139">
        <v>23247</v>
      </c>
      <c r="R109" s="655">
        <f t="shared" si="49"/>
        <v>0.91164705882352937</v>
      </c>
    </row>
    <row r="110" spans="1:18" x14ac:dyDescent="0.25">
      <c r="A110" s="196" t="s">
        <v>127</v>
      </c>
      <c r="B110" s="197" t="s">
        <v>607</v>
      </c>
      <c r="C110" s="55">
        <v>53650</v>
      </c>
      <c r="D110" s="55">
        <v>53650</v>
      </c>
      <c r="E110" s="634">
        <f>53650+2000</f>
        <v>55650</v>
      </c>
      <c r="F110" s="634">
        <f>53650+2000+5000</f>
        <v>60650</v>
      </c>
      <c r="G110" s="634">
        <f>53650+2000+5000+2000-2000+100</f>
        <v>60750</v>
      </c>
      <c r="H110" s="634">
        <f>53650+2000+5000+2000-2000+100+3200</f>
        <v>63950</v>
      </c>
      <c r="I110" s="634">
        <f>53650+2000+5000+2000-2000+100+3200+5000</f>
        <v>68950</v>
      </c>
      <c r="J110" s="634">
        <f>53650+2000+5000+2000-2000+100+3200+5000+3000</f>
        <v>71950</v>
      </c>
      <c r="K110" s="634">
        <f>53650+2000+5000+2000-2000+100+3200+5000+3000+8000</f>
        <v>79950</v>
      </c>
      <c r="L110" s="634">
        <f>53650+2000+5000+2000-2000+100+3200+5000+3000+8000+1200</f>
        <v>81150</v>
      </c>
      <c r="M110" s="634">
        <f>53650+2000+5000+2000-2000+100+3200+5000+3000+8000+1200+300</f>
        <v>81450</v>
      </c>
      <c r="N110" s="55">
        <f t="shared" ref="N110" si="106">53650+2000+5000+2000-2000+100+3200+5000+3000+8000+1200+300</f>
        <v>81450</v>
      </c>
      <c r="O110" s="634">
        <f>53650+2000+5000+2000-2000+100+3200+5000+3000+8000+1200+300-13943</f>
        <v>67507</v>
      </c>
      <c r="P110" s="634">
        <f>53650+2000+5000+2000-2000+100+3200+5000+3000+8000+1200+300-13943</f>
        <v>67507</v>
      </c>
      <c r="Q110" s="55">
        <v>46834</v>
      </c>
      <c r="R110" s="655">
        <f t="shared" si="49"/>
        <v>0.69376509102759709</v>
      </c>
    </row>
    <row r="111" spans="1:18" x14ac:dyDescent="0.25">
      <c r="A111" s="196" t="s">
        <v>129</v>
      </c>
      <c r="B111" s="85" t="s">
        <v>130</v>
      </c>
      <c r="C111" s="55">
        <v>5100</v>
      </c>
      <c r="D111" s="55">
        <v>5100</v>
      </c>
      <c r="E111" s="55">
        <v>5100</v>
      </c>
      <c r="F111" s="55">
        <v>5100</v>
      </c>
      <c r="G111" s="55">
        <v>5100</v>
      </c>
      <c r="H111" s="55">
        <v>5100</v>
      </c>
      <c r="I111" s="634">
        <f>5100+600</f>
        <v>5700</v>
      </c>
      <c r="J111" s="55">
        <f>5100+600</f>
        <v>5700</v>
      </c>
      <c r="K111" s="55">
        <f>5100+600</f>
        <v>5700</v>
      </c>
      <c r="L111" s="55">
        <f t="shared" ref="L111:P111" si="107">5100+600</f>
        <v>5700</v>
      </c>
      <c r="M111" s="55">
        <f t="shared" si="107"/>
        <v>5700</v>
      </c>
      <c r="N111" s="55">
        <f t="shared" si="107"/>
        <v>5700</v>
      </c>
      <c r="O111" s="55">
        <f t="shared" si="107"/>
        <v>5700</v>
      </c>
      <c r="P111" s="55">
        <f t="shared" si="107"/>
        <v>5700</v>
      </c>
      <c r="Q111" s="55">
        <v>4104</v>
      </c>
      <c r="R111" s="655">
        <f t="shared" si="49"/>
        <v>0.72</v>
      </c>
    </row>
    <row r="112" spans="1:18" x14ac:dyDescent="0.25">
      <c r="A112" s="196" t="s">
        <v>131</v>
      </c>
      <c r="B112" s="85" t="s">
        <v>132</v>
      </c>
      <c r="C112" s="55">
        <v>15600</v>
      </c>
      <c r="D112" s="55">
        <v>15600</v>
      </c>
      <c r="E112" s="55">
        <v>15600</v>
      </c>
      <c r="F112" s="55">
        <v>15600</v>
      </c>
      <c r="G112" s="634">
        <f>15600+1100</f>
        <v>16700</v>
      </c>
      <c r="H112" s="55">
        <f>15600+1100</f>
        <v>16700</v>
      </c>
      <c r="I112" s="55">
        <f>15600+1100</f>
        <v>16700</v>
      </c>
      <c r="J112" s="55">
        <f>15600+1100</f>
        <v>16700</v>
      </c>
      <c r="K112" s="55">
        <f>15600+1100</f>
        <v>16700</v>
      </c>
      <c r="L112" s="55">
        <f t="shared" ref="L112:P112" si="108">15600+1100</f>
        <v>16700</v>
      </c>
      <c r="M112" s="55">
        <f t="shared" si="108"/>
        <v>16700</v>
      </c>
      <c r="N112" s="55">
        <f t="shared" si="108"/>
        <v>16700</v>
      </c>
      <c r="O112" s="55">
        <f t="shared" si="108"/>
        <v>16700</v>
      </c>
      <c r="P112" s="634">
        <f t="shared" si="108"/>
        <v>16700</v>
      </c>
      <c r="Q112" s="55">
        <v>4904</v>
      </c>
      <c r="R112" s="655">
        <f t="shared" si="49"/>
        <v>0.29365269461077842</v>
      </c>
    </row>
    <row r="113" spans="1:31" ht="15.75" thickBot="1" x14ac:dyDescent="0.3">
      <c r="A113" s="164" t="s">
        <v>133</v>
      </c>
      <c r="B113" s="165" t="s">
        <v>134</v>
      </c>
      <c r="C113" s="186">
        <v>11200</v>
      </c>
      <c r="D113" s="186">
        <v>11200</v>
      </c>
      <c r="E113" s="186">
        <v>11200</v>
      </c>
      <c r="F113" s="186">
        <v>11200</v>
      </c>
      <c r="G113" s="186">
        <v>11200</v>
      </c>
      <c r="H113" s="186">
        <v>11200</v>
      </c>
      <c r="I113" s="186">
        <v>11200</v>
      </c>
      <c r="J113" s="186">
        <v>11200</v>
      </c>
      <c r="K113" s="736">
        <f>11200+100</f>
        <v>11300</v>
      </c>
      <c r="L113" s="186">
        <f t="shared" ref="L113:P113" si="109">11200+100</f>
        <v>11300</v>
      </c>
      <c r="M113" s="186">
        <f t="shared" si="109"/>
        <v>11300</v>
      </c>
      <c r="N113" s="186">
        <f t="shared" si="109"/>
        <v>11300</v>
      </c>
      <c r="O113" s="186">
        <f t="shared" si="109"/>
        <v>11300</v>
      </c>
      <c r="P113" s="186">
        <f t="shared" si="109"/>
        <v>11300</v>
      </c>
      <c r="Q113" s="186">
        <v>1843</v>
      </c>
      <c r="R113" s="655">
        <f t="shared" si="49"/>
        <v>0.16309734513274338</v>
      </c>
    </row>
    <row r="114" spans="1:31" ht="15.75" thickBot="1" x14ac:dyDescent="0.3">
      <c r="A114" s="129" t="s">
        <v>135</v>
      </c>
      <c r="B114" s="130"/>
      <c r="C114" s="110">
        <f t="shared" ref="C114:Q114" si="110">SUM(C115:C121)</f>
        <v>380850</v>
      </c>
      <c r="D114" s="110">
        <f t="shared" si="110"/>
        <v>380850</v>
      </c>
      <c r="E114" s="110">
        <f t="shared" si="110"/>
        <v>383256</v>
      </c>
      <c r="F114" s="110">
        <f t="shared" si="110"/>
        <v>385991</v>
      </c>
      <c r="G114" s="110">
        <f t="shared" si="110"/>
        <v>385991</v>
      </c>
      <c r="H114" s="110">
        <f t="shared" si="110"/>
        <v>385991</v>
      </c>
      <c r="I114" s="110">
        <f t="shared" si="110"/>
        <v>386991</v>
      </c>
      <c r="J114" s="110">
        <f t="shared" si="110"/>
        <v>386991</v>
      </c>
      <c r="K114" s="110">
        <f t="shared" si="110"/>
        <v>386991</v>
      </c>
      <c r="L114" s="110">
        <f t="shared" ref="L114:M114" si="111">SUM(L115:L121)</f>
        <v>386991</v>
      </c>
      <c r="M114" s="110">
        <f t="shared" si="111"/>
        <v>387101</v>
      </c>
      <c r="N114" s="110">
        <f t="shared" ref="N114:O114" si="112">SUM(N115:N121)</f>
        <v>388903</v>
      </c>
      <c r="O114" s="110">
        <f t="shared" si="112"/>
        <v>394903</v>
      </c>
      <c r="P114" s="110">
        <f t="shared" ref="P114" si="113">SUM(P115:P121)</f>
        <v>394903</v>
      </c>
      <c r="Q114" s="110">
        <f t="shared" si="110"/>
        <v>214397</v>
      </c>
      <c r="R114" s="655">
        <f t="shared" si="49"/>
        <v>0.54291053752440477</v>
      </c>
    </row>
    <row r="115" spans="1:31" x14ac:dyDescent="0.25">
      <c r="A115" s="200" t="s">
        <v>136</v>
      </c>
      <c r="B115" s="201" t="s">
        <v>137</v>
      </c>
      <c r="C115" s="205">
        <f>163900</f>
        <v>163900</v>
      </c>
      <c r="D115" s="205">
        <f>163900</f>
        <v>163900</v>
      </c>
      <c r="E115" s="652">
        <f t="shared" ref="E115:L115" si="114">163900+2406</f>
        <v>166306</v>
      </c>
      <c r="F115" s="205">
        <f t="shared" si="114"/>
        <v>166306</v>
      </c>
      <c r="G115" s="205">
        <f t="shared" si="114"/>
        <v>166306</v>
      </c>
      <c r="H115" s="205">
        <f t="shared" si="114"/>
        <v>166306</v>
      </c>
      <c r="I115" s="205">
        <f t="shared" si="114"/>
        <v>166306</v>
      </c>
      <c r="J115" s="205">
        <f t="shared" si="114"/>
        <v>166306</v>
      </c>
      <c r="K115" s="205">
        <f t="shared" si="114"/>
        <v>166306</v>
      </c>
      <c r="L115" s="205">
        <f t="shared" si="114"/>
        <v>166306</v>
      </c>
      <c r="M115" s="205">
        <f>163900+2406</f>
        <v>166306</v>
      </c>
      <c r="N115" s="652">
        <f>163900+2406+1802</f>
        <v>168108</v>
      </c>
      <c r="O115" s="652">
        <f>163900+2406+1802+3500</f>
        <v>171608</v>
      </c>
      <c r="P115" s="652">
        <f>163900+2406+1802+3500</f>
        <v>171608</v>
      </c>
      <c r="Q115" s="205">
        <v>94968</v>
      </c>
      <c r="R115" s="655">
        <f t="shared" si="49"/>
        <v>0.55340077385669662</v>
      </c>
    </row>
    <row r="116" spans="1:31" x14ac:dyDescent="0.25">
      <c r="A116" s="209" t="s">
        <v>142</v>
      </c>
      <c r="B116" s="210" t="s">
        <v>143</v>
      </c>
      <c r="C116" s="61">
        <v>3600</v>
      </c>
      <c r="D116" s="61">
        <v>3600</v>
      </c>
      <c r="E116" s="61">
        <v>3600</v>
      </c>
      <c r="F116" s="61">
        <v>3600</v>
      </c>
      <c r="G116" s="61">
        <v>3600</v>
      </c>
      <c r="H116" s="61">
        <v>3600</v>
      </c>
      <c r="I116" s="725">
        <f>3600+1000</f>
        <v>4600</v>
      </c>
      <c r="J116" s="61">
        <f>3600+1000</f>
        <v>4600</v>
      </c>
      <c r="K116" s="61">
        <f>3600+1000</f>
        <v>4600</v>
      </c>
      <c r="L116" s="61">
        <f t="shared" ref="L116:P116" si="115">3600+1000</f>
        <v>4600</v>
      </c>
      <c r="M116" s="61">
        <f t="shared" si="115"/>
        <v>4600</v>
      </c>
      <c r="N116" s="61">
        <f t="shared" si="115"/>
        <v>4600</v>
      </c>
      <c r="O116" s="61">
        <f t="shared" si="115"/>
        <v>4600</v>
      </c>
      <c r="P116" s="61">
        <f t="shared" si="115"/>
        <v>4600</v>
      </c>
      <c r="Q116" s="61">
        <v>1994</v>
      </c>
      <c r="R116" s="655">
        <f t="shared" si="49"/>
        <v>0.4334782608695652</v>
      </c>
    </row>
    <row r="117" spans="1:31" x14ac:dyDescent="0.25">
      <c r="A117" s="209" t="s">
        <v>144</v>
      </c>
      <c r="B117" s="210" t="s">
        <v>145</v>
      </c>
      <c r="C117" s="61">
        <v>32330</v>
      </c>
      <c r="D117" s="61">
        <v>32330</v>
      </c>
      <c r="E117" s="61">
        <v>32330</v>
      </c>
      <c r="F117" s="61">
        <v>32330</v>
      </c>
      <c r="G117" s="61">
        <v>32330</v>
      </c>
      <c r="H117" s="61">
        <v>32330</v>
      </c>
      <c r="I117" s="61">
        <v>32330</v>
      </c>
      <c r="J117" s="61">
        <v>32330</v>
      </c>
      <c r="K117" s="61">
        <v>32330</v>
      </c>
      <c r="L117" s="61">
        <v>32330</v>
      </c>
      <c r="M117" s="61">
        <v>32330</v>
      </c>
      <c r="N117" s="61">
        <v>32330</v>
      </c>
      <c r="O117" s="61">
        <v>32330</v>
      </c>
      <c r="P117" s="61">
        <v>32330</v>
      </c>
      <c r="Q117" s="61">
        <v>12945</v>
      </c>
      <c r="R117" s="655">
        <f t="shared" si="49"/>
        <v>0.40040210330961956</v>
      </c>
    </row>
    <row r="118" spans="1:31" x14ac:dyDescent="0.25">
      <c r="A118" s="209" t="s">
        <v>146</v>
      </c>
      <c r="B118" s="210" t="s">
        <v>147</v>
      </c>
      <c r="C118" s="60">
        <v>31830</v>
      </c>
      <c r="D118" s="60">
        <v>31830</v>
      </c>
      <c r="E118" s="60">
        <v>31830</v>
      </c>
      <c r="F118" s="60">
        <v>31830</v>
      </c>
      <c r="G118" s="60">
        <v>31830</v>
      </c>
      <c r="H118" s="60">
        <v>31830</v>
      </c>
      <c r="I118" s="60">
        <v>31830</v>
      </c>
      <c r="J118" s="60">
        <v>31830</v>
      </c>
      <c r="K118" s="60">
        <v>31830</v>
      </c>
      <c r="L118" s="60">
        <v>31830</v>
      </c>
      <c r="M118" s="60">
        <v>31830</v>
      </c>
      <c r="N118" s="60">
        <v>31830</v>
      </c>
      <c r="O118" s="60">
        <v>31830</v>
      </c>
      <c r="P118" s="60">
        <v>31830</v>
      </c>
      <c r="Q118" s="60">
        <v>15320</v>
      </c>
      <c r="R118" s="655">
        <f t="shared" si="49"/>
        <v>0.48130694313540684</v>
      </c>
    </row>
    <row r="119" spans="1:31" x14ac:dyDescent="0.25">
      <c r="A119" s="209" t="s">
        <v>148</v>
      </c>
      <c r="B119" s="210" t="s">
        <v>233</v>
      </c>
      <c r="C119" s="60">
        <v>131840</v>
      </c>
      <c r="D119" s="60">
        <v>131840</v>
      </c>
      <c r="E119" s="60">
        <f>131840</f>
        <v>131840</v>
      </c>
      <c r="F119" s="60">
        <f t="shared" ref="F119:L119" si="116">131840+2735</f>
        <v>134575</v>
      </c>
      <c r="G119" s="60">
        <f t="shared" si="116"/>
        <v>134575</v>
      </c>
      <c r="H119" s="60">
        <f t="shared" si="116"/>
        <v>134575</v>
      </c>
      <c r="I119" s="60">
        <f t="shared" si="116"/>
        <v>134575</v>
      </c>
      <c r="J119" s="60">
        <f t="shared" si="116"/>
        <v>134575</v>
      </c>
      <c r="K119" s="60">
        <f t="shared" si="116"/>
        <v>134575</v>
      </c>
      <c r="L119" s="60">
        <f t="shared" si="116"/>
        <v>134575</v>
      </c>
      <c r="M119" s="60">
        <f>131840+2735</f>
        <v>134575</v>
      </c>
      <c r="N119" s="60">
        <f t="shared" ref="N119" si="117">131840+2735</f>
        <v>134575</v>
      </c>
      <c r="O119" s="622">
        <f>131840+2735+2500</f>
        <v>137075</v>
      </c>
      <c r="P119" s="622">
        <f>131840+2735+2500</f>
        <v>137075</v>
      </c>
      <c r="Q119" s="60">
        <v>76389</v>
      </c>
      <c r="R119" s="655">
        <f t="shared" si="49"/>
        <v>0.55727886193689591</v>
      </c>
    </row>
    <row r="120" spans="1:31" x14ac:dyDescent="0.25">
      <c r="A120" s="211" t="s">
        <v>149</v>
      </c>
      <c r="B120" s="210" t="s">
        <v>234</v>
      </c>
      <c r="C120" s="215">
        <v>11300</v>
      </c>
      <c r="D120" s="215">
        <v>11300</v>
      </c>
      <c r="E120" s="215">
        <v>11300</v>
      </c>
      <c r="F120" s="215">
        <v>11300</v>
      </c>
      <c r="G120" s="215">
        <v>11300</v>
      </c>
      <c r="H120" s="215">
        <v>11300</v>
      </c>
      <c r="I120" s="215">
        <v>11300</v>
      </c>
      <c r="J120" s="215">
        <v>11300</v>
      </c>
      <c r="K120" s="215">
        <v>11300</v>
      </c>
      <c r="L120" s="215">
        <v>11300</v>
      </c>
      <c r="M120" s="745">
        <f>11300+110</f>
        <v>11410</v>
      </c>
      <c r="N120" s="215">
        <f t="shared" ref="N120:P120" si="118">11300+110</f>
        <v>11410</v>
      </c>
      <c r="O120" s="215">
        <f t="shared" si="118"/>
        <v>11410</v>
      </c>
      <c r="P120" s="745">
        <f t="shared" si="118"/>
        <v>11410</v>
      </c>
      <c r="Q120" s="215">
        <v>8344</v>
      </c>
      <c r="R120" s="655">
        <f t="shared" si="49"/>
        <v>0.73128834355828221</v>
      </c>
    </row>
    <row r="121" spans="1:31" ht="15.75" thickBot="1" x14ac:dyDescent="0.3">
      <c r="A121" s="209" t="s">
        <v>150</v>
      </c>
      <c r="B121" s="210" t="s">
        <v>261</v>
      </c>
      <c r="C121" s="215">
        <v>6050</v>
      </c>
      <c r="D121" s="215">
        <v>6050</v>
      </c>
      <c r="E121" s="215">
        <v>6050</v>
      </c>
      <c r="F121" s="215">
        <v>6050</v>
      </c>
      <c r="G121" s="215">
        <v>6050</v>
      </c>
      <c r="H121" s="215">
        <v>6050</v>
      </c>
      <c r="I121" s="215">
        <v>6050</v>
      </c>
      <c r="J121" s="215">
        <v>6050</v>
      </c>
      <c r="K121" s="215">
        <v>6050</v>
      </c>
      <c r="L121" s="215">
        <v>6050</v>
      </c>
      <c r="M121" s="215">
        <v>6050</v>
      </c>
      <c r="N121" s="215">
        <v>6050</v>
      </c>
      <c r="O121" s="215">
        <v>6050</v>
      </c>
      <c r="P121" s="745">
        <v>6050</v>
      </c>
      <c r="Q121" s="215">
        <v>4437</v>
      </c>
      <c r="R121" s="655">
        <f t="shared" si="49"/>
        <v>0.73338842975206608</v>
      </c>
    </row>
    <row r="122" spans="1:31" ht="15.75" thickBot="1" x14ac:dyDescent="0.3">
      <c r="A122" s="108" t="s">
        <v>151</v>
      </c>
      <c r="B122" s="109"/>
      <c r="C122" s="112">
        <f t="shared" ref="C122:Q122" si="119">SUM(C123:C127)</f>
        <v>286950</v>
      </c>
      <c r="D122" s="112">
        <f t="shared" si="119"/>
        <v>286950</v>
      </c>
      <c r="E122" s="112">
        <f t="shared" si="119"/>
        <v>286950</v>
      </c>
      <c r="F122" s="112">
        <f t="shared" si="119"/>
        <v>286950</v>
      </c>
      <c r="G122" s="112">
        <f t="shared" si="119"/>
        <v>297750</v>
      </c>
      <c r="H122" s="112">
        <f t="shared" si="119"/>
        <v>297750</v>
      </c>
      <c r="I122" s="112">
        <f t="shared" si="119"/>
        <v>300850</v>
      </c>
      <c r="J122" s="112">
        <f t="shared" si="119"/>
        <v>300850</v>
      </c>
      <c r="K122" s="112">
        <f t="shared" si="119"/>
        <v>300850</v>
      </c>
      <c r="L122" s="112">
        <f t="shared" si="119"/>
        <v>300850</v>
      </c>
      <c r="M122" s="112">
        <f t="shared" si="119"/>
        <v>304550</v>
      </c>
      <c r="N122" s="112">
        <f t="shared" ref="N122:O122" si="120">SUM(N123:N127)</f>
        <v>316350</v>
      </c>
      <c r="O122" s="112">
        <f t="shared" si="120"/>
        <v>329860</v>
      </c>
      <c r="P122" s="112">
        <f t="shared" ref="P122" si="121">SUM(P123:P127)</f>
        <v>329860</v>
      </c>
      <c r="Q122" s="112">
        <f t="shared" si="119"/>
        <v>146673</v>
      </c>
      <c r="R122" s="655">
        <f t="shared" si="49"/>
        <v>0.44465227672345842</v>
      </c>
    </row>
    <row r="123" spans="1:31" x14ac:dyDescent="0.25">
      <c r="A123" s="196" t="s">
        <v>152</v>
      </c>
      <c r="B123" s="85" t="s">
        <v>282</v>
      </c>
      <c r="C123" s="55">
        <f>268900</f>
        <v>268900</v>
      </c>
      <c r="D123" s="55">
        <f>268900</f>
        <v>268900</v>
      </c>
      <c r="E123" s="55">
        <f>268900</f>
        <v>268900</v>
      </c>
      <c r="F123" s="55">
        <f>268900</f>
        <v>268900</v>
      </c>
      <c r="G123" s="634">
        <f>268900+800+1000</f>
        <v>270700</v>
      </c>
      <c r="H123" s="55">
        <f>268900+800+1000</f>
        <v>270700</v>
      </c>
      <c r="I123" s="634">
        <f>268900+800+1000+100+3000</f>
        <v>273800</v>
      </c>
      <c r="J123" s="55">
        <f>268900+800+1000+100+3000</f>
        <v>273800</v>
      </c>
      <c r="K123" s="55">
        <f>268900+800+1000+100+3000</f>
        <v>273800</v>
      </c>
      <c r="L123" s="55">
        <f t="shared" ref="L123" si="122">268900+800+1000+100+3000</f>
        <v>273800</v>
      </c>
      <c r="M123" s="634">
        <f>268900+800+1000+100+3000+500+700+2000+300</f>
        <v>277300</v>
      </c>
      <c r="N123" s="634">
        <f>268900+800+1000+100+3000+500+700+2000+300+11800</f>
        <v>289100</v>
      </c>
      <c r="O123" s="634">
        <f>268900+800+1000+100+3000+500+700+2000+300+11800+13510</f>
        <v>302610</v>
      </c>
      <c r="P123" s="634">
        <f>268900+800+1000+100+3000+500+700+2000+300+11800+13510</f>
        <v>302610</v>
      </c>
      <c r="Q123" s="55">
        <v>135864</v>
      </c>
      <c r="R123" s="655">
        <f t="shared" si="49"/>
        <v>0.44897392683652226</v>
      </c>
      <c r="S123" s="407"/>
      <c r="T123" s="407"/>
    </row>
    <row r="124" spans="1:31" x14ac:dyDescent="0.25">
      <c r="A124" s="196" t="s">
        <v>153</v>
      </c>
      <c r="B124" s="85" t="s">
        <v>154</v>
      </c>
      <c r="C124" s="55">
        <v>450</v>
      </c>
      <c r="D124" s="55">
        <v>450</v>
      </c>
      <c r="E124" s="55">
        <v>450</v>
      </c>
      <c r="F124" s="55">
        <v>450</v>
      </c>
      <c r="G124" s="55">
        <v>450</v>
      </c>
      <c r="H124" s="55">
        <v>450</v>
      </c>
      <c r="I124" s="55">
        <v>450</v>
      </c>
      <c r="J124" s="55">
        <v>450</v>
      </c>
      <c r="K124" s="55">
        <v>450</v>
      </c>
      <c r="L124" s="55">
        <v>450</v>
      </c>
      <c r="M124" s="55">
        <v>450</v>
      </c>
      <c r="N124" s="55">
        <v>450</v>
      </c>
      <c r="O124" s="55">
        <v>450</v>
      </c>
      <c r="P124" s="55">
        <v>450</v>
      </c>
      <c r="Q124" s="55">
        <v>100</v>
      </c>
      <c r="R124" s="655">
        <f t="shared" si="49"/>
        <v>0.22222222222222221</v>
      </c>
      <c r="S124" s="407"/>
      <c r="T124" s="407"/>
    </row>
    <row r="125" spans="1:31" x14ac:dyDescent="0.25">
      <c r="A125" s="121" t="s">
        <v>155</v>
      </c>
      <c r="B125" s="118" t="s">
        <v>156</v>
      </c>
      <c r="C125" s="60">
        <v>16600</v>
      </c>
      <c r="D125" s="60">
        <v>16600</v>
      </c>
      <c r="E125" s="60">
        <v>16600</v>
      </c>
      <c r="F125" s="60">
        <v>16600</v>
      </c>
      <c r="G125" s="60">
        <v>16600</v>
      </c>
      <c r="H125" s="60">
        <v>16600</v>
      </c>
      <c r="I125" s="60">
        <v>16600</v>
      </c>
      <c r="J125" s="60">
        <v>16600</v>
      </c>
      <c r="K125" s="60">
        <v>16600</v>
      </c>
      <c r="L125" s="60">
        <v>16600</v>
      </c>
      <c r="M125" s="622">
        <f>16600+200</f>
        <v>16800</v>
      </c>
      <c r="N125" s="60">
        <f t="shared" ref="N125:P125" si="123">16600+200</f>
        <v>16800</v>
      </c>
      <c r="O125" s="60">
        <f t="shared" si="123"/>
        <v>16800</v>
      </c>
      <c r="P125" s="60">
        <f t="shared" si="123"/>
        <v>16800</v>
      </c>
      <c r="Q125" s="60">
        <v>7492</v>
      </c>
      <c r="R125" s="655">
        <f t="shared" si="49"/>
        <v>0.44595238095238093</v>
      </c>
    </row>
    <row r="126" spans="1:31" x14ac:dyDescent="0.25">
      <c r="A126" s="121" t="s">
        <v>157</v>
      </c>
      <c r="B126" s="118" t="s">
        <v>481</v>
      </c>
      <c r="C126" s="60">
        <v>500</v>
      </c>
      <c r="D126" s="60">
        <v>500</v>
      </c>
      <c r="E126" s="60">
        <v>500</v>
      </c>
      <c r="F126" s="60">
        <v>500</v>
      </c>
      <c r="G126" s="622">
        <f>500+9000</f>
        <v>9500</v>
      </c>
      <c r="H126" s="60">
        <f>500+9000</f>
        <v>9500</v>
      </c>
      <c r="I126" s="60">
        <f>500+9000</f>
        <v>9500</v>
      </c>
      <c r="J126" s="60">
        <f>500+9000</f>
        <v>9500</v>
      </c>
      <c r="K126" s="60">
        <f>500+9000</f>
        <v>9500</v>
      </c>
      <c r="L126" s="60">
        <f t="shared" ref="L126:P126" si="124">500+9000</f>
        <v>9500</v>
      </c>
      <c r="M126" s="60">
        <f t="shared" si="124"/>
        <v>9500</v>
      </c>
      <c r="N126" s="60">
        <f t="shared" si="124"/>
        <v>9500</v>
      </c>
      <c r="O126" s="60">
        <f t="shared" si="124"/>
        <v>9500</v>
      </c>
      <c r="P126" s="60">
        <f t="shared" si="124"/>
        <v>9500</v>
      </c>
      <c r="Q126" s="60">
        <v>3217</v>
      </c>
      <c r="R126" s="655">
        <f t="shared" si="49"/>
        <v>0.33863157894736839</v>
      </c>
    </row>
    <row r="127" spans="1:31" ht="15.75" thickBot="1" x14ac:dyDescent="0.3">
      <c r="A127" s="164" t="s">
        <v>159</v>
      </c>
      <c r="B127" s="165" t="s">
        <v>160</v>
      </c>
      <c r="C127" s="186">
        <v>500</v>
      </c>
      <c r="D127" s="186">
        <v>500</v>
      </c>
      <c r="E127" s="186">
        <v>500</v>
      </c>
      <c r="F127" s="186">
        <v>500</v>
      </c>
      <c r="G127" s="186">
        <v>500</v>
      </c>
      <c r="H127" s="186">
        <v>500</v>
      </c>
      <c r="I127" s="186">
        <v>500</v>
      </c>
      <c r="J127" s="186">
        <v>500</v>
      </c>
      <c r="K127" s="186">
        <v>500</v>
      </c>
      <c r="L127" s="186">
        <v>500</v>
      </c>
      <c r="M127" s="186">
        <v>500</v>
      </c>
      <c r="N127" s="186">
        <v>500</v>
      </c>
      <c r="O127" s="186">
        <v>500</v>
      </c>
      <c r="P127" s="186">
        <v>500</v>
      </c>
      <c r="Q127" s="186">
        <v>0</v>
      </c>
      <c r="R127" s="655">
        <f t="shared" si="49"/>
        <v>0</v>
      </c>
    </row>
    <row r="128" spans="1:31" ht="16.5" thickBot="1" x14ac:dyDescent="0.3">
      <c r="A128" s="216" t="s">
        <v>161</v>
      </c>
      <c r="B128" s="176"/>
      <c r="C128" s="219">
        <f t="shared" ref="C128:Q128" si="125">SUM(C79+C85+C87+C90+C94+C99+C103+C108+C114+C122)</f>
        <v>1504568</v>
      </c>
      <c r="D128" s="219">
        <f t="shared" si="125"/>
        <v>1504568</v>
      </c>
      <c r="E128" s="219">
        <f t="shared" si="125"/>
        <v>1508979</v>
      </c>
      <c r="F128" s="219">
        <f t="shared" si="125"/>
        <v>1516714</v>
      </c>
      <c r="G128" s="219">
        <f t="shared" si="125"/>
        <v>1522714</v>
      </c>
      <c r="H128" s="219">
        <f t="shared" si="125"/>
        <v>1525914</v>
      </c>
      <c r="I128" s="219">
        <f t="shared" si="125"/>
        <v>1536814</v>
      </c>
      <c r="J128" s="219">
        <f t="shared" si="125"/>
        <v>1539814</v>
      </c>
      <c r="K128" s="219">
        <f t="shared" si="125"/>
        <v>1540157</v>
      </c>
      <c r="L128" s="219">
        <f t="shared" si="125"/>
        <v>1541357</v>
      </c>
      <c r="M128" s="219">
        <f t="shared" si="125"/>
        <v>1547557</v>
      </c>
      <c r="N128" s="219">
        <f t="shared" ref="N128:O128" si="126">SUM(N79+N85+N87+N90+N94+N99+N103+N108+N114+N122)</f>
        <v>1561159</v>
      </c>
      <c r="O128" s="219">
        <f t="shared" si="126"/>
        <v>1571936</v>
      </c>
      <c r="P128" s="219">
        <f t="shared" ref="P128" si="127">SUM(P79+P85+P87+P90+P94+P99+P103+P108+P114+P122)</f>
        <v>1571936</v>
      </c>
      <c r="Q128" s="219">
        <f t="shared" si="125"/>
        <v>781602</v>
      </c>
      <c r="R128" s="655">
        <f t="shared" si="49"/>
        <v>0.49722253323290516</v>
      </c>
      <c r="S128" s="464">
        <f t="shared" ref="S128:S139" si="128">D128-C128</f>
        <v>0</v>
      </c>
      <c r="T128" s="464">
        <f t="shared" ref="T128:T139" si="129">E128-D128</f>
        <v>4411</v>
      </c>
      <c r="U128" s="464">
        <f t="shared" ref="U128:U139" si="130">F128-E128</f>
        <v>7735</v>
      </c>
      <c r="V128" s="464">
        <f t="shared" ref="V128:V139" si="131">G128-F128</f>
        <v>6000</v>
      </c>
      <c r="W128" s="464">
        <f t="shared" ref="W128:W139" si="132">H128-G128</f>
        <v>3200</v>
      </c>
      <c r="X128" s="464">
        <f t="shared" ref="X128:X139" si="133">I128-H128</f>
        <v>10900</v>
      </c>
      <c r="Y128" s="464">
        <f t="shared" ref="Y128:Y139" si="134">J128-I128</f>
        <v>3000</v>
      </c>
      <c r="Z128" s="464">
        <f t="shared" ref="Z128:Z139" si="135">K128-J128</f>
        <v>343</v>
      </c>
      <c r="AA128" s="464">
        <f t="shared" ref="AA128:AA139" si="136">L128-K128</f>
        <v>1200</v>
      </c>
      <c r="AB128" s="464">
        <f t="shared" ref="AB128:AB139" si="137">M128-L128</f>
        <v>6200</v>
      </c>
      <c r="AC128" s="464">
        <f t="shared" ref="AC128:AC139" si="138">N128-M128</f>
        <v>13602</v>
      </c>
      <c r="AD128" s="464">
        <f t="shared" ref="AD128:AD139" si="139">O128-N128</f>
        <v>10777</v>
      </c>
      <c r="AE128" s="464">
        <f t="shared" ref="AE128:AE139" si="140">P128-O128</f>
        <v>0</v>
      </c>
    </row>
    <row r="129" spans="1:31" x14ac:dyDescent="0.25">
      <c r="A129" s="220" t="s">
        <v>140</v>
      </c>
      <c r="B129" s="221" t="s">
        <v>163</v>
      </c>
      <c r="C129" s="224">
        <f t="shared" ref="C129:Q129" si="141">C66</f>
        <v>534950</v>
      </c>
      <c r="D129" s="224">
        <f t="shared" si="141"/>
        <v>534950</v>
      </c>
      <c r="E129" s="652">
        <f t="shared" si="141"/>
        <v>556769</v>
      </c>
      <c r="F129" s="652">
        <f t="shared" si="141"/>
        <v>558169</v>
      </c>
      <c r="G129" s="224">
        <f t="shared" si="141"/>
        <v>558169</v>
      </c>
      <c r="H129" s="652">
        <f t="shared" si="141"/>
        <v>558907</v>
      </c>
      <c r="I129" s="224">
        <f t="shared" si="141"/>
        <v>558907</v>
      </c>
      <c r="J129" s="652">
        <f t="shared" si="141"/>
        <v>562128</v>
      </c>
      <c r="K129" s="224">
        <f t="shared" si="141"/>
        <v>562128</v>
      </c>
      <c r="L129" s="652">
        <f t="shared" si="141"/>
        <v>562378</v>
      </c>
      <c r="M129" s="224">
        <f t="shared" si="141"/>
        <v>562378</v>
      </c>
      <c r="N129" s="224">
        <f t="shared" ref="N129:O129" si="142">N66</f>
        <v>568432</v>
      </c>
      <c r="O129" s="224">
        <f t="shared" si="142"/>
        <v>568432</v>
      </c>
      <c r="P129" s="224">
        <f t="shared" ref="P129" si="143">P66</f>
        <v>568432</v>
      </c>
      <c r="Q129" s="224">
        <f t="shared" si="141"/>
        <v>425815</v>
      </c>
      <c r="R129" s="655">
        <f t="shared" si="49"/>
        <v>0.74910455428265821</v>
      </c>
      <c r="S129" s="464">
        <f t="shared" si="128"/>
        <v>0</v>
      </c>
      <c r="T129" s="464">
        <f t="shared" si="129"/>
        <v>21819</v>
      </c>
      <c r="U129" s="464">
        <f t="shared" si="130"/>
        <v>1400</v>
      </c>
      <c r="V129" s="464">
        <f t="shared" si="131"/>
        <v>0</v>
      </c>
      <c r="W129" s="464">
        <f t="shared" si="132"/>
        <v>738</v>
      </c>
      <c r="X129" s="464">
        <f t="shared" si="133"/>
        <v>0</v>
      </c>
      <c r="Y129" s="464">
        <f t="shared" si="134"/>
        <v>3221</v>
      </c>
      <c r="Z129" s="464">
        <f t="shared" si="135"/>
        <v>0</v>
      </c>
      <c r="AA129" s="464">
        <f t="shared" si="136"/>
        <v>250</v>
      </c>
      <c r="AB129" s="464">
        <f t="shared" si="137"/>
        <v>0</v>
      </c>
      <c r="AC129" s="464">
        <f t="shared" si="138"/>
        <v>6054</v>
      </c>
      <c r="AD129" s="464">
        <f t="shared" si="139"/>
        <v>0</v>
      </c>
      <c r="AE129" s="464">
        <f t="shared" si="140"/>
        <v>0</v>
      </c>
    </row>
    <row r="130" spans="1:31" x14ac:dyDescent="0.25">
      <c r="A130" s="225" t="s">
        <v>140</v>
      </c>
      <c r="B130" s="226" t="s">
        <v>164</v>
      </c>
      <c r="C130" s="229">
        <f t="shared" ref="C130:Q130" si="144">C68</f>
        <v>2450</v>
      </c>
      <c r="D130" s="229">
        <f t="shared" si="144"/>
        <v>2450</v>
      </c>
      <c r="E130" s="229">
        <f t="shared" si="144"/>
        <v>2450</v>
      </c>
      <c r="F130" s="229">
        <f t="shared" si="144"/>
        <v>2450</v>
      </c>
      <c r="G130" s="229">
        <f t="shared" si="144"/>
        <v>2450</v>
      </c>
      <c r="H130" s="229">
        <f t="shared" si="144"/>
        <v>2450</v>
      </c>
      <c r="I130" s="229">
        <f t="shared" si="144"/>
        <v>2450</v>
      </c>
      <c r="J130" s="229">
        <f t="shared" si="144"/>
        <v>2450</v>
      </c>
      <c r="K130" s="229">
        <f t="shared" si="144"/>
        <v>2450</v>
      </c>
      <c r="L130" s="229">
        <f t="shared" si="144"/>
        <v>2450</v>
      </c>
      <c r="M130" s="229">
        <f t="shared" si="144"/>
        <v>2450</v>
      </c>
      <c r="N130" s="229">
        <f t="shared" ref="N130:O130" si="145">N68</f>
        <v>2450</v>
      </c>
      <c r="O130" s="229">
        <f t="shared" si="145"/>
        <v>2450</v>
      </c>
      <c r="P130" s="229">
        <f t="shared" ref="P130" si="146">P68</f>
        <v>2450</v>
      </c>
      <c r="Q130" s="229">
        <f t="shared" si="144"/>
        <v>47</v>
      </c>
      <c r="R130" s="655">
        <f t="shared" si="49"/>
        <v>1.9183673469387756E-2</v>
      </c>
      <c r="S130" s="464">
        <f t="shared" si="128"/>
        <v>0</v>
      </c>
      <c r="T130" s="464">
        <f t="shared" si="129"/>
        <v>0</v>
      </c>
      <c r="U130" s="464">
        <f t="shared" si="130"/>
        <v>0</v>
      </c>
      <c r="V130" s="464">
        <f t="shared" si="131"/>
        <v>0</v>
      </c>
      <c r="W130" s="464">
        <f t="shared" si="132"/>
        <v>0</v>
      </c>
      <c r="X130" s="464">
        <f t="shared" si="133"/>
        <v>0</v>
      </c>
      <c r="Y130" s="464">
        <f t="shared" si="134"/>
        <v>0</v>
      </c>
      <c r="Z130" s="464">
        <f t="shared" si="135"/>
        <v>0</v>
      </c>
      <c r="AA130" s="464">
        <f t="shared" si="136"/>
        <v>0</v>
      </c>
      <c r="AB130" s="464">
        <f t="shared" si="137"/>
        <v>0</v>
      </c>
      <c r="AC130" s="464">
        <f t="shared" si="138"/>
        <v>0</v>
      </c>
      <c r="AD130" s="464">
        <f t="shared" si="139"/>
        <v>0</v>
      </c>
      <c r="AE130" s="464">
        <f t="shared" si="140"/>
        <v>0</v>
      </c>
    </row>
    <row r="131" spans="1:31" ht="15.75" thickBot="1" x14ac:dyDescent="0.3">
      <c r="A131" s="230" t="s">
        <v>140</v>
      </c>
      <c r="B131" s="231" t="s">
        <v>166</v>
      </c>
      <c r="C131" s="234">
        <v>0</v>
      </c>
      <c r="D131" s="234">
        <v>0</v>
      </c>
      <c r="E131" s="234">
        <v>0</v>
      </c>
      <c r="F131" s="234">
        <v>0</v>
      </c>
      <c r="G131" s="234">
        <v>0</v>
      </c>
      <c r="H131" s="234">
        <v>0</v>
      </c>
      <c r="I131" s="234">
        <v>0</v>
      </c>
      <c r="J131" s="234">
        <v>0</v>
      </c>
      <c r="K131" s="234">
        <v>0</v>
      </c>
      <c r="L131" s="234">
        <v>0</v>
      </c>
      <c r="M131" s="234">
        <v>0</v>
      </c>
      <c r="N131" s="234">
        <v>0</v>
      </c>
      <c r="O131" s="234">
        <v>0</v>
      </c>
      <c r="P131" s="234">
        <v>0</v>
      </c>
      <c r="Q131" s="234">
        <v>0</v>
      </c>
      <c r="R131" s="655">
        <v>0</v>
      </c>
      <c r="S131" s="464">
        <f t="shared" si="128"/>
        <v>0</v>
      </c>
      <c r="T131" s="464">
        <f t="shared" si="129"/>
        <v>0</v>
      </c>
      <c r="U131" s="464">
        <f t="shared" si="130"/>
        <v>0</v>
      </c>
      <c r="V131" s="464">
        <f t="shared" si="131"/>
        <v>0</v>
      </c>
      <c r="W131" s="464">
        <f t="shared" si="132"/>
        <v>0</v>
      </c>
      <c r="X131" s="464">
        <f t="shared" si="133"/>
        <v>0</v>
      </c>
      <c r="Y131" s="464">
        <f t="shared" si="134"/>
        <v>0</v>
      </c>
      <c r="Z131" s="464">
        <f t="shared" si="135"/>
        <v>0</v>
      </c>
      <c r="AA131" s="464">
        <f t="shared" si="136"/>
        <v>0</v>
      </c>
      <c r="AB131" s="464">
        <f t="shared" si="137"/>
        <v>0</v>
      </c>
      <c r="AC131" s="464">
        <f t="shared" si="138"/>
        <v>0</v>
      </c>
      <c r="AD131" s="464">
        <f t="shared" si="139"/>
        <v>0</v>
      </c>
      <c r="AE131" s="464">
        <f t="shared" si="140"/>
        <v>0</v>
      </c>
    </row>
    <row r="132" spans="1:31" x14ac:dyDescent="0.25">
      <c r="A132" s="235" t="s">
        <v>142</v>
      </c>
      <c r="B132" s="236" t="s">
        <v>167</v>
      </c>
      <c r="C132" s="239">
        <v>32600</v>
      </c>
      <c r="D132" s="239">
        <v>32600</v>
      </c>
      <c r="E132" s="239">
        <v>32600</v>
      </c>
      <c r="F132" s="239">
        <v>32600</v>
      </c>
      <c r="G132" s="239">
        <v>32600</v>
      </c>
      <c r="H132" s="239">
        <v>32600</v>
      </c>
      <c r="I132" s="239">
        <v>32600</v>
      </c>
      <c r="J132" s="239">
        <v>32600</v>
      </c>
      <c r="K132" s="239">
        <v>32600</v>
      </c>
      <c r="L132" s="239">
        <v>32600</v>
      </c>
      <c r="M132" s="239">
        <v>32600</v>
      </c>
      <c r="N132" s="239">
        <v>32600</v>
      </c>
      <c r="O132" s="623">
        <f>32600+1000</f>
        <v>33600</v>
      </c>
      <c r="P132" s="239">
        <f>32600+1000</f>
        <v>33600</v>
      </c>
      <c r="Q132" s="239">
        <v>21736</v>
      </c>
      <c r="R132" s="655">
        <f t="shared" ref="R132:R189" si="147">Q132/P132</f>
        <v>0.64690476190476187</v>
      </c>
      <c r="S132" s="464">
        <f t="shared" si="128"/>
        <v>0</v>
      </c>
      <c r="T132" s="464">
        <f t="shared" si="129"/>
        <v>0</v>
      </c>
      <c r="U132" s="464">
        <f t="shared" si="130"/>
        <v>0</v>
      </c>
      <c r="V132" s="464">
        <f t="shared" si="131"/>
        <v>0</v>
      </c>
      <c r="W132" s="464">
        <f t="shared" si="132"/>
        <v>0</v>
      </c>
      <c r="X132" s="464">
        <f t="shared" si="133"/>
        <v>0</v>
      </c>
      <c r="Y132" s="464">
        <f t="shared" si="134"/>
        <v>0</v>
      </c>
      <c r="Z132" s="464">
        <f t="shared" si="135"/>
        <v>0</v>
      </c>
      <c r="AA132" s="464">
        <f t="shared" si="136"/>
        <v>0</v>
      </c>
      <c r="AB132" s="464">
        <f t="shared" si="137"/>
        <v>0</v>
      </c>
      <c r="AC132" s="464">
        <f t="shared" si="138"/>
        <v>0</v>
      </c>
      <c r="AD132" s="464">
        <f t="shared" si="139"/>
        <v>1000</v>
      </c>
      <c r="AE132" s="464">
        <f t="shared" si="140"/>
        <v>0</v>
      </c>
    </row>
    <row r="133" spans="1:31" ht="15.75" thickBot="1" x14ac:dyDescent="0.3">
      <c r="A133" s="225" t="s">
        <v>142</v>
      </c>
      <c r="B133" s="226" t="s">
        <v>168</v>
      </c>
      <c r="C133" s="229">
        <f t="shared" ref="C133:Q133" si="148">C69</f>
        <v>2000</v>
      </c>
      <c r="D133" s="229">
        <f t="shared" si="148"/>
        <v>2000</v>
      </c>
      <c r="E133" s="229">
        <f t="shared" si="148"/>
        <v>2000</v>
      </c>
      <c r="F133" s="229">
        <f t="shared" si="148"/>
        <v>2000</v>
      </c>
      <c r="G133" s="229">
        <f t="shared" si="148"/>
        <v>2000</v>
      </c>
      <c r="H133" s="229">
        <f t="shared" si="148"/>
        <v>2000</v>
      </c>
      <c r="I133" s="229">
        <f t="shared" si="148"/>
        <v>2000</v>
      </c>
      <c r="J133" s="229">
        <f t="shared" si="148"/>
        <v>2000</v>
      </c>
      <c r="K133" s="229">
        <f t="shared" si="148"/>
        <v>2000</v>
      </c>
      <c r="L133" s="229">
        <f t="shared" si="148"/>
        <v>2000</v>
      </c>
      <c r="M133" s="229">
        <f t="shared" si="148"/>
        <v>2000</v>
      </c>
      <c r="N133" s="229">
        <f t="shared" ref="N133:O133" si="149">N69</f>
        <v>2000</v>
      </c>
      <c r="O133" s="229">
        <f t="shared" si="149"/>
        <v>2000</v>
      </c>
      <c r="P133" s="229">
        <f t="shared" ref="P133" si="150">P69</f>
        <v>2000</v>
      </c>
      <c r="Q133" s="229">
        <f t="shared" si="148"/>
        <v>924</v>
      </c>
      <c r="R133" s="655">
        <f t="shared" si="147"/>
        <v>0.46200000000000002</v>
      </c>
      <c r="S133" s="464">
        <f t="shared" si="128"/>
        <v>0</v>
      </c>
      <c r="T133" s="464">
        <f t="shared" si="129"/>
        <v>0</v>
      </c>
      <c r="U133" s="464">
        <f t="shared" si="130"/>
        <v>0</v>
      </c>
      <c r="V133" s="464">
        <f t="shared" si="131"/>
        <v>0</v>
      </c>
      <c r="W133" s="464">
        <f t="shared" si="132"/>
        <v>0</v>
      </c>
      <c r="X133" s="464">
        <f t="shared" si="133"/>
        <v>0</v>
      </c>
      <c r="Y133" s="464">
        <f t="shared" si="134"/>
        <v>0</v>
      </c>
      <c r="Z133" s="464">
        <f t="shared" si="135"/>
        <v>0</v>
      </c>
      <c r="AA133" s="464">
        <f t="shared" si="136"/>
        <v>0</v>
      </c>
      <c r="AB133" s="464">
        <f t="shared" si="137"/>
        <v>0</v>
      </c>
      <c r="AC133" s="464">
        <f t="shared" si="138"/>
        <v>0</v>
      </c>
      <c r="AD133" s="464">
        <f t="shared" si="139"/>
        <v>0</v>
      </c>
      <c r="AE133" s="464">
        <f t="shared" si="140"/>
        <v>0</v>
      </c>
    </row>
    <row r="134" spans="1:31" ht="15.75" thickBot="1" x14ac:dyDescent="0.3">
      <c r="A134" s="823" t="s">
        <v>169</v>
      </c>
      <c r="B134" s="824"/>
      <c r="C134" s="242">
        <f t="shared" ref="C134:Q134" si="151">SUM(C129:C133)</f>
        <v>572000</v>
      </c>
      <c r="D134" s="242">
        <f t="shared" si="151"/>
        <v>572000</v>
      </c>
      <c r="E134" s="242">
        <f t="shared" si="151"/>
        <v>593819</v>
      </c>
      <c r="F134" s="242">
        <f t="shared" si="151"/>
        <v>595219</v>
      </c>
      <c r="G134" s="242">
        <f t="shared" si="151"/>
        <v>595219</v>
      </c>
      <c r="H134" s="242">
        <f t="shared" si="151"/>
        <v>595957</v>
      </c>
      <c r="I134" s="242">
        <f t="shared" si="151"/>
        <v>595957</v>
      </c>
      <c r="J134" s="242">
        <f t="shared" si="151"/>
        <v>599178</v>
      </c>
      <c r="K134" s="242">
        <f t="shared" si="151"/>
        <v>599178</v>
      </c>
      <c r="L134" s="242">
        <f t="shared" ref="L134:M134" si="152">SUM(L129:L133)</f>
        <v>599428</v>
      </c>
      <c r="M134" s="242">
        <f t="shared" si="152"/>
        <v>599428</v>
      </c>
      <c r="N134" s="242">
        <f t="shared" ref="N134:O134" si="153">SUM(N129:N133)</f>
        <v>605482</v>
      </c>
      <c r="O134" s="242">
        <f t="shared" si="153"/>
        <v>606482</v>
      </c>
      <c r="P134" s="242">
        <f t="shared" ref="P134" si="154">SUM(P129:P133)</f>
        <v>606482</v>
      </c>
      <c r="Q134" s="242">
        <f t="shared" si="151"/>
        <v>448522</v>
      </c>
      <c r="R134" s="655">
        <f t="shared" si="147"/>
        <v>0.73954709290630227</v>
      </c>
      <c r="S134" s="464">
        <f t="shared" si="128"/>
        <v>0</v>
      </c>
      <c r="T134" s="464">
        <f t="shared" si="129"/>
        <v>21819</v>
      </c>
      <c r="U134" s="464">
        <f t="shared" si="130"/>
        <v>1400</v>
      </c>
      <c r="V134" s="464">
        <f t="shared" si="131"/>
        <v>0</v>
      </c>
      <c r="W134" s="464">
        <f t="shared" si="132"/>
        <v>738</v>
      </c>
      <c r="X134" s="464">
        <f t="shared" si="133"/>
        <v>0</v>
      </c>
      <c r="Y134" s="464">
        <f t="shared" si="134"/>
        <v>3221</v>
      </c>
      <c r="Z134" s="464">
        <f t="shared" si="135"/>
        <v>0</v>
      </c>
      <c r="AA134" s="464">
        <f t="shared" si="136"/>
        <v>250</v>
      </c>
      <c r="AB134" s="464">
        <f t="shared" si="137"/>
        <v>0</v>
      </c>
      <c r="AC134" s="464">
        <f t="shared" si="138"/>
        <v>6054</v>
      </c>
      <c r="AD134" s="464">
        <f t="shared" si="139"/>
        <v>1000</v>
      </c>
      <c r="AE134" s="464">
        <f t="shared" si="140"/>
        <v>0</v>
      </c>
    </row>
    <row r="135" spans="1:31" x14ac:dyDescent="0.25">
      <c r="A135" s="243" t="s">
        <v>142</v>
      </c>
      <c r="B135" s="244" t="s">
        <v>170</v>
      </c>
      <c r="C135" s="247">
        <f t="shared" ref="C135:N135" si="155">264110-C136</f>
        <v>252640</v>
      </c>
      <c r="D135" s="247">
        <f t="shared" si="155"/>
        <v>252640</v>
      </c>
      <c r="E135" s="247">
        <f t="shared" si="155"/>
        <v>252640</v>
      </c>
      <c r="F135" s="247">
        <f t="shared" si="155"/>
        <v>252640</v>
      </c>
      <c r="G135" s="247">
        <f t="shared" si="155"/>
        <v>252640</v>
      </c>
      <c r="H135" s="247">
        <f t="shared" si="155"/>
        <v>252640</v>
      </c>
      <c r="I135" s="247">
        <f t="shared" si="155"/>
        <v>252640</v>
      </c>
      <c r="J135" s="247">
        <f t="shared" si="155"/>
        <v>252640</v>
      </c>
      <c r="K135" s="247">
        <f t="shared" si="155"/>
        <v>252640</v>
      </c>
      <c r="L135" s="247">
        <f t="shared" si="155"/>
        <v>252640</v>
      </c>
      <c r="M135" s="247">
        <f t="shared" si="155"/>
        <v>252640</v>
      </c>
      <c r="N135" s="247">
        <f t="shared" si="155"/>
        <v>252640</v>
      </c>
      <c r="O135" s="652">
        <f>264110-O136+5000</f>
        <v>257640</v>
      </c>
      <c r="P135" s="737">
        <f>264110-P136+5000</f>
        <v>257640</v>
      </c>
      <c r="Q135" s="247">
        <v>168424</v>
      </c>
      <c r="R135" s="655">
        <f t="shared" si="147"/>
        <v>0.65371836671324324</v>
      </c>
      <c r="S135" s="464">
        <f t="shared" si="128"/>
        <v>0</v>
      </c>
      <c r="T135" s="464">
        <f t="shared" si="129"/>
        <v>0</v>
      </c>
      <c r="U135" s="464">
        <f t="shared" si="130"/>
        <v>0</v>
      </c>
      <c r="V135" s="464">
        <f t="shared" si="131"/>
        <v>0</v>
      </c>
      <c r="W135" s="464">
        <f t="shared" si="132"/>
        <v>0</v>
      </c>
      <c r="X135" s="464">
        <f t="shared" si="133"/>
        <v>0</v>
      </c>
      <c r="Y135" s="464">
        <f t="shared" si="134"/>
        <v>0</v>
      </c>
      <c r="Z135" s="464">
        <f t="shared" si="135"/>
        <v>0</v>
      </c>
      <c r="AA135" s="464">
        <f t="shared" si="136"/>
        <v>0</v>
      </c>
      <c r="AB135" s="464">
        <f t="shared" si="137"/>
        <v>0</v>
      </c>
      <c r="AC135" s="464">
        <f t="shared" si="138"/>
        <v>0</v>
      </c>
      <c r="AD135" s="464">
        <f t="shared" si="139"/>
        <v>5000</v>
      </c>
      <c r="AE135" s="464">
        <f t="shared" si="140"/>
        <v>0</v>
      </c>
    </row>
    <row r="136" spans="1:31" ht="15.75" thickBot="1" x14ac:dyDescent="0.3">
      <c r="A136" s="248" t="s">
        <v>142</v>
      </c>
      <c r="B136" s="249" t="s">
        <v>171</v>
      </c>
      <c r="C136" s="93">
        <f t="shared" ref="C136:Q136" si="156">C71</f>
        <v>11470</v>
      </c>
      <c r="D136" s="93">
        <f t="shared" si="156"/>
        <v>11470</v>
      </c>
      <c r="E136" s="93">
        <f t="shared" si="156"/>
        <v>11470</v>
      </c>
      <c r="F136" s="93">
        <f t="shared" si="156"/>
        <v>11470</v>
      </c>
      <c r="G136" s="93">
        <f t="shared" si="156"/>
        <v>11470</v>
      </c>
      <c r="H136" s="93">
        <f t="shared" si="156"/>
        <v>11470</v>
      </c>
      <c r="I136" s="93">
        <f t="shared" si="156"/>
        <v>11470</v>
      </c>
      <c r="J136" s="93">
        <f t="shared" si="156"/>
        <v>11470</v>
      </c>
      <c r="K136" s="93">
        <f t="shared" si="156"/>
        <v>11470</v>
      </c>
      <c r="L136" s="93">
        <f t="shared" si="156"/>
        <v>11470</v>
      </c>
      <c r="M136" s="93">
        <f t="shared" si="156"/>
        <v>11470</v>
      </c>
      <c r="N136" s="93">
        <f t="shared" ref="N136:O136" si="157">N71</f>
        <v>11470</v>
      </c>
      <c r="O136" s="93">
        <f t="shared" si="157"/>
        <v>11470</v>
      </c>
      <c r="P136" s="93">
        <f t="shared" ref="P136" si="158">P71</f>
        <v>11470</v>
      </c>
      <c r="Q136" s="93">
        <f t="shared" si="156"/>
        <v>5520</v>
      </c>
      <c r="R136" s="655">
        <f t="shared" si="147"/>
        <v>0.48125544899738448</v>
      </c>
      <c r="S136" s="464">
        <f t="shared" si="128"/>
        <v>0</v>
      </c>
      <c r="T136" s="464">
        <f t="shared" si="129"/>
        <v>0</v>
      </c>
      <c r="U136" s="464">
        <f t="shared" si="130"/>
        <v>0</v>
      </c>
      <c r="V136" s="464">
        <f t="shared" si="131"/>
        <v>0</v>
      </c>
      <c r="W136" s="464">
        <f t="shared" si="132"/>
        <v>0</v>
      </c>
      <c r="X136" s="464">
        <f t="shared" si="133"/>
        <v>0</v>
      </c>
      <c r="Y136" s="464">
        <f t="shared" si="134"/>
        <v>0</v>
      </c>
      <c r="Z136" s="464">
        <f t="shared" si="135"/>
        <v>0</v>
      </c>
      <c r="AA136" s="464">
        <f t="shared" si="136"/>
        <v>0</v>
      </c>
      <c r="AB136" s="464">
        <f t="shared" si="137"/>
        <v>0</v>
      </c>
      <c r="AC136" s="464">
        <f t="shared" si="138"/>
        <v>0</v>
      </c>
      <c r="AD136" s="464">
        <f t="shared" si="139"/>
        <v>0</v>
      </c>
      <c r="AE136" s="464">
        <f t="shared" si="140"/>
        <v>0</v>
      </c>
    </row>
    <row r="137" spans="1:31" ht="15.75" thickBot="1" x14ac:dyDescent="0.3">
      <c r="A137" s="805" t="s">
        <v>172</v>
      </c>
      <c r="B137" s="806"/>
      <c r="C137" s="254">
        <f t="shared" ref="C137:Q137" si="159">SUM(C135:C136)</f>
        <v>264110</v>
      </c>
      <c r="D137" s="254">
        <f t="shared" si="159"/>
        <v>264110</v>
      </c>
      <c r="E137" s="254">
        <f t="shared" si="159"/>
        <v>264110</v>
      </c>
      <c r="F137" s="254">
        <f t="shared" si="159"/>
        <v>264110</v>
      </c>
      <c r="G137" s="254">
        <f t="shared" si="159"/>
        <v>264110</v>
      </c>
      <c r="H137" s="254">
        <f t="shared" si="159"/>
        <v>264110</v>
      </c>
      <c r="I137" s="254">
        <f t="shared" si="159"/>
        <v>264110</v>
      </c>
      <c r="J137" s="254">
        <f t="shared" ref="J137:M137" si="160">SUM(J135:J136)</f>
        <v>264110</v>
      </c>
      <c r="K137" s="254">
        <f t="shared" si="160"/>
        <v>264110</v>
      </c>
      <c r="L137" s="254">
        <f t="shared" si="160"/>
        <v>264110</v>
      </c>
      <c r="M137" s="254">
        <f t="shared" si="160"/>
        <v>264110</v>
      </c>
      <c r="N137" s="254">
        <f t="shared" ref="N137:O137" si="161">SUM(N135:N136)</f>
        <v>264110</v>
      </c>
      <c r="O137" s="254">
        <f t="shared" si="161"/>
        <v>269110</v>
      </c>
      <c r="P137" s="254">
        <f t="shared" ref="P137" si="162">SUM(P135:P136)</f>
        <v>269110</v>
      </c>
      <c r="Q137" s="254">
        <f t="shared" si="159"/>
        <v>173944</v>
      </c>
      <c r="R137" s="655">
        <f t="shared" si="147"/>
        <v>0.64636765634870497</v>
      </c>
      <c r="S137" s="464">
        <f t="shared" si="128"/>
        <v>0</v>
      </c>
      <c r="T137" s="464">
        <f t="shared" si="129"/>
        <v>0</v>
      </c>
      <c r="U137" s="464">
        <f t="shared" si="130"/>
        <v>0</v>
      </c>
      <c r="V137" s="464">
        <f t="shared" si="131"/>
        <v>0</v>
      </c>
      <c r="W137" s="464">
        <f t="shared" si="132"/>
        <v>0</v>
      </c>
      <c r="X137" s="464">
        <f t="shared" si="133"/>
        <v>0</v>
      </c>
      <c r="Y137" s="464">
        <f t="shared" si="134"/>
        <v>0</v>
      </c>
      <c r="Z137" s="464">
        <f t="shared" si="135"/>
        <v>0</v>
      </c>
      <c r="AA137" s="464">
        <f t="shared" si="136"/>
        <v>0</v>
      </c>
      <c r="AB137" s="464">
        <f t="shared" si="137"/>
        <v>0</v>
      </c>
      <c r="AC137" s="464">
        <f t="shared" si="138"/>
        <v>0</v>
      </c>
      <c r="AD137" s="464">
        <f t="shared" si="139"/>
        <v>5000</v>
      </c>
      <c r="AE137" s="464">
        <f t="shared" si="140"/>
        <v>0</v>
      </c>
    </row>
    <row r="138" spans="1:31" ht="18" customHeight="1" thickBot="1" x14ac:dyDescent="0.3">
      <c r="A138" s="827" t="s">
        <v>173</v>
      </c>
      <c r="B138" s="828"/>
      <c r="C138" s="257">
        <f t="shared" ref="C138:Q138" si="163">C134+C137</f>
        <v>836110</v>
      </c>
      <c r="D138" s="257">
        <f t="shared" si="163"/>
        <v>836110</v>
      </c>
      <c r="E138" s="257">
        <f t="shared" si="163"/>
        <v>857929</v>
      </c>
      <c r="F138" s="257">
        <f t="shared" si="163"/>
        <v>859329</v>
      </c>
      <c r="G138" s="257">
        <f t="shared" si="163"/>
        <v>859329</v>
      </c>
      <c r="H138" s="257">
        <f t="shared" si="163"/>
        <v>860067</v>
      </c>
      <c r="I138" s="257">
        <f t="shared" si="163"/>
        <v>860067</v>
      </c>
      <c r="J138" s="257">
        <f t="shared" si="163"/>
        <v>863288</v>
      </c>
      <c r="K138" s="257">
        <f t="shared" si="163"/>
        <v>863288</v>
      </c>
      <c r="L138" s="257">
        <f t="shared" si="163"/>
        <v>863538</v>
      </c>
      <c r="M138" s="257">
        <f t="shared" si="163"/>
        <v>863538</v>
      </c>
      <c r="N138" s="257">
        <f t="shared" ref="N138:O138" si="164">N134+N137</f>
        <v>869592</v>
      </c>
      <c r="O138" s="257">
        <f t="shared" si="164"/>
        <v>875592</v>
      </c>
      <c r="P138" s="257">
        <f t="shared" ref="P138" si="165">P134+P137</f>
        <v>875592</v>
      </c>
      <c r="Q138" s="257">
        <f t="shared" si="163"/>
        <v>622466</v>
      </c>
      <c r="R138" s="655">
        <f t="shared" si="147"/>
        <v>0.71090873374813845</v>
      </c>
      <c r="S138" s="464">
        <f t="shared" si="128"/>
        <v>0</v>
      </c>
      <c r="T138" s="464">
        <f t="shared" si="129"/>
        <v>21819</v>
      </c>
      <c r="U138" s="464">
        <f t="shared" si="130"/>
        <v>1400</v>
      </c>
      <c r="V138" s="464">
        <f t="shared" si="131"/>
        <v>0</v>
      </c>
      <c r="W138" s="464">
        <f t="shared" si="132"/>
        <v>738</v>
      </c>
      <c r="X138" s="464">
        <f t="shared" si="133"/>
        <v>0</v>
      </c>
      <c r="Y138" s="464">
        <f t="shared" si="134"/>
        <v>3221</v>
      </c>
      <c r="Z138" s="464">
        <f t="shared" si="135"/>
        <v>0</v>
      </c>
      <c r="AA138" s="464">
        <f t="shared" si="136"/>
        <v>250</v>
      </c>
      <c r="AB138" s="464">
        <f t="shared" si="137"/>
        <v>0</v>
      </c>
      <c r="AC138" s="464">
        <f t="shared" si="138"/>
        <v>6054</v>
      </c>
      <c r="AD138" s="464">
        <f t="shared" si="139"/>
        <v>6000</v>
      </c>
      <c r="AE138" s="464">
        <f t="shared" si="140"/>
        <v>0</v>
      </c>
    </row>
    <row r="139" spans="1:31" ht="24" customHeight="1" thickBot="1" x14ac:dyDescent="0.3">
      <c r="A139" s="258" t="s">
        <v>174</v>
      </c>
      <c r="B139" s="144"/>
      <c r="C139" s="261">
        <f t="shared" ref="C139:Q139" si="166">C128+C138</f>
        <v>2340678</v>
      </c>
      <c r="D139" s="261">
        <f t="shared" si="166"/>
        <v>2340678</v>
      </c>
      <c r="E139" s="261">
        <f t="shared" si="166"/>
        <v>2366908</v>
      </c>
      <c r="F139" s="261">
        <f t="shared" si="166"/>
        <v>2376043</v>
      </c>
      <c r="G139" s="261">
        <f t="shared" si="166"/>
        <v>2382043</v>
      </c>
      <c r="H139" s="261">
        <f t="shared" si="166"/>
        <v>2385981</v>
      </c>
      <c r="I139" s="261">
        <f t="shared" si="166"/>
        <v>2396881</v>
      </c>
      <c r="J139" s="261">
        <f t="shared" si="166"/>
        <v>2403102</v>
      </c>
      <c r="K139" s="261">
        <f t="shared" si="166"/>
        <v>2403445</v>
      </c>
      <c r="L139" s="261">
        <f t="shared" si="166"/>
        <v>2404895</v>
      </c>
      <c r="M139" s="261">
        <f t="shared" si="166"/>
        <v>2411095</v>
      </c>
      <c r="N139" s="261">
        <f t="shared" ref="N139:O139" si="167">N128+N138</f>
        <v>2430751</v>
      </c>
      <c r="O139" s="261">
        <f t="shared" si="167"/>
        <v>2447528</v>
      </c>
      <c r="P139" s="261">
        <f t="shared" ref="P139" si="168">P128+P138</f>
        <v>2447528</v>
      </c>
      <c r="Q139" s="261">
        <f t="shared" si="166"/>
        <v>1404068</v>
      </c>
      <c r="R139" s="655">
        <f t="shared" si="147"/>
        <v>0.57366779869321205</v>
      </c>
      <c r="S139" s="464">
        <f t="shared" si="128"/>
        <v>0</v>
      </c>
      <c r="T139" s="464">
        <f t="shared" si="129"/>
        <v>26230</v>
      </c>
      <c r="U139" s="464">
        <f t="shared" si="130"/>
        <v>9135</v>
      </c>
      <c r="V139" s="464">
        <f t="shared" si="131"/>
        <v>6000</v>
      </c>
      <c r="W139" s="464">
        <f t="shared" si="132"/>
        <v>3938</v>
      </c>
      <c r="X139" s="464">
        <f t="shared" si="133"/>
        <v>10900</v>
      </c>
      <c r="Y139" s="464">
        <f t="shared" si="134"/>
        <v>6221</v>
      </c>
      <c r="Z139" s="464">
        <f t="shared" si="135"/>
        <v>343</v>
      </c>
      <c r="AA139" s="464">
        <f t="shared" si="136"/>
        <v>1450</v>
      </c>
      <c r="AB139" s="464">
        <f t="shared" si="137"/>
        <v>6200</v>
      </c>
      <c r="AC139" s="464">
        <f t="shared" si="138"/>
        <v>19656</v>
      </c>
      <c r="AD139" s="464">
        <f t="shared" si="139"/>
        <v>16777</v>
      </c>
      <c r="AE139" s="464">
        <f t="shared" si="140"/>
        <v>0</v>
      </c>
    </row>
    <row r="140" spans="1:3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655"/>
    </row>
    <row r="141" spans="1:3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655"/>
    </row>
    <row r="142" spans="1:31" ht="18.75" thickBot="1" x14ac:dyDescent="0.3">
      <c r="A142" s="829" t="s">
        <v>175</v>
      </c>
      <c r="B142" s="830"/>
      <c r="C142" s="830"/>
      <c r="D142" s="830"/>
      <c r="E142" s="830"/>
      <c r="F142" s="830"/>
      <c r="G142" s="830"/>
      <c r="H142" s="830"/>
      <c r="I142" s="830"/>
      <c r="J142" s="830"/>
      <c r="K142" s="830"/>
      <c r="L142" s="830"/>
      <c r="M142" s="830"/>
      <c r="N142" s="830"/>
      <c r="O142" s="830"/>
      <c r="P142" s="830"/>
      <c r="Q142" s="830"/>
      <c r="R142" s="655"/>
      <c r="S142" s="1"/>
    </row>
    <row r="143" spans="1:31" ht="36.75" customHeight="1" thickBot="1" x14ac:dyDescent="0.3">
      <c r="A143" s="819" t="s">
        <v>1</v>
      </c>
      <c r="B143" s="831"/>
      <c r="C143" s="416" t="s">
        <v>376</v>
      </c>
      <c r="D143" s="416" t="s">
        <v>509</v>
      </c>
      <c r="E143" s="416" t="s">
        <v>511</v>
      </c>
      <c r="F143" s="416" t="s">
        <v>512</v>
      </c>
      <c r="G143" s="416" t="s">
        <v>377</v>
      </c>
      <c r="H143" s="416" t="s">
        <v>541</v>
      </c>
      <c r="I143" s="416" t="s">
        <v>497</v>
      </c>
      <c r="J143" s="416" t="s">
        <v>556</v>
      </c>
      <c r="K143" s="416" t="s">
        <v>561</v>
      </c>
      <c r="L143" s="416" t="s">
        <v>605</v>
      </c>
      <c r="M143" s="416" t="s">
        <v>606</v>
      </c>
      <c r="N143" s="416" t="s">
        <v>678</v>
      </c>
      <c r="O143" s="416" t="s">
        <v>679</v>
      </c>
      <c r="P143" s="416" t="s">
        <v>704</v>
      </c>
      <c r="Q143" s="416" t="s">
        <v>717</v>
      </c>
      <c r="R143" s="655"/>
      <c r="S143" s="1"/>
    </row>
    <row r="144" spans="1:31" ht="16.5" thickBot="1" x14ac:dyDescent="0.3">
      <c r="A144" s="832" t="s">
        <v>176</v>
      </c>
      <c r="B144" s="833"/>
      <c r="C144" s="262">
        <f t="shared" ref="C144:Q144" si="169">SUM(C145:C153)</f>
        <v>774720</v>
      </c>
      <c r="D144" s="262">
        <f t="shared" si="169"/>
        <v>774720</v>
      </c>
      <c r="E144" s="262">
        <f t="shared" si="169"/>
        <v>774720</v>
      </c>
      <c r="F144" s="262">
        <f t="shared" si="169"/>
        <v>774720</v>
      </c>
      <c r="G144" s="262">
        <f t="shared" si="169"/>
        <v>778710</v>
      </c>
      <c r="H144" s="262">
        <f t="shared" si="169"/>
        <v>778710</v>
      </c>
      <c r="I144" s="262">
        <f t="shared" si="169"/>
        <v>781210</v>
      </c>
      <c r="J144" s="262">
        <f t="shared" si="169"/>
        <v>781210</v>
      </c>
      <c r="K144" s="262">
        <f t="shared" si="169"/>
        <v>781210</v>
      </c>
      <c r="L144" s="262">
        <f t="shared" si="169"/>
        <v>781210</v>
      </c>
      <c r="M144" s="262">
        <f t="shared" si="169"/>
        <v>781210</v>
      </c>
      <c r="N144" s="262">
        <f t="shared" ref="N144:O144" si="170">SUM(N145:N153)</f>
        <v>781210</v>
      </c>
      <c r="O144" s="262">
        <f t="shared" si="170"/>
        <v>781210</v>
      </c>
      <c r="P144" s="262">
        <f t="shared" ref="P144" si="171">SUM(P145:P153)</f>
        <v>781210</v>
      </c>
      <c r="Q144" s="262">
        <f t="shared" si="169"/>
        <v>49456</v>
      </c>
      <c r="R144" s="655">
        <f t="shared" si="147"/>
        <v>6.3306921314371295E-2</v>
      </c>
      <c r="S144" s="464">
        <f t="shared" ref="S144:AE144" si="172">D144-C144</f>
        <v>0</v>
      </c>
      <c r="T144" s="464">
        <f t="shared" si="172"/>
        <v>0</v>
      </c>
      <c r="U144" s="464">
        <f t="shared" si="172"/>
        <v>0</v>
      </c>
      <c r="V144" s="464">
        <f t="shared" si="172"/>
        <v>3990</v>
      </c>
      <c r="W144" s="464">
        <f t="shared" si="172"/>
        <v>0</v>
      </c>
      <c r="X144" s="464">
        <f t="shared" si="172"/>
        <v>2500</v>
      </c>
      <c r="Y144" s="464">
        <f t="shared" si="172"/>
        <v>0</v>
      </c>
      <c r="Z144" s="464">
        <f t="shared" si="172"/>
        <v>0</v>
      </c>
      <c r="AA144" s="464">
        <f t="shared" si="172"/>
        <v>0</v>
      </c>
      <c r="AB144" s="464">
        <f t="shared" si="172"/>
        <v>0</v>
      </c>
      <c r="AC144" s="464">
        <f t="shared" si="172"/>
        <v>0</v>
      </c>
      <c r="AD144" s="464">
        <f t="shared" si="172"/>
        <v>0</v>
      </c>
      <c r="AE144" s="464">
        <f t="shared" si="172"/>
        <v>0</v>
      </c>
    </row>
    <row r="145" spans="1:31" x14ac:dyDescent="0.25">
      <c r="A145" s="627">
        <v>231</v>
      </c>
      <c r="B145" s="628" t="s">
        <v>382</v>
      </c>
      <c r="C145" s="629">
        <v>0</v>
      </c>
      <c r="D145" s="629">
        <v>0</v>
      </c>
      <c r="E145" s="630">
        <f>2000</f>
        <v>2000</v>
      </c>
      <c r="F145" s="630">
        <f>2000-2000</f>
        <v>0</v>
      </c>
      <c r="G145" s="630">
        <f>2000-2000+3990</f>
        <v>3990</v>
      </c>
      <c r="H145" s="629">
        <f>2000-2000+3990</f>
        <v>3990</v>
      </c>
      <c r="I145" s="629">
        <f>2000-2000+3990</f>
        <v>3990</v>
      </c>
      <c r="J145" s="629">
        <f>2000-2000+3990</f>
        <v>3990</v>
      </c>
      <c r="K145" s="629">
        <f>2000-2000+3990</f>
        <v>3990</v>
      </c>
      <c r="L145" s="629">
        <f t="shared" ref="L145:P145" si="173">2000-2000+3990</f>
        <v>3990</v>
      </c>
      <c r="M145" s="629">
        <f t="shared" si="173"/>
        <v>3990</v>
      </c>
      <c r="N145" s="629">
        <f t="shared" si="173"/>
        <v>3990</v>
      </c>
      <c r="O145" s="629">
        <f t="shared" si="173"/>
        <v>3990</v>
      </c>
      <c r="P145" s="629">
        <f t="shared" si="173"/>
        <v>3990</v>
      </c>
      <c r="Q145" s="629">
        <v>3990</v>
      </c>
      <c r="R145" s="655">
        <f t="shared" si="147"/>
        <v>1</v>
      </c>
    </row>
    <row r="146" spans="1:31" ht="15.75" thickBot="1" x14ac:dyDescent="0.3">
      <c r="A146" s="3">
        <v>233</v>
      </c>
      <c r="B146" s="328" t="s">
        <v>177</v>
      </c>
      <c r="C146" s="626">
        <v>3000</v>
      </c>
      <c r="D146" s="626">
        <v>3000</v>
      </c>
      <c r="E146" s="729">
        <f>3000-2000</f>
        <v>1000</v>
      </c>
      <c r="F146" s="729">
        <f t="shared" ref="F146:P146" si="174">3000-2000+2000</f>
        <v>3000</v>
      </c>
      <c r="G146" s="626">
        <f t="shared" si="174"/>
        <v>3000</v>
      </c>
      <c r="H146" s="626">
        <f t="shared" si="174"/>
        <v>3000</v>
      </c>
      <c r="I146" s="626">
        <f t="shared" si="174"/>
        <v>3000</v>
      </c>
      <c r="J146" s="626">
        <f t="shared" si="174"/>
        <v>3000</v>
      </c>
      <c r="K146" s="626">
        <f t="shared" si="174"/>
        <v>3000</v>
      </c>
      <c r="L146" s="626">
        <f t="shared" si="174"/>
        <v>3000</v>
      </c>
      <c r="M146" s="626">
        <f t="shared" si="174"/>
        <v>3000</v>
      </c>
      <c r="N146" s="626">
        <f t="shared" si="174"/>
        <v>3000</v>
      </c>
      <c r="O146" s="626">
        <f t="shared" si="174"/>
        <v>3000</v>
      </c>
      <c r="P146" s="626">
        <f t="shared" si="174"/>
        <v>3000</v>
      </c>
      <c r="Q146" s="626"/>
      <c r="R146" s="655">
        <f t="shared" si="147"/>
        <v>0</v>
      </c>
      <c r="S146" s="1"/>
    </row>
    <row r="147" spans="1:31" ht="15.75" thickBot="1" x14ac:dyDescent="0.3">
      <c r="A147" s="442">
        <v>321</v>
      </c>
      <c r="B147" s="443" t="s">
        <v>262</v>
      </c>
      <c r="C147" s="458">
        <v>5000</v>
      </c>
      <c r="D147" s="458">
        <v>5000</v>
      </c>
      <c r="E147" s="458">
        <v>5000</v>
      </c>
      <c r="F147" s="458">
        <v>5000</v>
      </c>
      <c r="G147" s="458">
        <v>5000</v>
      </c>
      <c r="H147" s="458">
        <v>5000</v>
      </c>
      <c r="I147" s="458">
        <v>5000</v>
      </c>
      <c r="J147" s="458">
        <v>5000</v>
      </c>
      <c r="K147" s="458">
        <v>5000</v>
      </c>
      <c r="L147" s="458">
        <v>5000</v>
      </c>
      <c r="M147" s="458">
        <v>5000</v>
      </c>
      <c r="N147" s="458">
        <v>5000</v>
      </c>
      <c r="O147" s="458">
        <v>5000</v>
      </c>
      <c r="P147" s="458">
        <v>5000</v>
      </c>
      <c r="Q147" s="458">
        <v>120</v>
      </c>
      <c r="R147" s="655">
        <f t="shared" si="147"/>
        <v>2.4E-2</v>
      </c>
      <c r="S147" s="642">
        <f>SUM(G145:G147)</f>
        <v>11990</v>
      </c>
      <c r="T147" s="656">
        <f>S147+G178</f>
        <v>11990</v>
      </c>
    </row>
    <row r="148" spans="1:31" x14ac:dyDescent="0.25">
      <c r="A148" s="265">
        <v>322</v>
      </c>
      <c r="B148" s="292" t="s">
        <v>415</v>
      </c>
      <c r="C148" s="412">
        <v>0</v>
      </c>
      <c r="D148" s="412">
        <v>0</v>
      </c>
      <c r="E148" s="412">
        <v>0</v>
      </c>
      <c r="F148" s="412">
        <v>0</v>
      </c>
      <c r="G148" s="412">
        <v>0</v>
      </c>
      <c r="H148" s="412">
        <v>0</v>
      </c>
      <c r="I148" s="412">
        <v>0</v>
      </c>
      <c r="J148" s="412">
        <v>0</v>
      </c>
      <c r="K148" s="412">
        <v>0</v>
      </c>
      <c r="L148" s="412">
        <v>0</v>
      </c>
      <c r="M148" s="412">
        <v>0</v>
      </c>
      <c r="N148" s="412">
        <v>0</v>
      </c>
      <c r="O148" s="412">
        <v>0</v>
      </c>
      <c r="P148" s="412">
        <v>0</v>
      </c>
      <c r="Q148" s="412"/>
      <c r="R148" s="655">
        <v>0</v>
      </c>
      <c r="S148" s="1"/>
    </row>
    <row r="149" spans="1:31" x14ac:dyDescent="0.25">
      <c r="A149" s="268">
        <v>322</v>
      </c>
      <c r="B149" s="72" t="s">
        <v>181</v>
      </c>
      <c r="C149" s="270">
        <v>300000</v>
      </c>
      <c r="D149" s="270">
        <v>300000</v>
      </c>
      <c r="E149" s="270">
        <v>300000</v>
      </c>
      <c r="F149" s="270">
        <v>300000</v>
      </c>
      <c r="G149" s="270">
        <v>300000</v>
      </c>
      <c r="H149" s="270">
        <v>300000</v>
      </c>
      <c r="I149" s="270">
        <v>300000</v>
      </c>
      <c r="J149" s="270">
        <v>300000</v>
      </c>
      <c r="K149" s="270">
        <v>300000</v>
      </c>
      <c r="L149" s="270">
        <v>300000</v>
      </c>
      <c r="M149" s="270">
        <v>300000</v>
      </c>
      <c r="N149" s="270">
        <v>300000</v>
      </c>
      <c r="O149" s="270">
        <v>300000</v>
      </c>
      <c r="P149" s="270">
        <v>300000</v>
      </c>
      <c r="Q149" s="270"/>
      <c r="R149" s="655">
        <f t="shared" si="147"/>
        <v>0</v>
      </c>
      <c r="S149" s="1"/>
    </row>
    <row r="150" spans="1:31" x14ac:dyDescent="0.25">
      <c r="A150" s="265">
        <v>322</v>
      </c>
      <c r="B150" s="72" t="s">
        <v>263</v>
      </c>
      <c r="C150" s="270">
        <v>15000</v>
      </c>
      <c r="D150" s="270">
        <v>15000</v>
      </c>
      <c r="E150" s="270">
        <v>15000</v>
      </c>
      <c r="F150" s="270">
        <v>15000</v>
      </c>
      <c r="G150" s="270">
        <v>15000</v>
      </c>
      <c r="H150" s="270">
        <v>15000</v>
      </c>
      <c r="I150" s="270">
        <v>15000</v>
      </c>
      <c r="J150" s="270">
        <v>15000</v>
      </c>
      <c r="K150" s="270">
        <v>15000</v>
      </c>
      <c r="L150" s="270">
        <v>15000</v>
      </c>
      <c r="M150" s="270">
        <v>15000</v>
      </c>
      <c r="N150" s="270">
        <v>15000</v>
      </c>
      <c r="O150" s="270">
        <v>15000</v>
      </c>
      <c r="P150" s="270">
        <v>15000</v>
      </c>
      <c r="Q150" s="267"/>
      <c r="R150" s="655">
        <f t="shared" si="147"/>
        <v>0</v>
      </c>
      <c r="S150" s="1"/>
    </row>
    <row r="151" spans="1:31" x14ac:dyDescent="0.25">
      <c r="A151" s="271">
        <v>322</v>
      </c>
      <c r="B151" s="274" t="s">
        <v>248</v>
      </c>
      <c r="C151" s="273">
        <v>19000</v>
      </c>
      <c r="D151" s="273">
        <v>19000</v>
      </c>
      <c r="E151" s="273">
        <v>19000</v>
      </c>
      <c r="F151" s="273">
        <v>19000</v>
      </c>
      <c r="G151" s="273">
        <v>19000</v>
      </c>
      <c r="H151" s="273">
        <v>19000</v>
      </c>
      <c r="I151" s="273">
        <v>19000</v>
      </c>
      <c r="J151" s="273">
        <v>19000</v>
      </c>
      <c r="K151" s="273">
        <v>19000</v>
      </c>
      <c r="L151" s="273">
        <v>19000</v>
      </c>
      <c r="M151" s="273">
        <v>19000</v>
      </c>
      <c r="N151" s="273">
        <v>19000</v>
      </c>
      <c r="O151" s="273">
        <v>19000</v>
      </c>
      <c r="P151" s="273">
        <v>19000</v>
      </c>
      <c r="Q151" s="267"/>
      <c r="R151" s="655">
        <f t="shared" si="147"/>
        <v>0</v>
      </c>
      <c r="S151" s="1"/>
    </row>
    <row r="152" spans="1:31" x14ac:dyDescent="0.25">
      <c r="A152" s="271">
        <v>322</v>
      </c>
      <c r="B152" s="76" t="s">
        <v>242</v>
      </c>
      <c r="C152" s="273">
        <v>355220</v>
      </c>
      <c r="D152" s="273">
        <v>355220</v>
      </c>
      <c r="E152" s="273">
        <v>355220</v>
      </c>
      <c r="F152" s="273">
        <v>355220</v>
      </c>
      <c r="G152" s="273">
        <v>355220</v>
      </c>
      <c r="H152" s="273">
        <v>355220</v>
      </c>
      <c r="I152" s="273">
        <v>355220</v>
      </c>
      <c r="J152" s="273">
        <v>355220</v>
      </c>
      <c r="K152" s="273">
        <v>355220</v>
      </c>
      <c r="L152" s="273">
        <v>355220</v>
      </c>
      <c r="M152" s="273">
        <v>355220</v>
      </c>
      <c r="N152" s="273">
        <v>355220</v>
      </c>
      <c r="O152" s="273">
        <v>355220</v>
      </c>
      <c r="P152" s="273">
        <v>355220</v>
      </c>
      <c r="Q152" s="267"/>
      <c r="R152" s="655">
        <f t="shared" si="147"/>
        <v>0</v>
      </c>
      <c r="S152" s="1"/>
    </row>
    <row r="153" spans="1:31" ht="15.75" thickBot="1" x14ac:dyDescent="0.3">
      <c r="A153" s="268">
        <v>322</v>
      </c>
      <c r="B153" s="72" t="s">
        <v>243</v>
      </c>
      <c r="C153" s="270">
        <f t="shared" ref="C153:H153" si="175">166800-89300</f>
        <v>77500</v>
      </c>
      <c r="D153" s="270">
        <f t="shared" si="175"/>
        <v>77500</v>
      </c>
      <c r="E153" s="270">
        <f t="shared" si="175"/>
        <v>77500</v>
      </c>
      <c r="F153" s="270">
        <f t="shared" si="175"/>
        <v>77500</v>
      </c>
      <c r="G153" s="270">
        <f t="shared" si="175"/>
        <v>77500</v>
      </c>
      <c r="H153" s="270">
        <f t="shared" si="175"/>
        <v>77500</v>
      </c>
      <c r="I153" s="721">
        <f>166800-89300+2500</f>
        <v>80000</v>
      </c>
      <c r="J153" s="270">
        <f>166800-89300+2500</f>
        <v>80000</v>
      </c>
      <c r="K153" s="270">
        <f>166800-89300+2500</f>
        <v>80000</v>
      </c>
      <c r="L153" s="270">
        <f t="shared" ref="L153:P153" si="176">166800-89300+2500</f>
        <v>80000</v>
      </c>
      <c r="M153" s="270">
        <f t="shared" si="176"/>
        <v>80000</v>
      </c>
      <c r="N153" s="270">
        <f t="shared" si="176"/>
        <v>80000</v>
      </c>
      <c r="O153" s="270">
        <f t="shared" si="176"/>
        <v>80000</v>
      </c>
      <c r="P153" s="270">
        <f t="shared" si="176"/>
        <v>80000</v>
      </c>
      <c r="Q153" s="267">
        <f>45346</f>
        <v>45346</v>
      </c>
      <c r="R153" s="655">
        <f t="shared" si="147"/>
        <v>0.56682500000000002</v>
      </c>
      <c r="S153" s="642">
        <f>SUM(G148:G153)</f>
        <v>766720</v>
      </c>
    </row>
    <row r="154" spans="1:31" ht="16.5" thickBot="1" x14ac:dyDescent="0.3">
      <c r="A154" s="832" t="s">
        <v>182</v>
      </c>
      <c r="B154" s="833"/>
      <c r="C154" s="262">
        <f t="shared" ref="C154:Q154" si="177">SUM(C155:C171)</f>
        <v>1267700</v>
      </c>
      <c r="D154" s="262">
        <f t="shared" si="177"/>
        <v>1267700</v>
      </c>
      <c r="E154" s="262">
        <f t="shared" si="177"/>
        <v>1267700</v>
      </c>
      <c r="F154" s="262">
        <f t="shared" si="177"/>
        <v>1267700</v>
      </c>
      <c r="G154" s="262">
        <f t="shared" si="177"/>
        <v>1267700</v>
      </c>
      <c r="H154" s="262">
        <f t="shared" si="177"/>
        <v>1267700</v>
      </c>
      <c r="I154" s="262">
        <f t="shared" si="177"/>
        <v>1270200</v>
      </c>
      <c r="J154" s="262">
        <f t="shared" si="177"/>
        <v>1270200</v>
      </c>
      <c r="K154" s="262">
        <f t="shared" si="177"/>
        <v>1274190</v>
      </c>
      <c r="L154" s="262">
        <f t="shared" ref="L154:M154" si="178">SUM(L155:L171)</f>
        <v>1274190</v>
      </c>
      <c r="M154" s="262">
        <f t="shared" si="178"/>
        <v>1275076</v>
      </c>
      <c r="N154" s="262">
        <f t="shared" ref="N154:O154" si="179">SUM(N155:N171)</f>
        <v>1275076</v>
      </c>
      <c r="O154" s="262">
        <f t="shared" si="179"/>
        <v>1275076</v>
      </c>
      <c r="P154" s="262">
        <f t="shared" ref="P154" si="180">SUM(P155:P171)</f>
        <v>1275076</v>
      </c>
      <c r="Q154" s="262">
        <f t="shared" si="177"/>
        <v>108138</v>
      </c>
      <c r="R154" s="655">
        <f t="shared" si="147"/>
        <v>8.4809062361772949E-2</v>
      </c>
      <c r="S154" s="642">
        <f>C154-C144</f>
        <v>492980</v>
      </c>
      <c r="T154" s="27"/>
      <c r="U154" s="27"/>
    </row>
    <row r="155" spans="1:31" x14ac:dyDescent="0.25">
      <c r="A155" s="286" t="s">
        <v>96</v>
      </c>
      <c r="B155" s="275" t="s">
        <v>186</v>
      </c>
      <c r="C155" s="287">
        <v>1500</v>
      </c>
      <c r="D155" s="287">
        <v>1500</v>
      </c>
      <c r="E155" s="287">
        <v>1500</v>
      </c>
      <c r="F155" s="287">
        <v>1500</v>
      </c>
      <c r="G155" s="287">
        <v>1500</v>
      </c>
      <c r="H155" s="287">
        <v>1500</v>
      </c>
      <c r="I155" s="287">
        <v>1500</v>
      </c>
      <c r="J155" s="287">
        <v>1500</v>
      </c>
      <c r="K155" s="287">
        <v>1500</v>
      </c>
      <c r="L155" s="287">
        <v>1500</v>
      </c>
      <c r="M155" s="287">
        <v>1500</v>
      </c>
      <c r="N155" s="287">
        <v>1500</v>
      </c>
      <c r="O155" s="287">
        <v>1500</v>
      </c>
      <c r="P155" s="287">
        <v>1500</v>
      </c>
      <c r="Q155" s="287"/>
      <c r="R155" s="655">
        <f t="shared" si="147"/>
        <v>0</v>
      </c>
      <c r="S155" s="27">
        <f t="shared" ref="S155:AE155" si="181">D154-C154</f>
        <v>0</v>
      </c>
      <c r="T155" s="27">
        <f t="shared" si="181"/>
        <v>0</v>
      </c>
      <c r="U155" s="27">
        <f t="shared" si="181"/>
        <v>0</v>
      </c>
      <c r="V155" s="27">
        <f t="shared" si="181"/>
        <v>0</v>
      </c>
      <c r="W155" s="27">
        <f t="shared" si="181"/>
        <v>0</v>
      </c>
      <c r="X155" s="27">
        <f t="shared" si="181"/>
        <v>2500</v>
      </c>
      <c r="Y155" s="27">
        <f t="shared" si="181"/>
        <v>0</v>
      </c>
      <c r="Z155" s="27">
        <f t="shared" si="181"/>
        <v>3990</v>
      </c>
      <c r="AA155" s="27">
        <f t="shared" si="181"/>
        <v>0</v>
      </c>
      <c r="AB155" s="27">
        <f t="shared" si="181"/>
        <v>886</v>
      </c>
      <c r="AC155" s="27">
        <f t="shared" si="181"/>
        <v>0</v>
      </c>
      <c r="AD155" s="27">
        <f t="shared" si="181"/>
        <v>0</v>
      </c>
      <c r="AE155" s="27">
        <f t="shared" si="181"/>
        <v>0</v>
      </c>
    </row>
    <row r="156" spans="1:31" ht="15.75" thickBot="1" x14ac:dyDescent="0.3">
      <c r="A156" s="282" t="s">
        <v>98</v>
      </c>
      <c r="B156" s="408" t="s">
        <v>245</v>
      </c>
      <c r="C156" s="284">
        <v>20600</v>
      </c>
      <c r="D156" s="284">
        <v>20600</v>
      </c>
      <c r="E156" s="284">
        <v>20600</v>
      </c>
      <c r="F156" s="284">
        <v>20600</v>
      </c>
      <c r="G156" s="284">
        <v>20600</v>
      </c>
      <c r="H156" s="284">
        <v>20600</v>
      </c>
      <c r="I156" s="284">
        <v>20600</v>
      </c>
      <c r="J156" s="284">
        <v>20600</v>
      </c>
      <c r="K156" s="284">
        <v>20600</v>
      </c>
      <c r="L156" s="284">
        <v>20600</v>
      </c>
      <c r="M156" s="284">
        <v>20600</v>
      </c>
      <c r="N156" s="284">
        <v>20600</v>
      </c>
      <c r="O156" s="284">
        <v>20600</v>
      </c>
      <c r="P156" s="284">
        <v>20600</v>
      </c>
      <c r="Q156" s="284">
        <v>20321</v>
      </c>
      <c r="R156" s="655">
        <f t="shared" si="147"/>
        <v>0.9864563106796117</v>
      </c>
      <c r="S156" s="27"/>
    </row>
    <row r="157" spans="1:31" ht="15.75" thickBot="1" x14ac:dyDescent="0.3">
      <c r="A157" s="657" t="s">
        <v>103</v>
      </c>
      <c r="B157" s="658" t="s">
        <v>241</v>
      </c>
      <c r="C157" s="411">
        <v>325000</v>
      </c>
      <c r="D157" s="411">
        <v>325000</v>
      </c>
      <c r="E157" s="411">
        <v>325000</v>
      </c>
      <c r="F157" s="411">
        <v>325000</v>
      </c>
      <c r="G157" s="411">
        <v>325000</v>
      </c>
      <c r="H157" s="411">
        <v>325000</v>
      </c>
      <c r="I157" s="411">
        <v>325000</v>
      </c>
      <c r="J157" s="411">
        <v>325000</v>
      </c>
      <c r="K157" s="411">
        <f>325000</f>
        <v>325000</v>
      </c>
      <c r="L157" s="411">
        <f t="shared" ref="L157" si="182">325000</f>
        <v>325000</v>
      </c>
      <c r="M157" s="411">
        <f>325000</f>
        <v>325000</v>
      </c>
      <c r="N157" s="411">
        <f t="shared" ref="N157:P157" si="183">325000</f>
        <v>325000</v>
      </c>
      <c r="O157" s="411">
        <f t="shared" si="183"/>
        <v>325000</v>
      </c>
      <c r="P157" s="411">
        <f t="shared" si="183"/>
        <v>325000</v>
      </c>
      <c r="Q157" s="411"/>
      <c r="R157" s="655">
        <f t="shared" si="147"/>
        <v>0</v>
      </c>
      <c r="S157" s="1"/>
    </row>
    <row r="158" spans="1:31" x14ac:dyDescent="0.25">
      <c r="A158" s="288" t="s">
        <v>190</v>
      </c>
      <c r="B158" s="289" t="s">
        <v>191</v>
      </c>
      <c r="C158" s="290">
        <v>43000</v>
      </c>
      <c r="D158" s="290">
        <v>43000</v>
      </c>
      <c r="E158" s="290">
        <v>43000</v>
      </c>
      <c r="F158" s="290">
        <v>43000</v>
      </c>
      <c r="G158" s="716">
        <f>43000-18000</f>
        <v>25000</v>
      </c>
      <c r="H158" s="290">
        <f>43000-18000</f>
        <v>25000</v>
      </c>
      <c r="I158" s="290">
        <f>43000-18000</f>
        <v>25000</v>
      </c>
      <c r="J158" s="290">
        <f>43000-18000</f>
        <v>25000</v>
      </c>
      <c r="K158" s="290">
        <f>43000-18000</f>
        <v>25000</v>
      </c>
      <c r="L158" s="290">
        <f t="shared" ref="L158:N158" si="184">43000-18000</f>
        <v>25000</v>
      </c>
      <c r="M158" s="290">
        <f t="shared" si="184"/>
        <v>25000</v>
      </c>
      <c r="N158" s="290">
        <f t="shared" si="184"/>
        <v>25000</v>
      </c>
      <c r="O158" s="290">
        <f>43000-18000</f>
        <v>25000</v>
      </c>
      <c r="P158" s="290">
        <f>43000-18000</f>
        <v>25000</v>
      </c>
      <c r="Q158" s="290"/>
      <c r="R158" s="655">
        <f t="shared" si="147"/>
        <v>0</v>
      </c>
      <c r="S158" s="1"/>
    </row>
    <row r="159" spans="1:31" x14ac:dyDescent="0.25">
      <c r="A159" s="297" t="s">
        <v>190</v>
      </c>
      <c r="B159" s="294" t="s">
        <v>247</v>
      </c>
      <c r="C159" s="281">
        <v>29000</v>
      </c>
      <c r="D159" s="281">
        <v>29000</v>
      </c>
      <c r="E159" s="281">
        <v>29000</v>
      </c>
      <c r="F159" s="281">
        <v>29000</v>
      </c>
      <c r="G159" s="281">
        <v>29000</v>
      </c>
      <c r="H159" s="281">
        <v>29000</v>
      </c>
      <c r="I159" s="281">
        <v>29000</v>
      </c>
      <c r="J159" s="281">
        <v>29000</v>
      </c>
      <c r="K159" s="636">
        <f>29000+1490</f>
        <v>30490</v>
      </c>
      <c r="L159" s="281">
        <f t="shared" ref="L159" si="185">29000+1490</f>
        <v>30490</v>
      </c>
      <c r="M159" s="636">
        <f>29000+1490+500</f>
        <v>30990</v>
      </c>
      <c r="N159" s="281">
        <f t="shared" ref="N159:P159" si="186">29000+1490+500</f>
        <v>30990</v>
      </c>
      <c r="O159" s="281">
        <f t="shared" si="186"/>
        <v>30990</v>
      </c>
      <c r="P159" s="281">
        <f t="shared" si="186"/>
        <v>30990</v>
      </c>
      <c r="Q159" s="281">
        <v>2827</v>
      </c>
      <c r="R159" s="655">
        <f t="shared" si="147"/>
        <v>9.1222975153275251E-2</v>
      </c>
      <c r="S159" s="27"/>
    </row>
    <row r="160" spans="1:31" x14ac:dyDescent="0.25">
      <c r="A160" s="297" t="s">
        <v>110</v>
      </c>
      <c r="B160" s="431" t="s">
        <v>230</v>
      </c>
      <c r="C160" s="281">
        <v>15800</v>
      </c>
      <c r="D160" s="281">
        <v>15800</v>
      </c>
      <c r="E160" s="281">
        <v>15800</v>
      </c>
      <c r="F160" s="281">
        <v>15800</v>
      </c>
      <c r="G160" s="281">
        <v>15800</v>
      </c>
      <c r="H160" s="281">
        <v>15800</v>
      </c>
      <c r="I160" s="281">
        <v>15800</v>
      </c>
      <c r="J160" s="281">
        <v>15800</v>
      </c>
      <c r="K160" s="281">
        <v>15800</v>
      </c>
      <c r="L160" s="281">
        <v>15800</v>
      </c>
      <c r="M160" s="636">
        <f>15800-500</f>
        <v>15300</v>
      </c>
      <c r="N160" s="281">
        <f t="shared" ref="N160:P160" si="187">15800-500</f>
        <v>15300</v>
      </c>
      <c r="O160" s="281">
        <f t="shared" si="187"/>
        <v>15300</v>
      </c>
      <c r="P160" s="281">
        <f t="shared" si="187"/>
        <v>15300</v>
      </c>
      <c r="Q160" s="281"/>
      <c r="R160" s="655">
        <f t="shared" si="147"/>
        <v>0</v>
      </c>
      <c r="S160" s="27"/>
    </row>
    <row r="161" spans="1:31" x14ac:dyDescent="0.25">
      <c r="A161" s="297" t="s">
        <v>110</v>
      </c>
      <c r="B161" s="650" t="s">
        <v>395</v>
      </c>
      <c r="C161" s="281">
        <v>0</v>
      </c>
      <c r="D161" s="281">
        <v>0</v>
      </c>
      <c r="E161" s="281">
        <v>0</v>
      </c>
      <c r="F161" s="281">
        <v>0</v>
      </c>
      <c r="G161" s="281">
        <v>0</v>
      </c>
      <c r="H161" s="281">
        <v>0</v>
      </c>
      <c r="I161" s="281">
        <v>0</v>
      </c>
      <c r="J161" s="281">
        <v>0</v>
      </c>
      <c r="K161" s="281">
        <v>0</v>
      </c>
      <c r="L161" s="281">
        <v>0</v>
      </c>
      <c r="M161" s="281">
        <v>0</v>
      </c>
      <c r="N161" s="281">
        <v>0</v>
      </c>
      <c r="O161" s="281">
        <v>0</v>
      </c>
      <c r="P161" s="281">
        <v>0</v>
      </c>
      <c r="Q161" s="281"/>
      <c r="R161" s="655">
        <v>0</v>
      </c>
      <c r="S161" s="27"/>
    </row>
    <row r="162" spans="1:31" ht="15.75" thickBot="1" x14ac:dyDescent="0.3">
      <c r="A162" s="299" t="s">
        <v>110</v>
      </c>
      <c r="B162" s="445" t="s">
        <v>239</v>
      </c>
      <c r="C162" s="284">
        <v>30000</v>
      </c>
      <c r="D162" s="284">
        <v>30000</v>
      </c>
      <c r="E162" s="284">
        <v>30000</v>
      </c>
      <c r="F162" s="284">
        <v>30000</v>
      </c>
      <c r="G162" s="284">
        <v>30000</v>
      </c>
      <c r="H162" s="284">
        <v>30000</v>
      </c>
      <c r="I162" s="284">
        <v>30000</v>
      </c>
      <c r="J162" s="284">
        <v>30000</v>
      </c>
      <c r="K162" s="284">
        <v>30000</v>
      </c>
      <c r="L162" s="284">
        <v>30000</v>
      </c>
      <c r="M162" s="284">
        <v>30000</v>
      </c>
      <c r="N162" s="284">
        <v>30000</v>
      </c>
      <c r="O162" s="284">
        <v>30000</v>
      </c>
      <c r="P162" s="284">
        <v>30000</v>
      </c>
      <c r="Q162" s="284">
        <v>7203</v>
      </c>
      <c r="R162" s="655">
        <f t="shared" si="147"/>
        <v>0.24010000000000001</v>
      </c>
      <c r="S162" s="27"/>
    </row>
    <row r="163" spans="1:31" x14ac:dyDescent="0.25">
      <c r="A163" s="300" t="s">
        <v>125</v>
      </c>
      <c r="B163" s="298" t="s">
        <v>192</v>
      </c>
      <c r="C163" s="287">
        <v>0</v>
      </c>
      <c r="D163" s="287">
        <v>0</v>
      </c>
      <c r="E163" s="287">
        <v>0</v>
      </c>
      <c r="F163" s="287">
        <v>0</v>
      </c>
      <c r="G163" s="287">
        <v>0</v>
      </c>
      <c r="H163" s="287">
        <v>0</v>
      </c>
      <c r="I163" s="287">
        <v>0</v>
      </c>
      <c r="J163" s="287">
        <v>0</v>
      </c>
      <c r="K163" s="614">
        <v>2500</v>
      </c>
      <c r="L163" s="287">
        <v>2500</v>
      </c>
      <c r="M163" s="287">
        <v>2500</v>
      </c>
      <c r="N163" s="287">
        <v>2500</v>
      </c>
      <c r="O163" s="287">
        <v>2500</v>
      </c>
      <c r="P163" s="287">
        <v>2500</v>
      </c>
      <c r="Q163" s="287"/>
      <c r="R163" s="655">
        <f t="shared" si="147"/>
        <v>0</v>
      </c>
      <c r="S163" s="27"/>
    </row>
    <row r="164" spans="1:31" x14ac:dyDescent="0.25">
      <c r="A164" s="303" t="s">
        <v>125</v>
      </c>
      <c r="B164" s="304" t="s">
        <v>195</v>
      </c>
      <c r="C164" s="293">
        <v>21000</v>
      </c>
      <c r="D164" s="293">
        <v>21000</v>
      </c>
      <c r="E164" s="293">
        <v>21000</v>
      </c>
      <c r="F164" s="293">
        <v>21000</v>
      </c>
      <c r="G164" s="293">
        <v>21000</v>
      </c>
      <c r="H164" s="293">
        <v>21000</v>
      </c>
      <c r="I164" s="293">
        <v>21000</v>
      </c>
      <c r="J164" s="293">
        <v>21000</v>
      </c>
      <c r="K164" s="293">
        <v>21000</v>
      </c>
      <c r="L164" s="293">
        <v>21000</v>
      </c>
      <c r="M164" s="293">
        <v>21000</v>
      </c>
      <c r="N164" s="293">
        <v>21000</v>
      </c>
      <c r="O164" s="293">
        <v>21000</v>
      </c>
      <c r="P164" s="293">
        <v>21000</v>
      </c>
      <c r="Q164" s="290"/>
      <c r="R164" s="655">
        <f t="shared" si="147"/>
        <v>0</v>
      </c>
      <c r="S164" s="27"/>
    </row>
    <row r="165" spans="1:31" x14ac:dyDescent="0.25">
      <c r="A165" s="303" t="s">
        <v>125</v>
      </c>
      <c r="B165" s="304" t="s">
        <v>240</v>
      </c>
      <c r="C165" s="293">
        <v>8000</v>
      </c>
      <c r="D165" s="293">
        <v>8000</v>
      </c>
      <c r="E165" s="293">
        <v>8000</v>
      </c>
      <c r="F165" s="293">
        <v>8000</v>
      </c>
      <c r="G165" s="293">
        <v>8000</v>
      </c>
      <c r="H165" s="293">
        <v>8000</v>
      </c>
      <c r="I165" s="293">
        <v>8000</v>
      </c>
      <c r="J165" s="293">
        <v>8000</v>
      </c>
      <c r="K165" s="293">
        <v>8000</v>
      </c>
      <c r="L165" s="293">
        <v>8000</v>
      </c>
      <c r="M165" s="293">
        <v>8000</v>
      </c>
      <c r="N165" s="293">
        <v>8000</v>
      </c>
      <c r="O165" s="293">
        <v>8000</v>
      </c>
      <c r="P165" s="293">
        <v>8000</v>
      </c>
      <c r="Q165" s="293"/>
      <c r="R165" s="655">
        <f t="shared" si="147"/>
        <v>0</v>
      </c>
      <c r="S165" s="1"/>
    </row>
    <row r="166" spans="1:31" x14ac:dyDescent="0.25">
      <c r="A166" s="303" t="s">
        <v>127</v>
      </c>
      <c r="B166" s="304" t="s">
        <v>676</v>
      </c>
      <c r="C166" s="293">
        <v>0</v>
      </c>
      <c r="D166" s="293">
        <v>0</v>
      </c>
      <c r="E166" s="293">
        <v>0</v>
      </c>
      <c r="F166" s="293">
        <v>0</v>
      </c>
      <c r="G166" s="293">
        <v>0</v>
      </c>
      <c r="H166" s="293">
        <v>0</v>
      </c>
      <c r="I166" s="293">
        <v>0</v>
      </c>
      <c r="J166" s="293">
        <v>0</v>
      </c>
      <c r="K166" s="293">
        <v>0</v>
      </c>
      <c r="L166" s="293">
        <v>0</v>
      </c>
      <c r="M166" s="293">
        <v>0</v>
      </c>
      <c r="N166" s="293">
        <v>0</v>
      </c>
      <c r="O166" s="293">
        <v>0</v>
      </c>
      <c r="P166" s="293">
        <v>0</v>
      </c>
      <c r="Q166" s="293">
        <v>0</v>
      </c>
      <c r="R166" s="655">
        <v>0</v>
      </c>
      <c r="S166" s="1"/>
    </row>
    <row r="167" spans="1:31" x14ac:dyDescent="0.25">
      <c r="A167" s="303" t="s">
        <v>127</v>
      </c>
      <c r="B167" s="304" t="s">
        <v>238</v>
      </c>
      <c r="C167" s="281">
        <v>100000</v>
      </c>
      <c r="D167" s="281">
        <v>100000</v>
      </c>
      <c r="E167" s="281">
        <v>100000</v>
      </c>
      <c r="F167" s="281">
        <v>100000</v>
      </c>
      <c r="G167" s="281">
        <v>100000</v>
      </c>
      <c r="H167" s="281">
        <v>100000</v>
      </c>
      <c r="I167" s="281">
        <v>100000</v>
      </c>
      <c r="J167" s="281">
        <v>100000</v>
      </c>
      <c r="K167" s="281">
        <v>100000</v>
      </c>
      <c r="L167" s="281">
        <v>100000</v>
      </c>
      <c r="M167" s="636">
        <f>100000+886</f>
        <v>100886</v>
      </c>
      <c r="N167" s="281">
        <f t="shared" ref="N167:P167" si="188">100000+886</f>
        <v>100886</v>
      </c>
      <c r="O167" s="281">
        <f t="shared" si="188"/>
        <v>100886</v>
      </c>
      <c r="P167" s="281">
        <f t="shared" si="188"/>
        <v>100886</v>
      </c>
      <c r="Q167" s="281"/>
      <c r="R167" s="655">
        <f t="shared" si="147"/>
        <v>0</v>
      </c>
      <c r="S167" s="1"/>
    </row>
    <row r="168" spans="1:31" x14ac:dyDescent="0.25">
      <c r="A168" s="303" t="s">
        <v>127</v>
      </c>
      <c r="B168" s="294" t="s">
        <v>267</v>
      </c>
      <c r="C168" s="281">
        <v>200000</v>
      </c>
      <c r="D168" s="281">
        <v>200000</v>
      </c>
      <c r="E168" s="281">
        <v>200000</v>
      </c>
      <c r="F168" s="281">
        <v>200000</v>
      </c>
      <c r="G168" s="281">
        <v>200000</v>
      </c>
      <c r="H168" s="281">
        <v>200000</v>
      </c>
      <c r="I168" s="281">
        <v>200000</v>
      </c>
      <c r="J168" s="281">
        <v>200000</v>
      </c>
      <c r="K168" s="281">
        <v>200000</v>
      </c>
      <c r="L168" s="281">
        <v>200000</v>
      </c>
      <c r="M168" s="281">
        <v>200000</v>
      </c>
      <c r="N168" s="281">
        <v>200000</v>
      </c>
      <c r="O168" s="281">
        <v>200000</v>
      </c>
      <c r="P168" s="281">
        <v>200000</v>
      </c>
      <c r="Q168" s="281"/>
      <c r="R168" s="655">
        <f t="shared" si="147"/>
        <v>0</v>
      </c>
      <c r="S168" s="1"/>
    </row>
    <row r="169" spans="1:31" ht="15.75" thickBot="1" x14ac:dyDescent="0.3">
      <c r="A169" s="299" t="s">
        <v>131</v>
      </c>
      <c r="B169" s="659" t="s">
        <v>394</v>
      </c>
      <c r="C169" s="284">
        <v>0</v>
      </c>
      <c r="D169" s="284">
        <v>0</v>
      </c>
      <c r="E169" s="284">
        <v>0</v>
      </c>
      <c r="F169" s="284">
        <v>0</v>
      </c>
      <c r="G169" s="284">
        <v>0</v>
      </c>
      <c r="H169" s="284">
        <v>0</v>
      </c>
      <c r="I169" s="284">
        <v>0</v>
      </c>
      <c r="J169" s="284">
        <v>0</v>
      </c>
      <c r="K169" s="284">
        <v>0</v>
      </c>
      <c r="L169" s="284">
        <v>0</v>
      </c>
      <c r="M169" s="284">
        <v>0</v>
      </c>
      <c r="N169" s="284">
        <v>0</v>
      </c>
      <c r="O169" s="284">
        <v>0</v>
      </c>
      <c r="P169" s="284">
        <v>0</v>
      </c>
      <c r="Q169" s="284"/>
      <c r="R169" s="655">
        <v>0</v>
      </c>
      <c r="S169" s="1"/>
    </row>
    <row r="170" spans="1:31" x14ac:dyDescent="0.25">
      <c r="A170" s="308" t="s">
        <v>136</v>
      </c>
      <c r="B170" s="275" t="s">
        <v>269</v>
      </c>
      <c r="C170" s="287">
        <v>381000</v>
      </c>
      <c r="D170" s="287">
        <v>381000</v>
      </c>
      <c r="E170" s="287">
        <v>381000</v>
      </c>
      <c r="F170" s="287">
        <v>381000</v>
      </c>
      <c r="G170" s="287">
        <v>381000</v>
      </c>
      <c r="H170" s="287">
        <v>381000</v>
      </c>
      <c r="I170" s="287">
        <v>381000</v>
      </c>
      <c r="J170" s="287">
        <v>381000</v>
      </c>
      <c r="K170" s="287">
        <v>381000</v>
      </c>
      <c r="L170" s="287">
        <v>381000</v>
      </c>
      <c r="M170" s="287">
        <v>381000</v>
      </c>
      <c r="N170" s="287">
        <v>381000</v>
      </c>
      <c r="O170" s="287">
        <v>381000</v>
      </c>
      <c r="P170" s="287">
        <v>381000</v>
      </c>
      <c r="Q170" s="287"/>
      <c r="R170" s="655">
        <f t="shared" si="147"/>
        <v>0</v>
      </c>
      <c r="S170" s="1"/>
    </row>
    <row r="171" spans="1:31" ht="15.75" thickBot="1" x14ac:dyDescent="0.3">
      <c r="A171" s="310" t="s">
        <v>152</v>
      </c>
      <c r="B171" s="446" t="s">
        <v>386</v>
      </c>
      <c r="C171" s="284">
        <f>186800-94000</f>
        <v>92800</v>
      </c>
      <c r="D171" s="284">
        <f>186800-94000</f>
        <v>92800</v>
      </c>
      <c r="E171" s="284">
        <f>186800-94000</f>
        <v>92800</v>
      </c>
      <c r="F171" s="284">
        <f>186800-94000</f>
        <v>92800</v>
      </c>
      <c r="G171" s="632">
        <f>186800-94000+18000</f>
        <v>110800</v>
      </c>
      <c r="H171" s="284">
        <f>186800-94000+18000</f>
        <v>110800</v>
      </c>
      <c r="I171" s="632">
        <f>186800-94000+18000+2500</f>
        <v>113300</v>
      </c>
      <c r="J171" s="284">
        <f>186800-94000+18000+2500</f>
        <v>113300</v>
      </c>
      <c r="K171" s="284">
        <f>186800-94000+18000+2500</f>
        <v>113300</v>
      </c>
      <c r="L171" s="284">
        <f t="shared" ref="L171:P171" si="189">186800-94000+18000+2500</f>
        <v>113300</v>
      </c>
      <c r="M171" s="284">
        <f t="shared" si="189"/>
        <v>113300</v>
      </c>
      <c r="N171" s="284">
        <f t="shared" si="189"/>
        <v>113300</v>
      </c>
      <c r="O171" s="284">
        <f t="shared" si="189"/>
        <v>113300</v>
      </c>
      <c r="P171" s="284">
        <f t="shared" si="189"/>
        <v>113300</v>
      </c>
      <c r="Q171" s="284">
        <v>77787</v>
      </c>
      <c r="R171" s="655">
        <f t="shared" si="147"/>
        <v>0.68655781112091796</v>
      </c>
      <c r="S171" s="1"/>
    </row>
    <row r="172" spans="1:31" x14ac:dyDescent="0.25">
      <c r="A172" s="311"/>
      <c r="B172" s="312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655"/>
      <c r="S172" s="313"/>
    </row>
    <row r="173" spans="1:31" x14ac:dyDescent="0.25">
      <c r="A173" s="314"/>
      <c r="B173" s="315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655"/>
      <c r="S173" s="316"/>
    </row>
    <row r="174" spans="1:31" ht="18.75" thickBot="1" x14ac:dyDescent="0.3">
      <c r="A174" s="834" t="s">
        <v>197</v>
      </c>
      <c r="B174" s="835"/>
      <c r="C174" s="835"/>
      <c r="D174" s="835"/>
      <c r="E174" s="835"/>
      <c r="F174" s="835"/>
      <c r="G174" s="835"/>
      <c r="H174" s="835"/>
      <c r="I174" s="835"/>
      <c r="J174" s="835"/>
      <c r="K174" s="835"/>
      <c r="L174" s="835"/>
      <c r="M174" s="835"/>
      <c r="N174" s="835"/>
      <c r="O174" s="835"/>
      <c r="P174" s="835"/>
      <c r="Q174" s="835"/>
      <c r="R174" s="655"/>
      <c r="S174" s="1"/>
    </row>
    <row r="175" spans="1:31" ht="46.5" customHeight="1" thickBot="1" x14ac:dyDescent="0.3">
      <c r="A175" s="819" t="s">
        <v>1</v>
      </c>
      <c r="B175" s="831"/>
      <c r="C175" s="416" t="s">
        <v>376</v>
      </c>
      <c r="D175" s="416" t="s">
        <v>509</v>
      </c>
      <c r="E175" s="416" t="s">
        <v>511</v>
      </c>
      <c r="F175" s="416" t="s">
        <v>512</v>
      </c>
      <c r="G175" s="416" t="s">
        <v>377</v>
      </c>
      <c r="H175" s="416" t="s">
        <v>541</v>
      </c>
      <c r="I175" s="416" t="s">
        <v>497</v>
      </c>
      <c r="J175" s="416" t="s">
        <v>556</v>
      </c>
      <c r="K175" s="416" t="s">
        <v>561</v>
      </c>
      <c r="L175" s="416" t="s">
        <v>605</v>
      </c>
      <c r="M175" s="416" t="s">
        <v>606</v>
      </c>
      <c r="N175" s="416" t="s">
        <v>678</v>
      </c>
      <c r="O175" s="416" t="s">
        <v>679</v>
      </c>
      <c r="P175" s="416" t="s">
        <v>704</v>
      </c>
      <c r="Q175" s="416" t="s">
        <v>717</v>
      </c>
      <c r="R175" s="655"/>
      <c r="S175" s="1"/>
    </row>
    <row r="176" spans="1:31" ht="16.5" thickBot="1" x14ac:dyDescent="0.3">
      <c r="A176" s="447" t="s">
        <v>198</v>
      </c>
      <c r="B176" s="448"/>
      <c r="C176" s="449">
        <f t="shared" ref="C176:Q176" si="190">SUM(C177:C185)</f>
        <v>586880</v>
      </c>
      <c r="D176" s="449">
        <f t="shared" si="190"/>
        <v>586880</v>
      </c>
      <c r="E176" s="449">
        <f t="shared" si="190"/>
        <v>586880</v>
      </c>
      <c r="F176" s="449">
        <f t="shared" si="190"/>
        <v>589615</v>
      </c>
      <c r="G176" s="449">
        <f t="shared" si="190"/>
        <v>589635</v>
      </c>
      <c r="H176" s="449">
        <f t="shared" si="190"/>
        <v>589635</v>
      </c>
      <c r="I176" s="449">
        <f t="shared" si="190"/>
        <v>589635</v>
      </c>
      <c r="J176" s="449">
        <f t="shared" ref="J176:M176" si="191">SUM(J177:J185)</f>
        <v>589635</v>
      </c>
      <c r="K176" s="449">
        <f t="shared" si="191"/>
        <v>589635</v>
      </c>
      <c r="L176" s="449">
        <f t="shared" si="191"/>
        <v>589635</v>
      </c>
      <c r="M176" s="449">
        <f t="shared" si="191"/>
        <v>590521</v>
      </c>
      <c r="N176" s="449">
        <f t="shared" ref="N176:O176" si="192">SUM(N177:N185)</f>
        <v>590521</v>
      </c>
      <c r="O176" s="449">
        <f t="shared" si="192"/>
        <v>590561</v>
      </c>
      <c r="P176" s="449">
        <f t="shared" ref="P176" si="193">SUM(P177:P185)</f>
        <v>590561</v>
      </c>
      <c r="Q176" s="449">
        <f t="shared" si="190"/>
        <v>144303</v>
      </c>
      <c r="R176" s="655">
        <f t="shared" si="147"/>
        <v>0.2443490172903392</v>
      </c>
      <c r="S176" s="27">
        <f t="shared" ref="S176:AE176" si="194">D176-C176</f>
        <v>0</v>
      </c>
      <c r="T176" s="27">
        <f t="shared" si="194"/>
        <v>0</v>
      </c>
      <c r="U176" s="27">
        <f t="shared" si="194"/>
        <v>2735</v>
      </c>
      <c r="V176" s="27">
        <f t="shared" si="194"/>
        <v>20</v>
      </c>
      <c r="W176" s="27">
        <f t="shared" si="194"/>
        <v>0</v>
      </c>
      <c r="X176" s="27">
        <f t="shared" si="194"/>
        <v>0</v>
      </c>
      <c r="Y176" s="27">
        <f t="shared" si="194"/>
        <v>0</v>
      </c>
      <c r="Z176" s="27">
        <f t="shared" si="194"/>
        <v>0</v>
      </c>
      <c r="AA176" s="27">
        <f t="shared" si="194"/>
        <v>0</v>
      </c>
      <c r="AB176" s="27">
        <f t="shared" si="194"/>
        <v>886</v>
      </c>
      <c r="AC176" s="27">
        <f t="shared" si="194"/>
        <v>0</v>
      </c>
      <c r="AD176" s="27">
        <f t="shared" si="194"/>
        <v>40</v>
      </c>
      <c r="AE176" s="27">
        <f t="shared" si="194"/>
        <v>0</v>
      </c>
    </row>
    <row r="177" spans="1:31" x14ac:dyDescent="0.25">
      <c r="A177" s="317">
        <v>453</v>
      </c>
      <c r="B177" s="318" t="s">
        <v>401</v>
      </c>
      <c r="C177" s="319">
        <v>1500</v>
      </c>
      <c r="D177" s="319">
        <v>1500</v>
      </c>
      <c r="E177" s="319">
        <v>1500</v>
      </c>
      <c r="F177" s="319">
        <v>1500</v>
      </c>
      <c r="G177" s="319">
        <v>1500</v>
      </c>
      <c r="H177" s="319">
        <v>1500</v>
      </c>
      <c r="I177" s="319">
        <v>1500</v>
      </c>
      <c r="J177" s="319">
        <v>1500</v>
      </c>
      <c r="K177" s="319">
        <v>1500</v>
      </c>
      <c r="L177" s="319">
        <v>1500</v>
      </c>
      <c r="M177" s="319">
        <v>1500</v>
      </c>
      <c r="N177" s="319">
        <v>1500</v>
      </c>
      <c r="O177" s="319">
        <v>1500</v>
      </c>
      <c r="P177" s="319">
        <v>1500</v>
      </c>
      <c r="Q177" s="319">
        <v>0</v>
      </c>
      <c r="R177" s="655">
        <f t="shared" si="147"/>
        <v>0</v>
      </c>
      <c r="S177" s="1"/>
    </row>
    <row r="178" spans="1:31" x14ac:dyDescent="0.25">
      <c r="A178" s="317">
        <v>453</v>
      </c>
      <c r="B178" s="318" t="s">
        <v>402</v>
      </c>
      <c r="C178" s="319">
        <v>0</v>
      </c>
      <c r="D178" s="319">
        <v>0</v>
      </c>
      <c r="E178" s="319">
        <v>0</v>
      </c>
      <c r="F178" s="319">
        <v>0</v>
      </c>
      <c r="G178" s="319">
        <v>0</v>
      </c>
      <c r="H178" s="319">
        <v>0</v>
      </c>
      <c r="I178" s="319">
        <v>0</v>
      </c>
      <c r="J178" s="319">
        <v>0</v>
      </c>
      <c r="K178" s="319">
        <v>0</v>
      </c>
      <c r="L178" s="319">
        <v>0</v>
      </c>
      <c r="M178" s="742">
        <v>886</v>
      </c>
      <c r="N178" s="319">
        <v>886</v>
      </c>
      <c r="O178" s="319">
        <v>886</v>
      </c>
      <c r="P178" s="319">
        <v>886</v>
      </c>
      <c r="Q178" s="319">
        <v>0</v>
      </c>
      <c r="R178" s="655">
        <f t="shared" si="147"/>
        <v>0</v>
      </c>
      <c r="S178" s="663"/>
    </row>
    <row r="179" spans="1:31" x14ac:dyDescent="0.25">
      <c r="A179" s="435">
        <v>453</v>
      </c>
      <c r="B179" s="436" t="s">
        <v>318</v>
      </c>
      <c r="C179" s="64">
        <f>3000+19000</f>
        <v>22000</v>
      </c>
      <c r="D179" s="64">
        <f>3000+19000</f>
        <v>22000</v>
      </c>
      <c r="E179" s="64">
        <f>3000+19000</f>
        <v>22000</v>
      </c>
      <c r="F179" s="619">
        <f t="shared" ref="F179:P179" si="195">3000+19000+2155+580</f>
        <v>24735</v>
      </c>
      <c r="G179" s="64">
        <f t="shared" si="195"/>
        <v>24735</v>
      </c>
      <c r="H179" s="64">
        <f t="shared" si="195"/>
        <v>24735</v>
      </c>
      <c r="I179" s="64">
        <f t="shared" si="195"/>
        <v>24735</v>
      </c>
      <c r="J179" s="64">
        <f t="shared" si="195"/>
        <v>24735</v>
      </c>
      <c r="K179" s="64">
        <f t="shared" si="195"/>
        <v>24735</v>
      </c>
      <c r="L179" s="64">
        <f t="shared" si="195"/>
        <v>24735</v>
      </c>
      <c r="M179" s="64">
        <f t="shared" si="195"/>
        <v>24735</v>
      </c>
      <c r="N179" s="64">
        <f t="shared" si="195"/>
        <v>24735</v>
      </c>
      <c r="O179" s="64">
        <f t="shared" si="195"/>
        <v>24735</v>
      </c>
      <c r="P179" s="64">
        <f t="shared" si="195"/>
        <v>24735</v>
      </c>
      <c r="Q179" s="64">
        <f>3000+19571+1400</f>
        <v>23971</v>
      </c>
      <c r="R179" s="655">
        <f t="shared" si="147"/>
        <v>0.96911259349100465</v>
      </c>
      <c r="S179" s="27">
        <f>E179-C179</f>
        <v>0</v>
      </c>
    </row>
    <row r="180" spans="1:31" x14ac:dyDescent="0.25">
      <c r="A180" s="317">
        <v>453</v>
      </c>
      <c r="B180" s="436" t="s">
        <v>324</v>
      </c>
      <c r="C180" s="319">
        <v>64300</v>
      </c>
      <c r="D180" s="319">
        <v>64300</v>
      </c>
      <c r="E180" s="319">
        <v>64300</v>
      </c>
      <c r="F180" s="319">
        <v>64300</v>
      </c>
      <c r="G180" s="319">
        <v>64300</v>
      </c>
      <c r="H180" s="319">
        <v>64300</v>
      </c>
      <c r="I180" s="319">
        <v>64300</v>
      </c>
      <c r="J180" s="319">
        <v>64300</v>
      </c>
      <c r="K180" s="319">
        <v>64300</v>
      </c>
      <c r="L180" s="319">
        <v>64300</v>
      </c>
      <c r="M180" s="319">
        <v>64300</v>
      </c>
      <c r="N180" s="319">
        <v>64300</v>
      </c>
      <c r="O180" s="319">
        <f>64300+40</f>
        <v>64340</v>
      </c>
      <c r="P180" s="319">
        <f>64300+40</f>
        <v>64340</v>
      </c>
      <c r="Q180" s="319">
        <v>51526</v>
      </c>
      <c r="R180" s="655">
        <f t="shared" si="147"/>
        <v>0.80083929126515385</v>
      </c>
      <c r="S180" s="27"/>
    </row>
    <row r="181" spans="1:31" ht="15.75" thickBot="1" x14ac:dyDescent="0.3">
      <c r="A181" s="320">
        <v>453</v>
      </c>
      <c r="B181" s="321" t="s">
        <v>317</v>
      </c>
      <c r="C181" s="322">
        <v>6000</v>
      </c>
      <c r="D181" s="322">
        <v>6000</v>
      </c>
      <c r="E181" s="322">
        <v>6000</v>
      </c>
      <c r="F181" s="322">
        <v>6000</v>
      </c>
      <c r="G181" s="322">
        <v>6000</v>
      </c>
      <c r="H181" s="322">
        <v>6000</v>
      </c>
      <c r="I181" s="322">
        <v>6000</v>
      </c>
      <c r="J181" s="322">
        <v>6000</v>
      </c>
      <c r="K181" s="322">
        <v>6000</v>
      </c>
      <c r="L181" s="322">
        <v>6000</v>
      </c>
      <c r="M181" s="322">
        <v>6000</v>
      </c>
      <c r="N181" s="322">
        <v>6000</v>
      </c>
      <c r="O181" s="322">
        <v>6000</v>
      </c>
      <c r="P181" s="322">
        <v>6000</v>
      </c>
      <c r="Q181" s="322">
        <v>6000</v>
      </c>
      <c r="R181" s="655">
        <f t="shared" si="147"/>
        <v>1</v>
      </c>
      <c r="S181" s="27">
        <f>SUM(C177:C181)</f>
        <v>93800</v>
      </c>
      <c r="U181" s="27"/>
    </row>
    <row r="182" spans="1:31" x14ac:dyDescent="0.25">
      <c r="A182" s="402">
        <v>454</v>
      </c>
      <c r="B182" s="401" t="s">
        <v>200</v>
      </c>
      <c r="C182" s="403">
        <v>492980</v>
      </c>
      <c r="D182" s="403">
        <v>492980</v>
      </c>
      <c r="E182" s="403">
        <v>492980</v>
      </c>
      <c r="F182" s="403">
        <v>492980</v>
      </c>
      <c r="G182" s="403">
        <v>492980</v>
      </c>
      <c r="H182" s="403">
        <v>492980</v>
      </c>
      <c r="I182" s="403">
        <v>492980</v>
      </c>
      <c r="J182" s="403">
        <v>492980</v>
      </c>
      <c r="K182" s="403">
        <v>492980</v>
      </c>
      <c r="L182" s="403">
        <v>492980</v>
      </c>
      <c r="M182" s="403">
        <v>492980</v>
      </c>
      <c r="N182" s="403">
        <v>492980</v>
      </c>
      <c r="O182" s="403">
        <v>492980</v>
      </c>
      <c r="P182" s="403">
        <v>492980</v>
      </c>
      <c r="Q182" s="403">
        <v>62792</v>
      </c>
      <c r="R182" s="655">
        <f t="shared" si="147"/>
        <v>0.12737230719298959</v>
      </c>
      <c r="S182" s="1"/>
    </row>
    <row r="183" spans="1:31" x14ac:dyDescent="0.25">
      <c r="A183" s="435">
        <v>456</v>
      </c>
      <c r="B183" s="436" t="s">
        <v>201</v>
      </c>
      <c r="C183" s="64">
        <v>100</v>
      </c>
      <c r="D183" s="64">
        <v>100</v>
      </c>
      <c r="E183" s="64">
        <v>100</v>
      </c>
      <c r="F183" s="64">
        <v>100</v>
      </c>
      <c r="G183" s="64">
        <v>100</v>
      </c>
      <c r="H183" s="64">
        <v>100</v>
      </c>
      <c r="I183" s="64">
        <v>100</v>
      </c>
      <c r="J183" s="64">
        <v>100</v>
      </c>
      <c r="K183" s="64">
        <v>100</v>
      </c>
      <c r="L183" s="64">
        <v>100</v>
      </c>
      <c r="M183" s="64">
        <v>100</v>
      </c>
      <c r="N183" s="64">
        <v>100</v>
      </c>
      <c r="O183" s="64">
        <v>100</v>
      </c>
      <c r="P183" s="64">
        <v>100</v>
      </c>
      <c r="Q183" s="64">
        <v>14</v>
      </c>
      <c r="R183" s="655">
        <f t="shared" si="147"/>
        <v>0.14000000000000001</v>
      </c>
      <c r="S183" s="27"/>
      <c r="T183" s="464"/>
      <c r="U183" s="464"/>
      <c r="V183" s="464"/>
    </row>
    <row r="184" spans="1:31" ht="15.75" thickBot="1" x14ac:dyDescent="0.3">
      <c r="A184" s="402">
        <v>456</v>
      </c>
      <c r="B184" s="401" t="s">
        <v>380</v>
      </c>
      <c r="C184" s="322">
        <v>0</v>
      </c>
      <c r="D184" s="322">
        <v>0</v>
      </c>
      <c r="E184" s="322">
        <v>0</v>
      </c>
      <c r="F184" s="322">
        <v>0</v>
      </c>
      <c r="G184" s="624">
        <v>20</v>
      </c>
      <c r="H184" s="322">
        <v>20</v>
      </c>
      <c r="I184" s="322">
        <v>20</v>
      </c>
      <c r="J184" s="322">
        <v>20</v>
      </c>
      <c r="K184" s="322">
        <v>20</v>
      </c>
      <c r="L184" s="322">
        <v>20</v>
      </c>
      <c r="M184" s="322">
        <v>20</v>
      </c>
      <c r="N184" s="322">
        <v>20</v>
      </c>
      <c r="O184" s="322">
        <v>20</v>
      </c>
      <c r="P184" s="322">
        <v>20</v>
      </c>
      <c r="Q184" s="322">
        <v>0</v>
      </c>
      <c r="R184" s="655">
        <f t="shared" si="147"/>
        <v>0</v>
      </c>
      <c r="S184" s="27"/>
      <c r="T184" s="27"/>
      <c r="U184" s="27"/>
    </row>
    <row r="185" spans="1:31" ht="15.75" thickBot="1" x14ac:dyDescent="0.3">
      <c r="A185" s="404">
        <v>513</v>
      </c>
      <c r="B185" s="405" t="s">
        <v>202</v>
      </c>
      <c r="C185" s="618">
        <v>0</v>
      </c>
      <c r="D185" s="618">
        <v>0</v>
      </c>
      <c r="E185" s="618">
        <v>0</v>
      </c>
      <c r="F185" s="618">
        <v>0</v>
      </c>
      <c r="G185" s="618">
        <v>0</v>
      </c>
      <c r="H185" s="618">
        <v>0</v>
      </c>
      <c r="I185" s="618">
        <v>0</v>
      </c>
      <c r="J185" s="618">
        <v>0</v>
      </c>
      <c r="K185" s="618">
        <v>0</v>
      </c>
      <c r="L185" s="618">
        <v>0</v>
      </c>
      <c r="M185" s="618">
        <v>0</v>
      </c>
      <c r="N185" s="618">
        <v>0</v>
      </c>
      <c r="O185" s="618">
        <v>0</v>
      </c>
      <c r="P185" s="618">
        <v>0</v>
      </c>
      <c r="Q185" s="618">
        <v>0</v>
      </c>
      <c r="R185" s="655">
        <v>0</v>
      </c>
      <c r="S185" s="27"/>
    </row>
    <row r="186" spans="1:31" ht="16.5" thickBot="1" x14ac:dyDescent="0.3">
      <c r="A186" s="447" t="s">
        <v>203</v>
      </c>
      <c r="B186" s="448"/>
      <c r="C186" s="449">
        <f t="shared" ref="C186:Q186" si="196">SUM(C187:C189)</f>
        <v>1070</v>
      </c>
      <c r="D186" s="449">
        <f t="shared" si="196"/>
        <v>1070</v>
      </c>
      <c r="E186" s="449">
        <f t="shared" si="196"/>
        <v>1070</v>
      </c>
      <c r="F186" s="449">
        <f t="shared" si="196"/>
        <v>1070</v>
      </c>
      <c r="G186" s="449">
        <f t="shared" si="196"/>
        <v>1090</v>
      </c>
      <c r="H186" s="449">
        <f t="shared" si="196"/>
        <v>1090</v>
      </c>
      <c r="I186" s="449">
        <f t="shared" si="196"/>
        <v>1090</v>
      </c>
      <c r="J186" s="449">
        <f t="shared" si="196"/>
        <v>1090</v>
      </c>
      <c r="K186" s="449">
        <f t="shared" si="196"/>
        <v>1090</v>
      </c>
      <c r="L186" s="449">
        <f t="shared" si="196"/>
        <v>1090</v>
      </c>
      <c r="M186" s="449">
        <f t="shared" si="196"/>
        <v>1090</v>
      </c>
      <c r="N186" s="449">
        <f t="shared" ref="N186:O186" si="197">SUM(N187:N189)</f>
        <v>1090</v>
      </c>
      <c r="O186" s="449">
        <f t="shared" si="197"/>
        <v>1090</v>
      </c>
      <c r="P186" s="449">
        <f t="shared" ref="P186" si="198">SUM(P187:P189)</f>
        <v>1090</v>
      </c>
      <c r="Q186" s="449">
        <f t="shared" si="196"/>
        <v>659</v>
      </c>
      <c r="R186" s="655">
        <f t="shared" si="147"/>
        <v>0.6045871559633027</v>
      </c>
      <c r="S186" s="464">
        <f t="shared" ref="S186:AE186" si="199">D186-C186</f>
        <v>0</v>
      </c>
      <c r="T186" s="464">
        <f t="shared" si="199"/>
        <v>0</v>
      </c>
      <c r="U186" s="464">
        <f t="shared" si="199"/>
        <v>0</v>
      </c>
      <c r="V186" s="464">
        <f t="shared" si="199"/>
        <v>20</v>
      </c>
      <c r="W186" s="464">
        <f t="shared" si="199"/>
        <v>0</v>
      </c>
      <c r="X186" s="464">
        <f t="shared" si="199"/>
        <v>0</v>
      </c>
      <c r="Y186" s="464">
        <f t="shared" si="199"/>
        <v>0</v>
      </c>
      <c r="Z186" s="464">
        <f t="shared" si="199"/>
        <v>0</v>
      </c>
      <c r="AA186" s="464">
        <f t="shared" si="199"/>
        <v>0</v>
      </c>
      <c r="AB186" s="464">
        <f t="shared" si="199"/>
        <v>0</v>
      </c>
      <c r="AC186" s="464">
        <f t="shared" si="199"/>
        <v>0</v>
      </c>
      <c r="AD186" s="464">
        <f t="shared" si="199"/>
        <v>0</v>
      </c>
      <c r="AE186" s="464">
        <f t="shared" si="199"/>
        <v>0</v>
      </c>
    </row>
    <row r="187" spans="1:31" ht="15" customHeight="1" x14ac:dyDescent="0.25">
      <c r="A187" s="323">
        <v>819</v>
      </c>
      <c r="B187" s="324" t="s">
        <v>204</v>
      </c>
      <c r="C187" s="205">
        <v>100</v>
      </c>
      <c r="D187" s="205">
        <v>100</v>
      </c>
      <c r="E187" s="205">
        <v>100</v>
      </c>
      <c r="F187" s="205">
        <v>100</v>
      </c>
      <c r="G187" s="205">
        <v>100</v>
      </c>
      <c r="H187" s="205">
        <v>100</v>
      </c>
      <c r="I187" s="205">
        <v>100</v>
      </c>
      <c r="J187" s="205">
        <v>100</v>
      </c>
      <c r="K187" s="205">
        <v>100</v>
      </c>
      <c r="L187" s="205">
        <v>100</v>
      </c>
      <c r="M187" s="205">
        <v>100</v>
      </c>
      <c r="N187" s="205">
        <v>100</v>
      </c>
      <c r="O187" s="205">
        <v>100</v>
      </c>
      <c r="P187" s="205">
        <v>100</v>
      </c>
      <c r="Q187" s="205">
        <v>14</v>
      </c>
      <c r="R187" s="655">
        <f t="shared" si="147"/>
        <v>0.14000000000000001</v>
      </c>
      <c r="S187" s="1"/>
    </row>
    <row r="188" spans="1:31" x14ac:dyDescent="0.25">
      <c r="A188" s="325">
        <v>819</v>
      </c>
      <c r="B188" s="326" t="s">
        <v>379</v>
      </c>
      <c r="C188" s="56">
        <v>0</v>
      </c>
      <c r="D188" s="56">
        <v>0</v>
      </c>
      <c r="E188" s="56">
        <v>0</v>
      </c>
      <c r="F188" s="56">
        <v>0</v>
      </c>
      <c r="G188" s="623">
        <v>20</v>
      </c>
      <c r="H188" s="56">
        <v>20</v>
      </c>
      <c r="I188" s="56">
        <v>20</v>
      </c>
      <c r="J188" s="56">
        <v>20</v>
      </c>
      <c r="K188" s="56">
        <v>20</v>
      </c>
      <c r="L188" s="56">
        <v>20</v>
      </c>
      <c r="M188" s="56">
        <v>20</v>
      </c>
      <c r="N188" s="56">
        <v>20</v>
      </c>
      <c r="O188" s="56">
        <v>20</v>
      </c>
      <c r="P188" s="56">
        <v>20</v>
      </c>
      <c r="Q188" s="56">
        <v>8</v>
      </c>
      <c r="R188" s="655">
        <f t="shared" si="147"/>
        <v>0.4</v>
      </c>
      <c r="S188" s="1"/>
    </row>
    <row r="189" spans="1:31" ht="15.75" thickBot="1" x14ac:dyDescent="0.3">
      <c r="A189" s="327">
        <v>821</v>
      </c>
      <c r="B189" s="328" t="s">
        <v>205</v>
      </c>
      <c r="C189" s="128">
        <v>970</v>
      </c>
      <c r="D189" s="128">
        <v>970</v>
      </c>
      <c r="E189" s="128">
        <v>970</v>
      </c>
      <c r="F189" s="128">
        <v>970</v>
      </c>
      <c r="G189" s="128">
        <v>970</v>
      </c>
      <c r="H189" s="128">
        <v>970</v>
      </c>
      <c r="I189" s="128">
        <v>970</v>
      </c>
      <c r="J189" s="128">
        <v>970</v>
      </c>
      <c r="K189" s="128">
        <v>970</v>
      </c>
      <c r="L189" s="128">
        <v>970</v>
      </c>
      <c r="M189" s="128">
        <v>970</v>
      </c>
      <c r="N189" s="128">
        <v>970</v>
      </c>
      <c r="O189" s="128">
        <v>970</v>
      </c>
      <c r="P189" s="128">
        <v>970</v>
      </c>
      <c r="Q189" s="128">
        <v>637</v>
      </c>
      <c r="R189" s="655">
        <f t="shared" si="147"/>
        <v>0.65670103092783505</v>
      </c>
      <c r="S189" s="1"/>
    </row>
    <row r="190" spans="1:31" x14ac:dyDescent="0.25">
      <c r="A190" s="314"/>
      <c r="B190" s="329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407"/>
      <c r="S190" s="161"/>
    </row>
    <row r="191" spans="1:31" ht="15.75" x14ac:dyDescent="0.25">
      <c r="A191" s="105"/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312"/>
      <c r="P191" s="312"/>
      <c r="Q191" s="312"/>
      <c r="R191" s="312"/>
      <c r="S191" s="312"/>
    </row>
    <row r="192" spans="1:31" ht="18.75" thickBot="1" x14ac:dyDescent="0.3">
      <c r="A192" s="836" t="s">
        <v>206</v>
      </c>
      <c r="B192" s="837"/>
      <c r="C192" s="837"/>
      <c r="D192" s="837"/>
      <c r="E192" s="837"/>
      <c r="F192" s="837"/>
      <c r="G192" s="837"/>
      <c r="H192" s="837"/>
      <c r="I192" s="837"/>
      <c r="J192" s="837"/>
      <c r="K192" s="837"/>
      <c r="L192" s="837"/>
      <c r="M192" s="837"/>
      <c r="N192" s="837"/>
      <c r="O192" s="837"/>
      <c r="P192" s="837"/>
      <c r="Q192" s="837"/>
      <c r="R192" s="104"/>
    </row>
    <row r="193" spans="1:31" ht="40.5" customHeight="1" thickBot="1" x14ac:dyDescent="0.3">
      <c r="A193" s="838" t="s">
        <v>1</v>
      </c>
      <c r="B193" s="839"/>
      <c r="C193" s="416" t="s">
        <v>376</v>
      </c>
      <c r="D193" s="416" t="s">
        <v>509</v>
      </c>
      <c r="E193" s="416" t="s">
        <v>511</v>
      </c>
      <c r="F193" s="416" t="s">
        <v>512</v>
      </c>
      <c r="G193" s="416" t="s">
        <v>377</v>
      </c>
      <c r="H193" s="416" t="s">
        <v>541</v>
      </c>
      <c r="I193" s="416" t="s">
        <v>497</v>
      </c>
      <c r="J193" s="416" t="s">
        <v>556</v>
      </c>
      <c r="K193" s="416" t="s">
        <v>561</v>
      </c>
      <c r="L193" s="416" t="s">
        <v>605</v>
      </c>
      <c r="M193" s="416" t="s">
        <v>606</v>
      </c>
      <c r="N193" s="416" t="s">
        <v>678</v>
      </c>
      <c r="O193" s="416" t="s">
        <v>679</v>
      </c>
      <c r="P193" s="416" t="s">
        <v>704</v>
      </c>
      <c r="Q193" s="416" t="s">
        <v>717</v>
      </c>
      <c r="R193" s="104"/>
    </row>
    <row r="194" spans="1:31" ht="15.75" x14ac:dyDescent="0.25">
      <c r="A194" s="330" t="s">
        <v>207</v>
      </c>
      <c r="B194" s="29"/>
      <c r="C194" s="331">
        <f t="shared" ref="C194:Q194" si="200">C74</f>
        <v>2247848</v>
      </c>
      <c r="D194" s="331">
        <f t="shared" si="200"/>
        <v>2247848</v>
      </c>
      <c r="E194" s="331">
        <f t="shared" si="200"/>
        <v>2274078</v>
      </c>
      <c r="F194" s="331">
        <f t="shared" si="200"/>
        <v>2280478</v>
      </c>
      <c r="G194" s="331">
        <f t="shared" si="200"/>
        <v>2286478</v>
      </c>
      <c r="H194" s="331">
        <f t="shared" si="200"/>
        <v>2290416</v>
      </c>
      <c r="I194" s="331">
        <f t="shared" si="200"/>
        <v>2301316</v>
      </c>
      <c r="J194" s="331">
        <f t="shared" si="200"/>
        <v>2307537</v>
      </c>
      <c r="K194" s="331">
        <f t="shared" si="200"/>
        <v>2307880</v>
      </c>
      <c r="L194" s="331">
        <f t="shared" si="200"/>
        <v>2309330</v>
      </c>
      <c r="M194" s="331">
        <f t="shared" si="200"/>
        <v>2315530</v>
      </c>
      <c r="N194" s="331">
        <f t="shared" ref="N194:O194" si="201">N74</f>
        <v>2335186</v>
      </c>
      <c r="O194" s="331">
        <f t="shared" si="201"/>
        <v>2351923</v>
      </c>
      <c r="P194" s="331">
        <f t="shared" ref="P194" si="202">P74</f>
        <v>2351923</v>
      </c>
      <c r="Q194" s="331">
        <f t="shared" si="200"/>
        <v>1573430</v>
      </c>
      <c r="R194" s="104"/>
    </row>
    <row r="195" spans="1:31" ht="15.75" x14ac:dyDescent="0.25">
      <c r="A195" s="332" t="s">
        <v>208</v>
      </c>
      <c r="B195" s="333"/>
      <c r="C195" s="334">
        <f t="shared" ref="C195:Q195" si="203">C139</f>
        <v>2340678</v>
      </c>
      <c r="D195" s="334">
        <f t="shared" si="203"/>
        <v>2340678</v>
      </c>
      <c r="E195" s="334">
        <f t="shared" si="203"/>
        <v>2366908</v>
      </c>
      <c r="F195" s="334">
        <f t="shared" si="203"/>
        <v>2376043</v>
      </c>
      <c r="G195" s="334">
        <f t="shared" si="203"/>
        <v>2382043</v>
      </c>
      <c r="H195" s="334">
        <f t="shared" si="203"/>
        <v>2385981</v>
      </c>
      <c r="I195" s="334">
        <f t="shared" si="203"/>
        <v>2396881</v>
      </c>
      <c r="J195" s="334">
        <f t="shared" si="203"/>
        <v>2403102</v>
      </c>
      <c r="K195" s="334">
        <f t="shared" si="203"/>
        <v>2403445</v>
      </c>
      <c r="L195" s="334">
        <f t="shared" si="203"/>
        <v>2404895</v>
      </c>
      <c r="M195" s="334">
        <f t="shared" si="203"/>
        <v>2411095</v>
      </c>
      <c r="N195" s="334">
        <f t="shared" ref="N195:O195" si="204">N139</f>
        <v>2430751</v>
      </c>
      <c r="O195" s="334">
        <f t="shared" si="204"/>
        <v>2447528</v>
      </c>
      <c r="P195" s="334">
        <f t="shared" ref="P195" si="205">P139</f>
        <v>2447528</v>
      </c>
      <c r="Q195" s="334">
        <f t="shared" si="203"/>
        <v>1404068</v>
      </c>
      <c r="R195" s="104"/>
    </row>
    <row r="196" spans="1:31" ht="15.75" x14ac:dyDescent="0.25">
      <c r="A196" s="840" t="s">
        <v>209</v>
      </c>
      <c r="B196" s="841"/>
      <c r="C196" s="335">
        <f t="shared" ref="C196:Q196" si="206">C194-C195</f>
        <v>-92830</v>
      </c>
      <c r="D196" s="335">
        <f t="shared" si="206"/>
        <v>-92830</v>
      </c>
      <c r="E196" s="335">
        <f t="shared" si="206"/>
        <v>-92830</v>
      </c>
      <c r="F196" s="335">
        <f t="shared" si="206"/>
        <v>-95565</v>
      </c>
      <c r="G196" s="335">
        <f t="shared" si="206"/>
        <v>-95565</v>
      </c>
      <c r="H196" s="335">
        <f t="shared" si="206"/>
        <v>-95565</v>
      </c>
      <c r="I196" s="335">
        <f t="shared" si="206"/>
        <v>-95565</v>
      </c>
      <c r="J196" s="335">
        <f t="shared" si="206"/>
        <v>-95565</v>
      </c>
      <c r="K196" s="335">
        <f t="shared" si="206"/>
        <v>-95565</v>
      </c>
      <c r="L196" s="335">
        <f t="shared" si="206"/>
        <v>-95565</v>
      </c>
      <c r="M196" s="335">
        <f t="shared" si="206"/>
        <v>-95565</v>
      </c>
      <c r="N196" s="335">
        <f t="shared" ref="N196:O196" si="207">N194-N195</f>
        <v>-95565</v>
      </c>
      <c r="O196" s="335">
        <f t="shared" si="207"/>
        <v>-95605</v>
      </c>
      <c r="P196" s="335">
        <f t="shared" ref="P196" si="208">P194-P195</f>
        <v>-95605</v>
      </c>
      <c r="Q196" s="335">
        <f t="shared" si="206"/>
        <v>169362</v>
      </c>
      <c r="R196" s="104"/>
    </row>
    <row r="197" spans="1:31" ht="15.75" x14ac:dyDescent="0.25">
      <c r="A197" s="332" t="s">
        <v>210</v>
      </c>
      <c r="B197" s="18"/>
      <c r="C197" s="334">
        <f t="shared" ref="C197:Q197" si="209">C144</f>
        <v>774720</v>
      </c>
      <c r="D197" s="334">
        <f t="shared" si="209"/>
        <v>774720</v>
      </c>
      <c r="E197" s="334">
        <f t="shared" si="209"/>
        <v>774720</v>
      </c>
      <c r="F197" s="334">
        <f t="shared" si="209"/>
        <v>774720</v>
      </c>
      <c r="G197" s="334">
        <f t="shared" si="209"/>
        <v>778710</v>
      </c>
      <c r="H197" s="334">
        <f t="shared" si="209"/>
        <v>778710</v>
      </c>
      <c r="I197" s="334">
        <f t="shared" si="209"/>
        <v>781210</v>
      </c>
      <c r="J197" s="334">
        <f t="shared" si="209"/>
        <v>781210</v>
      </c>
      <c r="K197" s="334">
        <f t="shared" si="209"/>
        <v>781210</v>
      </c>
      <c r="L197" s="334">
        <f t="shared" si="209"/>
        <v>781210</v>
      </c>
      <c r="M197" s="334">
        <f t="shared" si="209"/>
        <v>781210</v>
      </c>
      <c r="N197" s="334">
        <f t="shared" ref="N197:O197" si="210">N144</f>
        <v>781210</v>
      </c>
      <c r="O197" s="334">
        <f t="shared" si="210"/>
        <v>781210</v>
      </c>
      <c r="P197" s="334">
        <f t="shared" ref="P197" si="211">P144</f>
        <v>781210</v>
      </c>
      <c r="Q197" s="334">
        <f t="shared" si="209"/>
        <v>49456</v>
      </c>
      <c r="R197" s="104"/>
    </row>
    <row r="198" spans="1:31" ht="15.75" x14ac:dyDescent="0.25">
      <c r="A198" s="332" t="s">
        <v>211</v>
      </c>
      <c r="B198" s="18"/>
      <c r="C198" s="20">
        <f t="shared" ref="C198:Q198" si="212">C154</f>
        <v>1267700</v>
      </c>
      <c r="D198" s="20">
        <f t="shared" si="212"/>
        <v>1267700</v>
      </c>
      <c r="E198" s="20">
        <f t="shared" si="212"/>
        <v>1267700</v>
      </c>
      <c r="F198" s="20">
        <f t="shared" si="212"/>
        <v>1267700</v>
      </c>
      <c r="G198" s="20">
        <f t="shared" si="212"/>
        <v>1267700</v>
      </c>
      <c r="H198" s="20">
        <f t="shared" si="212"/>
        <v>1267700</v>
      </c>
      <c r="I198" s="20">
        <f t="shared" si="212"/>
        <v>1270200</v>
      </c>
      <c r="J198" s="20">
        <f t="shared" si="212"/>
        <v>1270200</v>
      </c>
      <c r="K198" s="20">
        <f t="shared" si="212"/>
        <v>1274190</v>
      </c>
      <c r="L198" s="20">
        <f t="shared" si="212"/>
        <v>1274190</v>
      </c>
      <c r="M198" s="20">
        <f t="shared" si="212"/>
        <v>1275076</v>
      </c>
      <c r="N198" s="20">
        <f t="shared" ref="N198:O198" si="213">N154</f>
        <v>1275076</v>
      </c>
      <c r="O198" s="20">
        <f t="shared" si="213"/>
        <v>1275076</v>
      </c>
      <c r="P198" s="20">
        <f t="shared" ref="P198" si="214">P154</f>
        <v>1275076</v>
      </c>
      <c r="Q198" s="20">
        <f t="shared" si="212"/>
        <v>108138</v>
      </c>
      <c r="R198" s="104"/>
    </row>
    <row r="199" spans="1:31" ht="15.75" x14ac:dyDescent="0.25">
      <c r="A199" s="840" t="s">
        <v>212</v>
      </c>
      <c r="B199" s="841"/>
      <c r="C199" s="335">
        <f t="shared" ref="C199:Q199" si="215">C197-C198</f>
        <v>-492980</v>
      </c>
      <c r="D199" s="335">
        <f t="shared" si="215"/>
        <v>-492980</v>
      </c>
      <c r="E199" s="335">
        <f t="shared" si="215"/>
        <v>-492980</v>
      </c>
      <c r="F199" s="335">
        <f t="shared" si="215"/>
        <v>-492980</v>
      </c>
      <c r="G199" s="335">
        <f t="shared" si="215"/>
        <v>-488990</v>
      </c>
      <c r="H199" s="335">
        <f t="shared" si="215"/>
        <v>-488990</v>
      </c>
      <c r="I199" s="335">
        <f t="shared" si="215"/>
        <v>-488990</v>
      </c>
      <c r="J199" s="335">
        <f t="shared" si="215"/>
        <v>-488990</v>
      </c>
      <c r="K199" s="335">
        <f t="shared" si="215"/>
        <v>-492980</v>
      </c>
      <c r="L199" s="335">
        <f t="shared" si="215"/>
        <v>-492980</v>
      </c>
      <c r="M199" s="335">
        <f t="shared" si="215"/>
        <v>-493866</v>
      </c>
      <c r="N199" s="335">
        <f t="shared" ref="N199:O199" si="216">N197-N198</f>
        <v>-493866</v>
      </c>
      <c r="O199" s="335">
        <f t="shared" si="216"/>
        <v>-493866</v>
      </c>
      <c r="P199" s="335">
        <f t="shared" ref="P199" si="217">P197-P198</f>
        <v>-493866</v>
      </c>
      <c r="Q199" s="335">
        <f t="shared" si="215"/>
        <v>-58682</v>
      </c>
      <c r="R199" s="104"/>
    </row>
    <row r="200" spans="1:31" ht="15.75" x14ac:dyDescent="0.25">
      <c r="A200" s="336" t="s">
        <v>213</v>
      </c>
      <c r="B200" s="337"/>
      <c r="C200" s="338">
        <f t="shared" ref="C200:Q200" si="218">C176</f>
        <v>586880</v>
      </c>
      <c r="D200" s="338">
        <f t="shared" si="218"/>
        <v>586880</v>
      </c>
      <c r="E200" s="338">
        <f t="shared" si="218"/>
        <v>586880</v>
      </c>
      <c r="F200" s="338">
        <f t="shared" si="218"/>
        <v>589615</v>
      </c>
      <c r="G200" s="338">
        <f t="shared" si="218"/>
        <v>589635</v>
      </c>
      <c r="H200" s="338">
        <f t="shared" si="218"/>
        <v>589635</v>
      </c>
      <c r="I200" s="338">
        <f t="shared" si="218"/>
        <v>589635</v>
      </c>
      <c r="J200" s="338">
        <f t="shared" si="218"/>
        <v>589635</v>
      </c>
      <c r="K200" s="338">
        <f t="shared" si="218"/>
        <v>589635</v>
      </c>
      <c r="L200" s="338">
        <f t="shared" si="218"/>
        <v>589635</v>
      </c>
      <c r="M200" s="338">
        <f t="shared" si="218"/>
        <v>590521</v>
      </c>
      <c r="N200" s="338">
        <f t="shared" ref="N200:O200" si="219">N176</f>
        <v>590521</v>
      </c>
      <c r="O200" s="338">
        <f t="shared" si="219"/>
        <v>590561</v>
      </c>
      <c r="P200" s="338">
        <f t="shared" ref="P200" si="220">P176</f>
        <v>590561</v>
      </c>
      <c r="Q200" s="338">
        <f t="shared" si="218"/>
        <v>144303</v>
      </c>
      <c r="R200" s="104"/>
    </row>
    <row r="201" spans="1:31" ht="15.75" x14ac:dyDescent="0.25">
      <c r="A201" s="336" t="s">
        <v>214</v>
      </c>
      <c r="B201" s="337"/>
      <c r="C201" s="338">
        <f t="shared" ref="C201:Q201" si="221">C186</f>
        <v>1070</v>
      </c>
      <c r="D201" s="338">
        <f t="shared" si="221"/>
        <v>1070</v>
      </c>
      <c r="E201" s="338">
        <f t="shared" si="221"/>
        <v>1070</v>
      </c>
      <c r="F201" s="338">
        <f t="shared" si="221"/>
        <v>1070</v>
      </c>
      <c r="G201" s="338">
        <f t="shared" si="221"/>
        <v>1090</v>
      </c>
      <c r="H201" s="338">
        <f t="shared" si="221"/>
        <v>1090</v>
      </c>
      <c r="I201" s="338">
        <f t="shared" si="221"/>
        <v>1090</v>
      </c>
      <c r="J201" s="338">
        <f t="shared" si="221"/>
        <v>1090</v>
      </c>
      <c r="K201" s="338">
        <f t="shared" si="221"/>
        <v>1090</v>
      </c>
      <c r="L201" s="338">
        <f t="shared" si="221"/>
        <v>1090</v>
      </c>
      <c r="M201" s="338">
        <f t="shared" si="221"/>
        <v>1090</v>
      </c>
      <c r="N201" s="338">
        <f t="shared" ref="N201:O201" si="222">N186</f>
        <v>1090</v>
      </c>
      <c r="O201" s="338">
        <f t="shared" si="222"/>
        <v>1090</v>
      </c>
      <c r="P201" s="338">
        <f t="shared" ref="P201" si="223">P186</f>
        <v>1090</v>
      </c>
      <c r="Q201" s="338">
        <f t="shared" si="221"/>
        <v>659</v>
      </c>
      <c r="R201" s="104"/>
    </row>
    <row r="202" spans="1:31" ht="16.5" thickBot="1" x14ac:dyDescent="0.3">
      <c r="A202" s="825" t="s">
        <v>215</v>
      </c>
      <c r="B202" s="826"/>
      <c r="C202" s="339">
        <f t="shared" ref="C202:Q202" si="224">C200-C201</f>
        <v>585810</v>
      </c>
      <c r="D202" s="339">
        <f t="shared" si="224"/>
        <v>585810</v>
      </c>
      <c r="E202" s="339">
        <f t="shared" si="224"/>
        <v>585810</v>
      </c>
      <c r="F202" s="339">
        <f t="shared" si="224"/>
        <v>588545</v>
      </c>
      <c r="G202" s="339">
        <f t="shared" si="224"/>
        <v>588545</v>
      </c>
      <c r="H202" s="339">
        <f t="shared" si="224"/>
        <v>588545</v>
      </c>
      <c r="I202" s="339">
        <f t="shared" si="224"/>
        <v>588545</v>
      </c>
      <c r="J202" s="339">
        <f t="shared" si="224"/>
        <v>588545</v>
      </c>
      <c r="K202" s="339">
        <f t="shared" si="224"/>
        <v>588545</v>
      </c>
      <c r="L202" s="339">
        <f t="shared" si="224"/>
        <v>588545</v>
      </c>
      <c r="M202" s="339">
        <f t="shared" si="224"/>
        <v>589431</v>
      </c>
      <c r="N202" s="339">
        <f t="shared" ref="N202:O202" si="225">N200-N201</f>
        <v>589431</v>
      </c>
      <c r="O202" s="339">
        <f t="shared" si="225"/>
        <v>589471</v>
      </c>
      <c r="P202" s="339">
        <f t="shared" ref="P202" si="226">P200-P201</f>
        <v>589471</v>
      </c>
      <c r="Q202" s="339">
        <f t="shared" si="224"/>
        <v>143644</v>
      </c>
      <c r="R202" s="104"/>
    </row>
    <row r="203" spans="1:31" ht="16.5" thickBot="1" x14ac:dyDescent="0.3">
      <c r="A203" s="340" t="s">
        <v>216</v>
      </c>
      <c r="B203" s="341"/>
      <c r="C203" s="342">
        <f t="shared" ref="C203:Q203" si="227">C196+C199+C202</f>
        <v>0</v>
      </c>
      <c r="D203" s="342">
        <f t="shared" si="227"/>
        <v>0</v>
      </c>
      <c r="E203" s="342">
        <f t="shared" si="227"/>
        <v>0</v>
      </c>
      <c r="F203" s="342">
        <f t="shared" si="227"/>
        <v>0</v>
      </c>
      <c r="G203" s="342">
        <f t="shared" si="227"/>
        <v>3990</v>
      </c>
      <c r="H203" s="342">
        <f t="shared" si="227"/>
        <v>3990</v>
      </c>
      <c r="I203" s="342">
        <f t="shared" si="227"/>
        <v>3990</v>
      </c>
      <c r="J203" s="342">
        <f t="shared" si="227"/>
        <v>3990</v>
      </c>
      <c r="K203" s="342">
        <f t="shared" si="227"/>
        <v>0</v>
      </c>
      <c r="L203" s="342">
        <f t="shared" si="227"/>
        <v>0</v>
      </c>
      <c r="M203" s="342">
        <f t="shared" si="227"/>
        <v>0</v>
      </c>
      <c r="N203" s="342">
        <f t="shared" ref="N203:O203" si="228">N196+N199+N202</f>
        <v>0</v>
      </c>
      <c r="O203" s="342">
        <f t="shared" si="228"/>
        <v>0</v>
      </c>
      <c r="P203" s="342">
        <f t="shared" ref="P203" si="229">P196+P199+P202</f>
        <v>0</v>
      </c>
      <c r="Q203" s="342">
        <f t="shared" si="227"/>
        <v>254324</v>
      </c>
      <c r="R203" s="104"/>
    </row>
    <row r="204" spans="1:3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04"/>
    </row>
    <row r="205" spans="1:31" x14ac:dyDescent="0.25">
      <c r="A205" s="1"/>
      <c r="B205" s="343" t="s">
        <v>332</v>
      </c>
      <c r="C205" s="27">
        <f t="shared" ref="C205:Q206" si="230">C194+C197+C200</f>
        <v>3609448</v>
      </c>
      <c r="D205" s="27">
        <f t="shared" si="230"/>
        <v>3609448</v>
      </c>
      <c r="E205" s="27">
        <f t="shared" si="230"/>
        <v>3635678</v>
      </c>
      <c r="F205" s="27">
        <f t="shared" si="230"/>
        <v>3644813</v>
      </c>
      <c r="G205" s="27">
        <f t="shared" si="230"/>
        <v>3654823</v>
      </c>
      <c r="H205" s="27">
        <f t="shared" si="230"/>
        <v>3658761</v>
      </c>
      <c r="I205" s="27">
        <f t="shared" si="230"/>
        <v>3672161</v>
      </c>
      <c r="J205" s="27">
        <f t="shared" si="230"/>
        <v>3678382</v>
      </c>
      <c r="K205" s="27">
        <f t="shared" si="230"/>
        <v>3678725</v>
      </c>
      <c r="L205" s="27">
        <f t="shared" si="230"/>
        <v>3680175</v>
      </c>
      <c r="M205" s="27">
        <f t="shared" si="230"/>
        <v>3687261</v>
      </c>
      <c r="N205" s="27">
        <f t="shared" ref="N205:O205" si="231">N194+N197+N200</f>
        <v>3706917</v>
      </c>
      <c r="O205" s="27">
        <f t="shared" si="231"/>
        <v>3723694</v>
      </c>
      <c r="P205" s="27">
        <f t="shared" ref="P205" si="232">P194+P197+P200</f>
        <v>3723694</v>
      </c>
      <c r="Q205" s="27">
        <f t="shared" si="230"/>
        <v>1767189</v>
      </c>
      <c r="R205" s="104"/>
      <c r="S205" s="663">
        <f t="shared" ref="S205:AE206" si="233">D205-C205</f>
        <v>0</v>
      </c>
      <c r="T205" s="663">
        <f t="shared" si="233"/>
        <v>26230</v>
      </c>
      <c r="U205" s="663">
        <f t="shared" si="233"/>
        <v>9135</v>
      </c>
      <c r="V205" s="663">
        <f t="shared" si="233"/>
        <v>10010</v>
      </c>
      <c r="W205" s="663">
        <f t="shared" si="233"/>
        <v>3938</v>
      </c>
      <c r="X205" s="663">
        <f t="shared" si="233"/>
        <v>13400</v>
      </c>
      <c r="Y205" s="663">
        <f t="shared" si="233"/>
        <v>6221</v>
      </c>
      <c r="Z205" s="663">
        <f t="shared" si="233"/>
        <v>343</v>
      </c>
      <c r="AA205" s="663">
        <f t="shared" si="233"/>
        <v>1450</v>
      </c>
      <c r="AB205" s="663">
        <f t="shared" si="233"/>
        <v>7086</v>
      </c>
      <c r="AC205" s="663">
        <f t="shared" si="233"/>
        <v>19656</v>
      </c>
      <c r="AD205" s="663">
        <f t="shared" si="233"/>
        <v>16777</v>
      </c>
      <c r="AE205" s="663">
        <f t="shared" si="233"/>
        <v>0</v>
      </c>
    </row>
    <row r="206" spans="1:31" x14ac:dyDescent="0.25">
      <c r="A206" s="1"/>
      <c r="B206" s="343" t="s">
        <v>333</v>
      </c>
      <c r="C206" s="27">
        <f t="shared" si="230"/>
        <v>3609448</v>
      </c>
      <c r="D206" s="27">
        <f t="shared" si="230"/>
        <v>3609448</v>
      </c>
      <c r="E206" s="27">
        <f t="shared" si="230"/>
        <v>3635678</v>
      </c>
      <c r="F206" s="27">
        <f t="shared" si="230"/>
        <v>3644813</v>
      </c>
      <c r="G206" s="27">
        <f t="shared" si="230"/>
        <v>3650833</v>
      </c>
      <c r="H206" s="27">
        <f t="shared" si="230"/>
        <v>3654771</v>
      </c>
      <c r="I206" s="27">
        <f t="shared" si="230"/>
        <v>3668171</v>
      </c>
      <c r="J206" s="27">
        <f t="shared" si="230"/>
        <v>3674392</v>
      </c>
      <c r="K206" s="27">
        <f t="shared" si="230"/>
        <v>3678725</v>
      </c>
      <c r="L206" s="27">
        <f t="shared" si="230"/>
        <v>3680175</v>
      </c>
      <c r="M206" s="27">
        <f t="shared" si="230"/>
        <v>3687261</v>
      </c>
      <c r="N206" s="27">
        <f t="shared" ref="N206:O206" si="234">N195+N198+N201</f>
        <v>3706917</v>
      </c>
      <c r="O206" s="27">
        <f t="shared" si="234"/>
        <v>3723694</v>
      </c>
      <c r="P206" s="27">
        <f t="shared" ref="P206" si="235">P195+P198+P201</f>
        <v>3723694</v>
      </c>
      <c r="Q206" s="27">
        <f t="shared" si="230"/>
        <v>1512865</v>
      </c>
      <c r="R206" s="104"/>
      <c r="S206" s="663">
        <f t="shared" si="233"/>
        <v>0</v>
      </c>
      <c r="T206" s="663">
        <f t="shared" si="233"/>
        <v>26230</v>
      </c>
      <c r="U206" s="663">
        <f t="shared" si="233"/>
        <v>9135</v>
      </c>
      <c r="V206" s="663">
        <f t="shared" si="233"/>
        <v>6020</v>
      </c>
      <c r="W206" s="663">
        <f t="shared" si="233"/>
        <v>3938</v>
      </c>
      <c r="X206" s="663">
        <f t="shared" si="233"/>
        <v>13400</v>
      </c>
      <c r="Y206" s="663">
        <f t="shared" si="233"/>
        <v>6221</v>
      </c>
      <c r="Z206" s="663">
        <f t="shared" si="233"/>
        <v>4333</v>
      </c>
      <c r="AA206" s="663">
        <f t="shared" si="233"/>
        <v>1450</v>
      </c>
      <c r="AB206" s="663">
        <f t="shared" si="233"/>
        <v>7086</v>
      </c>
      <c r="AC206" s="663">
        <f t="shared" si="233"/>
        <v>19656</v>
      </c>
      <c r="AD206" s="663">
        <f t="shared" si="233"/>
        <v>16777</v>
      </c>
      <c r="AE206" s="663">
        <f t="shared" si="233"/>
        <v>0</v>
      </c>
    </row>
    <row r="207" spans="1:31" x14ac:dyDescent="0.25">
      <c r="A207" s="1"/>
      <c r="B207" s="343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104"/>
      <c r="S207" s="663"/>
      <c r="T207" s="663"/>
      <c r="U207" s="663"/>
      <c r="V207" s="663"/>
      <c r="W207" s="663"/>
      <c r="X207" s="663"/>
      <c r="Y207" s="663"/>
      <c r="Z207" s="663"/>
      <c r="AA207" s="663"/>
      <c r="AB207" s="663"/>
      <c r="AC207" s="663"/>
      <c r="AD207" s="663"/>
      <c r="AE207" s="663"/>
    </row>
    <row r="208" spans="1:31" x14ac:dyDescent="0.25">
      <c r="A208" s="1"/>
      <c r="B208" s="343" t="s">
        <v>403</v>
      </c>
      <c r="C208" s="27">
        <f t="shared" ref="C208:Q208" si="236">C205-C73</f>
        <v>3593528</v>
      </c>
      <c r="D208" s="27">
        <f t="shared" si="236"/>
        <v>3593528</v>
      </c>
      <c r="E208" s="27">
        <f t="shared" si="236"/>
        <v>3619758</v>
      </c>
      <c r="F208" s="27">
        <f t="shared" si="236"/>
        <v>3628893</v>
      </c>
      <c r="G208" s="27">
        <f t="shared" si="236"/>
        <v>3638903</v>
      </c>
      <c r="H208" s="27">
        <f t="shared" si="236"/>
        <v>3642841</v>
      </c>
      <c r="I208" s="27">
        <f t="shared" si="236"/>
        <v>3656241</v>
      </c>
      <c r="J208" s="27">
        <f t="shared" si="236"/>
        <v>3662462</v>
      </c>
      <c r="K208" s="27">
        <f t="shared" si="236"/>
        <v>3662805</v>
      </c>
      <c r="L208" s="27">
        <f t="shared" si="236"/>
        <v>3664255</v>
      </c>
      <c r="M208" s="27">
        <f t="shared" si="236"/>
        <v>3671341</v>
      </c>
      <c r="N208" s="27">
        <f t="shared" ref="N208:O208" si="237">N205-N73</f>
        <v>3690997</v>
      </c>
      <c r="O208" s="27">
        <f t="shared" si="237"/>
        <v>3707774</v>
      </c>
      <c r="P208" s="27">
        <f t="shared" ref="P208" si="238">P205-P73</f>
        <v>3707774</v>
      </c>
      <c r="Q208" s="27">
        <f t="shared" si="236"/>
        <v>1760698</v>
      </c>
      <c r="R208" s="104"/>
      <c r="S208" s="663">
        <f t="shared" ref="S208:AE209" si="239">D208-C208</f>
        <v>0</v>
      </c>
      <c r="T208" s="663">
        <f t="shared" si="239"/>
        <v>26230</v>
      </c>
      <c r="U208" s="663">
        <f t="shared" si="239"/>
        <v>9135</v>
      </c>
      <c r="V208" s="663">
        <f t="shared" si="239"/>
        <v>10010</v>
      </c>
      <c r="W208" s="663">
        <f t="shared" si="239"/>
        <v>3938</v>
      </c>
      <c r="X208" s="663">
        <f t="shared" si="239"/>
        <v>13400</v>
      </c>
      <c r="Y208" s="663">
        <f t="shared" si="239"/>
        <v>6221</v>
      </c>
      <c r="Z208" s="663">
        <f t="shared" si="239"/>
        <v>343</v>
      </c>
      <c r="AA208" s="663">
        <f t="shared" si="239"/>
        <v>1450</v>
      </c>
      <c r="AB208" s="663">
        <f t="shared" si="239"/>
        <v>7086</v>
      </c>
      <c r="AC208" s="663">
        <f t="shared" si="239"/>
        <v>19656</v>
      </c>
      <c r="AD208" s="663">
        <f t="shared" si="239"/>
        <v>16777</v>
      </c>
      <c r="AE208" s="663">
        <f t="shared" si="239"/>
        <v>0</v>
      </c>
    </row>
    <row r="209" spans="1:31" x14ac:dyDescent="0.25">
      <c r="A209" s="1"/>
      <c r="B209" s="343" t="s">
        <v>404</v>
      </c>
      <c r="C209" s="27">
        <f t="shared" ref="C209:Q209" si="240">C206-C138</f>
        <v>2773338</v>
      </c>
      <c r="D209" s="27">
        <f t="shared" si="240"/>
        <v>2773338</v>
      </c>
      <c r="E209" s="27">
        <f t="shared" si="240"/>
        <v>2777749</v>
      </c>
      <c r="F209" s="27">
        <f t="shared" si="240"/>
        <v>2785484</v>
      </c>
      <c r="G209" s="27">
        <f t="shared" si="240"/>
        <v>2791504</v>
      </c>
      <c r="H209" s="27">
        <f t="shared" si="240"/>
        <v>2794704</v>
      </c>
      <c r="I209" s="27">
        <f t="shared" si="240"/>
        <v>2808104</v>
      </c>
      <c r="J209" s="27">
        <f t="shared" si="240"/>
        <v>2811104</v>
      </c>
      <c r="K209" s="27">
        <f t="shared" si="240"/>
        <v>2815437</v>
      </c>
      <c r="L209" s="27">
        <f t="shared" si="240"/>
        <v>2816637</v>
      </c>
      <c r="M209" s="27">
        <f t="shared" si="240"/>
        <v>2823723</v>
      </c>
      <c r="N209" s="27">
        <f t="shared" ref="N209:O209" si="241">N206-N138</f>
        <v>2837325</v>
      </c>
      <c r="O209" s="27">
        <f t="shared" si="241"/>
        <v>2848102</v>
      </c>
      <c r="P209" s="27">
        <f t="shared" ref="P209" si="242">P206-P138</f>
        <v>2848102</v>
      </c>
      <c r="Q209" s="27">
        <f t="shared" si="240"/>
        <v>890399</v>
      </c>
      <c r="R209" s="104"/>
      <c r="S209" s="663">
        <f t="shared" si="239"/>
        <v>0</v>
      </c>
      <c r="T209" s="663">
        <f t="shared" si="239"/>
        <v>4411</v>
      </c>
      <c r="U209" s="663">
        <f t="shared" si="239"/>
        <v>7735</v>
      </c>
      <c r="V209" s="663">
        <f t="shared" si="239"/>
        <v>6020</v>
      </c>
      <c r="W209" s="663">
        <f t="shared" si="239"/>
        <v>3200</v>
      </c>
      <c r="X209" s="663">
        <f t="shared" si="239"/>
        <v>13400</v>
      </c>
      <c r="Y209" s="663">
        <f t="shared" si="239"/>
        <v>3000</v>
      </c>
      <c r="Z209" s="663">
        <f t="shared" si="239"/>
        <v>4333</v>
      </c>
      <c r="AA209" s="663">
        <f t="shared" si="239"/>
        <v>1200</v>
      </c>
      <c r="AB209" s="663">
        <f t="shared" si="239"/>
        <v>7086</v>
      </c>
      <c r="AC209" s="663">
        <f t="shared" si="239"/>
        <v>13602</v>
      </c>
      <c r="AD209" s="663">
        <f t="shared" si="239"/>
        <v>10777</v>
      </c>
      <c r="AE209" s="663">
        <f t="shared" si="239"/>
        <v>0</v>
      </c>
    </row>
    <row r="210" spans="1:31" x14ac:dyDescent="0.25">
      <c r="A210" s="1"/>
      <c r="B210" s="343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104"/>
      <c r="S210" s="663"/>
      <c r="T210" s="663"/>
      <c r="U210" s="663"/>
      <c r="V210" s="663"/>
      <c r="W210" s="663"/>
      <c r="X210" s="663"/>
      <c r="Y210" s="663"/>
      <c r="Z210" s="663"/>
      <c r="AA210" s="663"/>
      <c r="AB210" s="663"/>
      <c r="AC210" s="663"/>
      <c r="AD210" s="663"/>
      <c r="AE210" s="663"/>
    </row>
    <row r="211" spans="1:31" x14ac:dyDescent="0.25">
      <c r="A211" s="104"/>
      <c r="B211" s="530" t="s">
        <v>330</v>
      </c>
      <c r="C211" s="532">
        <f t="shared" ref="C211:Q212" si="243">C205-C208</f>
        <v>15920</v>
      </c>
      <c r="D211" s="532">
        <f t="shared" si="243"/>
        <v>15920</v>
      </c>
      <c r="E211" s="532">
        <f t="shared" si="243"/>
        <v>15920</v>
      </c>
      <c r="F211" s="532">
        <f t="shared" si="243"/>
        <v>15920</v>
      </c>
      <c r="G211" s="532">
        <f t="shared" si="243"/>
        <v>15920</v>
      </c>
      <c r="H211" s="532">
        <f t="shared" si="243"/>
        <v>15920</v>
      </c>
      <c r="I211" s="532">
        <f t="shared" si="243"/>
        <v>15920</v>
      </c>
      <c r="J211" s="532">
        <f t="shared" si="243"/>
        <v>15920</v>
      </c>
      <c r="K211" s="532">
        <f t="shared" si="243"/>
        <v>15920</v>
      </c>
      <c r="L211" s="532">
        <f t="shared" si="243"/>
        <v>15920</v>
      </c>
      <c r="M211" s="532">
        <f t="shared" si="243"/>
        <v>15920</v>
      </c>
      <c r="N211" s="532">
        <f t="shared" ref="N211:O211" si="244">N205-N208</f>
        <v>15920</v>
      </c>
      <c r="O211" s="532">
        <f t="shared" si="244"/>
        <v>15920</v>
      </c>
      <c r="P211" s="532">
        <f t="shared" ref="P211" si="245">P205-P208</f>
        <v>15920</v>
      </c>
      <c r="Q211" s="532">
        <f t="shared" si="243"/>
        <v>6491</v>
      </c>
      <c r="R211" s="104"/>
      <c r="S211" s="663">
        <f t="shared" ref="S211:AE212" si="246">D211-C211</f>
        <v>0</v>
      </c>
      <c r="T211" s="663">
        <f t="shared" si="246"/>
        <v>0</v>
      </c>
      <c r="U211" s="663">
        <f t="shared" si="246"/>
        <v>0</v>
      </c>
      <c r="V211" s="663">
        <f t="shared" si="246"/>
        <v>0</v>
      </c>
      <c r="W211" s="663">
        <f t="shared" si="246"/>
        <v>0</v>
      </c>
      <c r="X211" s="663">
        <f t="shared" si="246"/>
        <v>0</v>
      </c>
      <c r="Y211" s="663">
        <f t="shared" si="246"/>
        <v>0</v>
      </c>
      <c r="Z211" s="663">
        <f t="shared" si="246"/>
        <v>0</v>
      </c>
      <c r="AA211" s="663">
        <f t="shared" si="246"/>
        <v>0</v>
      </c>
      <c r="AB211" s="663">
        <f t="shared" si="246"/>
        <v>0</v>
      </c>
      <c r="AC211" s="663">
        <f t="shared" si="246"/>
        <v>0</v>
      </c>
      <c r="AD211" s="663">
        <f t="shared" si="246"/>
        <v>0</v>
      </c>
      <c r="AE211" s="663">
        <f t="shared" si="246"/>
        <v>0</v>
      </c>
    </row>
    <row r="212" spans="1:31" x14ac:dyDescent="0.25">
      <c r="A212" s="1"/>
      <c r="B212" s="531" t="s">
        <v>331</v>
      </c>
      <c r="C212" s="617">
        <f t="shared" si="243"/>
        <v>836110</v>
      </c>
      <c r="D212" s="617">
        <f t="shared" si="243"/>
        <v>836110</v>
      </c>
      <c r="E212" s="617">
        <f t="shared" si="243"/>
        <v>857929</v>
      </c>
      <c r="F212" s="617">
        <f t="shared" si="243"/>
        <v>859329</v>
      </c>
      <c r="G212" s="617">
        <f t="shared" si="243"/>
        <v>859329</v>
      </c>
      <c r="H212" s="617">
        <f t="shared" si="243"/>
        <v>860067</v>
      </c>
      <c r="I212" s="617">
        <f t="shared" si="243"/>
        <v>860067</v>
      </c>
      <c r="J212" s="617">
        <f t="shared" si="243"/>
        <v>863288</v>
      </c>
      <c r="K212" s="617">
        <f t="shared" si="243"/>
        <v>863288</v>
      </c>
      <c r="L212" s="617">
        <f t="shared" si="243"/>
        <v>863538</v>
      </c>
      <c r="M212" s="617">
        <f t="shared" si="243"/>
        <v>863538</v>
      </c>
      <c r="N212" s="617">
        <f t="shared" ref="N212:O212" si="247">N206-N209</f>
        <v>869592</v>
      </c>
      <c r="O212" s="617">
        <f t="shared" si="247"/>
        <v>875592</v>
      </c>
      <c r="P212" s="617">
        <f t="shared" ref="P212" si="248">P206-P209</f>
        <v>875592</v>
      </c>
      <c r="Q212" s="617">
        <f t="shared" si="243"/>
        <v>622466</v>
      </c>
      <c r="R212" s="104"/>
      <c r="S212" s="663">
        <f t="shared" si="246"/>
        <v>0</v>
      </c>
      <c r="T212" s="663">
        <f t="shared" si="246"/>
        <v>21819</v>
      </c>
      <c r="U212" s="663">
        <f t="shared" si="246"/>
        <v>1400</v>
      </c>
      <c r="V212" s="663">
        <f t="shared" si="246"/>
        <v>0</v>
      </c>
      <c r="W212" s="663">
        <f t="shared" si="246"/>
        <v>738</v>
      </c>
      <c r="X212" s="663">
        <f t="shared" si="246"/>
        <v>0</v>
      </c>
      <c r="Y212" s="663">
        <f t="shared" si="246"/>
        <v>3221</v>
      </c>
      <c r="Z212" s="663">
        <f t="shared" si="246"/>
        <v>0</v>
      </c>
      <c r="AA212" s="663">
        <f t="shared" si="246"/>
        <v>250</v>
      </c>
      <c r="AB212" s="663">
        <f t="shared" si="246"/>
        <v>0</v>
      </c>
      <c r="AC212" s="663">
        <f t="shared" si="246"/>
        <v>6054</v>
      </c>
      <c r="AD212" s="663">
        <f t="shared" si="246"/>
        <v>6000</v>
      </c>
      <c r="AE212" s="663">
        <f t="shared" si="246"/>
        <v>0</v>
      </c>
    </row>
    <row r="213" spans="1:31" x14ac:dyDescent="0.25">
      <c r="A213" s="1"/>
      <c r="B213" s="1"/>
      <c r="C213" s="617">
        <f>C212-C211+C203</f>
        <v>820190</v>
      </c>
      <c r="D213" s="617">
        <f t="shared" ref="D213:Q213" si="249">D212-D211+D203</f>
        <v>820190</v>
      </c>
      <c r="E213" s="617">
        <f t="shared" si="249"/>
        <v>842009</v>
      </c>
      <c r="F213" s="617">
        <f t="shared" si="249"/>
        <v>843409</v>
      </c>
      <c r="G213" s="617">
        <f t="shared" si="249"/>
        <v>847399</v>
      </c>
      <c r="H213" s="617">
        <f t="shared" si="249"/>
        <v>848137</v>
      </c>
      <c r="I213" s="617">
        <f t="shared" si="249"/>
        <v>848137</v>
      </c>
      <c r="J213" s="617">
        <f t="shared" si="249"/>
        <v>851358</v>
      </c>
      <c r="K213" s="617">
        <f t="shared" si="249"/>
        <v>847368</v>
      </c>
      <c r="L213" s="617">
        <f t="shared" si="249"/>
        <v>847618</v>
      </c>
      <c r="M213" s="617">
        <f t="shared" si="249"/>
        <v>847618</v>
      </c>
      <c r="N213" s="617">
        <f t="shared" ref="N213:O213" si="250">N212-N211+N203</f>
        <v>853672</v>
      </c>
      <c r="O213" s="617">
        <f t="shared" si="250"/>
        <v>859672</v>
      </c>
      <c r="P213" s="617">
        <f t="shared" ref="P213" si="251">P212-P211+P203</f>
        <v>859672</v>
      </c>
      <c r="Q213" s="617">
        <f t="shared" si="249"/>
        <v>870299</v>
      </c>
      <c r="R213" s="104"/>
      <c r="S213" s="104"/>
      <c r="T213" s="104"/>
      <c r="U213" s="104"/>
    </row>
    <row r="214" spans="1:31" x14ac:dyDescent="0.25">
      <c r="A214" s="1"/>
      <c r="B214" s="346" t="s">
        <v>217</v>
      </c>
      <c r="C214" s="346"/>
      <c r="D214" s="346"/>
      <c r="E214" s="346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46"/>
      <c r="R214" s="104"/>
    </row>
    <row r="215" spans="1:31" x14ac:dyDescent="0.25">
      <c r="A215" s="1"/>
      <c r="B215" s="346" t="s">
        <v>218</v>
      </c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6"/>
      <c r="O215" s="346"/>
      <c r="P215" s="346"/>
      <c r="Q215" s="346"/>
      <c r="R215" s="104"/>
    </row>
    <row r="216" spans="1:31" x14ac:dyDescent="0.25">
      <c r="A216" s="1"/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104"/>
    </row>
    <row r="217" spans="1:31" x14ac:dyDescent="0.25">
      <c r="A217" s="1"/>
      <c r="B217" s="346"/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104"/>
    </row>
    <row r="218" spans="1:31" x14ac:dyDescent="0.25">
      <c r="A218" s="1"/>
      <c r="B218" s="348" t="s">
        <v>327</v>
      </c>
      <c r="C218" s="346"/>
      <c r="D218" s="346"/>
      <c r="E218" s="346"/>
      <c r="F218" s="346"/>
      <c r="G218" s="346"/>
      <c r="H218" s="346"/>
      <c r="I218" s="346"/>
      <c r="J218" s="346"/>
      <c r="K218" s="346"/>
      <c r="L218" s="346"/>
      <c r="M218" s="346"/>
      <c r="N218" s="346"/>
      <c r="O218" s="346"/>
      <c r="P218" s="346"/>
      <c r="Q218" s="346"/>
      <c r="R218" s="104"/>
    </row>
    <row r="219" spans="1:31" x14ac:dyDescent="0.25">
      <c r="A219" s="1"/>
      <c r="B219" s="348"/>
      <c r="C219" s="346"/>
      <c r="D219" s="346"/>
      <c r="E219" s="346"/>
      <c r="F219" s="346"/>
      <c r="G219" s="346"/>
      <c r="H219" s="346"/>
      <c r="I219" s="346"/>
      <c r="J219" s="346"/>
      <c r="K219" s="346"/>
      <c r="L219" s="346"/>
      <c r="M219" s="346"/>
      <c r="N219" s="346"/>
      <c r="O219" s="346"/>
      <c r="P219" s="346"/>
      <c r="Q219" s="346"/>
      <c r="R219" s="104"/>
    </row>
    <row r="220" spans="1:31" x14ac:dyDescent="0.25">
      <c r="A220" s="1"/>
      <c r="B220" s="347" t="s">
        <v>692</v>
      </c>
      <c r="C220" s="346"/>
      <c r="D220" s="346"/>
      <c r="E220" s="346"/>
      <c r="F220" s="346"/>
      <c r="G220" s="346"/>
      <c r="H220" s="346"/>
      <c r="I220" s="346"/>
      <c r="J220" s="346"/>
      <c r="K220" s="346"/>
      <c r="L220" s="346"/>
      <c r="M220" s="346"/>
      <c r="N220" s="346"/>
      <c r="O220" s="346"/>
      <c r="P220" s="346"/>
      <c r="Q220" s="346"/>
      <c r="R220" s="1"/>
    </row>
    <row r="221" spans="1:31" x14ac:dyDescent="0.25">
      <c r="A221" s="1"/>
      <c r="B221" s="346" t="s">
        <v>690</v>
      </c>
      <c r="C221" s="346"/>
      <c r="D221" s="346"/>
      <c r="E221" s="346"/>
      <c r="F221" s="346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1"/>
    </row>
    <row r="222" spans="1:31" x14ac:dyDescent="0.25">
      <c r="A222" s="1"/>
      <c r="B222" s="346" t="s">
        <v>691</v>
      </c>
      <c r="C222" s="346"/>
      <c r="D222" s="346"/>
      <c r="E222" s="346"/>
      <c r="F222" s="346"/>
      <c r="G222" s="346"/>
      <c r="H222" s="346"/>
      <c r="I222" s="346"/>
      <c r="J222" s="346"/>
      <c r="K222" s="346"/>
      <c r="L222" s="346"/>
      <c r="M222" s="346"/>
      <c r="N222" s="346"/>
      <c r="O222" s="346"/>
      <c r="P222" s="346"/>
      <c r="Q222" s="346"/>
      <c r="R222" s="1"/>
    </row>
    <row r="223" spans="1:31" x14ac:dyDescent="0.25">
      <c r="A223" s="1"/>
      <c r="B223" s="346"/>
      <c r="C223" s="346"/>
      <c r="D223" s="346"/>
      <c r="E223" s="346"/>
      <c r="F223" s="346"/>
      <c r="G223" s="346"/>
      <c r="H223" s="346"/>
      <c r="I223" s="346"/>
      <c r="J223" s="346"/>
      <c r="K223" s="346"/>
      <c r="L223" s="346"/>
      <c r="M223" s="346"/>
      <c r="N223" s="346"/>
      <c r="O223" s="346"/>
      <c r="P223" s="346"/>
      <c r="Q223" s="346"/>
      <c r="R223" s="1"/>
    </row>
    <row r="224" spans="1:31" x14ac:dyDescent="0.25">
      <c r="A224" s="1"/>
      <c r="B224" s="348" t="s">
        <v>485</v>
      </c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1"/>
    </row>
    <row r="225" spans="1:18" x14ac:dyDescent="0.25">
      <c r="A225" s="1"/>
      <c r="B225" s="348" t="s">
        <v>550</v>
      </c>
      <c r="C225" s="346"/>
      <c r="D225" s="346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346"/>
      <c r="P225" s="346"/>
      <c r="Q225" s="346"/>
      <c r="R225" s="1"/>
    </row>
    <row r="226" spans="1:18" x14ac:dyDescent="0.25">
      <c r="A226" s="1"/>
      <c r="B226" s="348" t="s">
        <v>630</v>
      </c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46"/>
      <c r="R226" s="1"/>
    </row>
    <row r="227" spans="1:18" x14ac:dyDescent="0.25">
      <c r="A227" s="1"/>
      <c r="B227" s="348" t="s">
        <v>640</v>
      </c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346"/>
      <c r="N227" s="346"/>
      <c r="O227" s="346"/>
      <c r="P227" s="346"/>
      <c r="Q227" s="346"/>
      <c r="R227" s="1"/>
    </row>
    <row r="228" spans="1:18" x14ac:dyDescent="0.25">
      <c r="A228" s="1"/>
      <c r="B228" s="348" t="s">
        <v>698</v>
      </c>
      <c r="C228" s="346"/>
      <c r="D228" s="346"/>
      <c r="E228" s="346"/>
      <c r="F228" s="346"/>
      <c r="G228" s="346"/>
      <c r="H228" s="346"/>
      <c r="I228" s="346"/>
      <c r="J228" s="346"/>
      <c r="K228" s="346"/>
      <c r="L228" s="346"/>
      <c r="M228" s="346"/>
      <c r="N228" s="346"/>
      <c r="O228" s="346"/>
      <c r="P228" s="346"/>
      <c r="Q228" s="346"/>
    </row>
    <row r="229" spans="1:18" x14ac:dyDescent="0.25">
      <c r="A229" s="1"/>
      <c r="B229" s="34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1"/>
      <c r="B230" s="34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1"/>
      <c r="B231" s="34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1"/>
      <c r="B232" s="34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</sheetData>
  <mergeCells count="24">
    <mergeCell ref="A137:B137"/>
    <mergeCell ref="A1:Q1"/>
    <mergeCell ref="A2:B2"/>
    <mergeCell ref="A3:B3"/>
    <mergeCell ref="A11:B11"/>
    <mergeCell ref="A70:B70"/>
    <mergeCell ref="A72:B72"/>
    <mergeCell ref="A73:B73"/>
    <mergeCell ref="A77:Q77"/>
    <mergeCell ref="A78:B78"/>
    <mergeCell ref="A94:B94"/>
    <mergeCell ref="A134:B134"/>
    <mergeCell ref="A202:B202"/>
    <mergeCell ref="A138:B138"/>
    <mergeCell ref="A142:Q142"/>
    <mergeCell ref="A143:B143"/>
    <mergeCell ref="A144:B144"/>
    <mergeCell ref="A154:B154"/>
    <mergeCell ref="A174:Q174"/>
    <mergeCell ref="A175:B175"/>
    <mergeCell ref="A192:Q192"/>
    <mergeCell ref="A193:B193"/>
    <mergeCell ref="A196:B196"/>
    <mergeCell ref="A199:B199"/>
  </mergeCell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&amp;CRozpočet na rok 2022
5. zmena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2"/>
  <sheetViews>
    <sheetView zoomScale="110" zoomScaleNormal="110" workbookViewId="0">
      <selection sqref="A1:N1"/>
    </sheetView>
  </sheetViews>
  <sheetFormatPr defaultRowHeight="15" x14ac:dyDescent="0.25"/>
  <cols>
    <col min="1" max="1" width="6.42578125" customWidth="1"/>
    <col min="2" max="2" width="64.140625" customWidth="1"/>
    <col min="3" max="13" width="13" customWidth="1"/>
    <col min="14" max="14" width="12.85546875" customWidth="1"/>
    <col min="15" max="15" width="6.5703125" customWidth="1"/>
    <col min="17" max="17" width="8.7109375" customWidth="1"/>
    <col min="18" max="18" width="10.28515625" customWidth="1"/>
    <col min="19" max="19" width="9.85546875" customWidth="1"/>
    <col min="21" max="21" width="9.7109375" customWidth="1"/>
    <col min="24" max="24" width="12.28515625" customWidth="1"/>
  </cols>
  <sheetData>
    <row r="1" spans="1:27" ht="18.75" thickBot="1" x14ac:dyDescent="0.3">
      <c r="A1" s="807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1"/>
    </row>
    <row r="2" spans="1:27" ht="39.75" customHeight="1" thickBot="1" x14ac:dyDescent="0.3">
      <c r="A2" s="809" t="s">
        <v>1</v>
      </c>
      <c r="B2" s="810"/>
      <c r="C2" s="416" t="s">
        <v>376</v>
      </c>
      <c r="D2" s="416" t="s">
        <v>509</v>
      </c>
      <c r="E2" s="416" t="s">
        <v>511</v>
      </c>
      <c r="F2" s="416" t="s">
        <v>512</v>
      </c>
      <c r="G2" s="416" t="s">
        <v>453</v>
      </c>
      <c r="H2" s="416" t="s">
        <v>541</v>
      </c>
      <c r="I2" s="416" t="s">
        <v>497</v>
      </c>
      <c r="J2" s="416" t="s">
        <v>556</v>
      </c>
      <c r="K2" s="416" t="s">
        <v>561</v>
      </c>
      <c r="L2" s="416" t="s">
        <v>605</v>
      </c>
      <c r="M2" s="416" t="s">
        <v>606</v>
      </c>
      <c r="N2" s="416" t="s">
        <v>646</v>
      </c>
      <c r="O2" s="1" t="s">
        <v>407</v>
      </c>
    </row>
    <row r="3" spans="1:27" ht="15.75" thickBot="1" x14ac:dyDescent="0.3">
      <c r="A3" s="811" t="s">
        <v>4</v>
      </c>
      <c r="B3" s="812"/>
      <c r="C3" s="2">
        <f t="shared" ref="C3:N3" si="0">SUM(C4:C10)</f>
        <v>1289980</v>
      </c>
      <c r="D3" s="2">
        <f t="shared" si="0"/>
        <v>1289980</v>
      </c>
      <c r="E3" s="2">
        <f t="shared" si="0"/>
        <v>1289980</v>
      </c>
      <c r="F3" s="2">
        <f t="shared" si="0"/>
        <v>1289980</v>
      </c>
      <c r="G3" s="2">
        <f t="shared" si="0"/>
        <v>1289980</v>
      </c>
      <c r="H3" s="2">
        <f t="shared" si="0"/>
        <v>1289980</v>
      </c>
      <c r="I3" s="2">
        <f t="shared" si="0"/>
        <v>1294880</v>
      </c>
      <c r="J3" s="2">
        <f t="shared" si="0"/>
        <v>1294880</v>
      </c>
      <c r="K3" s="2">
        <f t="shared" si="0"/>
        <v>1295223</v>
      </c>
      <c r="L3" s="2">
        <f t="shared" ref="L3:M3" si="1">SUM(L4:L10)</f>
        <v>1295223</v>
      </c>
      <c r="M3" s="2">
        <f t="shared" si="1"/>
        <v>1301423</v>
      </c>
      <c r="N3" s="2">
        <f t="shared" si="0"/>
        <v>640094</v>
      </c>
      <c r="O3" s="655">
        <f>N3/M3</f>
        <v>0.49184162259311537</v>
      </c>
    </row>
    <row r="4" spans="1:27" ht="15.75" thickBot="1" x14ac:dyDescent="0.3">
      <c r="A4" s="3">
        <v>111</v>
      </c>
      <c r="B4" s="124" t="s">
        <v>5</v>
      </c>
      <c r="C4" s="6">
        <v>1214000</v>
      </c>
      <c r="D4" s="6">
        <v>1214000</v>
      </c>
      <c r="E4" s="6">
        <v>1214000</v>
      </c>
      <c r="F4" s="6">
        <v>1214000</v>
      </c>
      <c r="G4" s="6">
        <v>1214000</v>
      </c>
      <c r="H4" s="6">
        <v>1214000</v>
      </c>
      <c r="I4" s="719">
        <f>1214000+4900</f>
        <v>1218900</v>
      </c>
      <c r="J4" s="6">
        <f>1214000+4900</f>
        <v>1218900</v>
      </c>
      <c r="K4" s="719">
        <f>1214000+4900+343</f>
        <v>1219243</v>
      </c>
      <c r="L4" s="6">
        <f t="shared" ref="L4" si="2">1214000+4900+343</f>
        <v>1219243</v>
      </c>
      <c r="M4" s="719">
        <f>1214000+4900+343+4500</f>
        <v>1223743</v>
      </c>
      <c r="N4" s="6">
        <v>595340</v>
      </c>
      <c r="O4" s="655">
        <f t="shared" ref="O4:O67" si="3">N4/M4</f>
        <v>0.48649103610807171</v>
      </c>
    </row>
    <row r="5" spans="1:27" ht="15.75" thickBot="1" x14ac:dyDescent="0.3">
      <c r="A5" s="7">
        <v>121</v>
      </c>
      <c r="B5" s="351" t="s">
        <v>6</v>
      </c>
      <c r="C5" s="11">
        <v>40080</v>
      </c>
      <c r="D5" s="11">
        <v>40080</v>
      </c>
      <c r="E5" s="11">
        <v>40080</v>
      </c>
      <c r="F5" s="11">
        <v>40080</v>
      </c>
      <c r="G5" s="11">
        <v>40080</v>
      </c>
      <c r="H5" s="11">
        <v>40080</v>
      </c>
      <c r="I5" s="11">
        <v>40080</v>
      </c>
      <c r="J5" s="11">
        <v>40080</v>
      </c>
      <c r="K5" s="11">
        <v>40080</v>
      </c>
      <c r="L5" s="11">
        <v>40080</v>
      </c>
      <c r="M5" s="741">
        <f>40080+1700</f>
        <v>41780</v>
      </c>
      <c r="N5" s="11">
        <v>24206</v>
      </c>
      <c r="O5" s="655">
        <f t="shared" si="3"/>
        <v>0.57936811871708949</v>
      </c>
    </row>
    <row r="6" spans="1:27" x14ac:dyDescent="0.25">
      <c r="A6" s="12">
        <v>133</v>
      </c>
      <c r="B6" s="352" t="s">
        <v>7</v>
      </c>
      <c r="C6" s="16">
        <v>1000</v>
      </c>
      <c r="D6" s="16">
        <v>1000</v>
      </c>
      <c r="E6" s="16">
        <v>1000</v>
      </c>
      <c r="F6" s="16">
        <v>1000</v>
      </c>
      <c r="G6" s="16">
        <v>1000</v>
      </c>
      <c r="H6" s="16">
        <v>1000</v>
      </c>
      <c r="I6" s="16">
        <v>1000</v>
      </c>
      <c r="J6" s="16">
        <v>1000</v>
      </c>
      <c r="K6" s="16">
        <v>1000</v>
      </c>
      <c r="L6" s="16">
        <v>1000</v>
      </c>
      <c r="M6" s="16">
        <v>1000</v>
      </c>
      <c r="N6" s="16">
        <v>1008</v>
      </c>
      <c r="O6" s="655">
        <f t="shared" si="3"/>
        <v>1.008</v>
      </c>
    </row>
    <row r="7" spans="1:27" x14ac:dyDescent="0.25">
      <c r="A7" s="17">
        <v>133</v>
      </c>
      <c r="B7" s="353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400</v>
      </c>
      <c r="I7" s="21">
        <v>400</v>
      </c>
      <c r="J7" s="21">
        <v>400</v>
      </c>
      <c r="K7" s="21">
        <v>400</v>
      </c>
      <c r="L7" s="21">
        <v>400</v>
      </c>
      <c r="M7" s="21">
        <v>400</v>
      </c>
      <c r="N7" s="21">
        <v>0</v>
      </c>
      <c r="O7" s="655">
        <f t="shared" si="3"/>
        <v>0</v>
      </c>
    </row>
    <row r="8" spans="1:27" x14ac:dyDescent="0.25">
      <c r="A8" s="17">
        <v>133</v>
      </c>
      <c r="B8" s="353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2000</v>
      </c>
      <c r="K8" s="21">
        <v>2000</v>
      </c>
      <c r="L8" s="21">
        <v>2000</v>
      </c>
      <c r="M8" s="21">
        <v>2000</v>
      </c>
      <c r="N8" s="21">
        <v>499</v>
      </c>
      <c r="O8" s="655">
        <f t="shared" si="3"/>
        <v>0.2495</v>
      </c>
    </row>
    <row r="9" spans="1:27" x14ac:dyDescent="0.25">
      <c r="A9" s="17">
        <v>133</v>
      </c>
      <c r="B9" s="353" t="s">
        <v>10</v>
      </c>
      <c r="C9" s="21">
        <v>2500</v>
      </c>
      <c r="D9" s="21">
        <v>2500</v>
      </c>
      <c r="E9" s="21">
        <v>2500</v>
      </c>
      <c r="F9" s="21">
        <v>2500</v>
      </c>
      <c r="G9" s="21">
        <v>2500</v>
      </c>
      <c r="H9" s="21">
        <v>2500</v>
      </c>
      <c r="I9" s="21">
        <v>2500</v>
      </c>
      <c r="J9" s="21">
        <v>2500</v>
      </c>
      <c r="K9" s="21">
        <v>2500</v>
      </c>
      <c r="L9" s="21">
        <v>2500</v>
      </c>
      <c r="M9" s="21">
        <v>2500</v>
      </c>
      <c r="N9" s="21">
        <v>3874</v>
      </c>
      <c r="O9" s="655">
        <f t="shared" si="3"/>
        <v>1.5496000000000001</v>
      </c>
    </row>
    <row r="10" spans="1:27" ht="15.75" thickBot="1" x14ac:dyDescent="0.3">
      <c r="A10" s="22">
        <v>133</v>
      </c>
      <c r="B10" s="354" t="s">
        <v>11</v>
      </c>
      <c r="C10" s="26">
        <v>30000</v>
      </c>
      <c r="D10" s="26">
        <v>30000</v>
      </c>
      <c r="E10" s="26">
        <v>30000</v>
      </c>
      <c r="F10" s="26">
        <v>30000</v>
      </c>
      <c r="G10" s="26">
        <v>30000</v>
      </c>
      <c r="H10" s="26">
        <v>30000</v>
      </c>
      <c r="I10" s="26">
        <v>30000</v>
      </c>
      <c r="J10" s="26">
        <v>30000</v>
      </c>
      <c r="K10" s="26">
        <v>30000</v>
      </c>
      <c r="L10" s="26">
        <v>30000</v>
      </c>
      <c r="M10" s="26">
        <v>30000</v>
      </c>
      <c r="N10" s="26">
        <v>15167</v>
      </c>
      <c r="O10" s="655">
        <f t="shared" si="3"/>
        <v>0.50556666666666672</v>
      </c>
      <c r="P10" s="464">
        <f t="shared" ref="P10:X10" si="4">SUM(C6:C10)</f>
        <v>35900</v>
      </c>
      <c r="Q10" s="464">
        <f t="shared" si="4"/>
        <v>35900</v>
      </c>
      <c r="R10" s="464">
        <f t="shared" si="4"/>
        <v>35900</v>
      </c>
      <c r="S10" s="464">
        <f t="shared" si="4"/>
        <v>35900</v>
      </c>
      <c r="T10" s="464">
        <f t="shared" si="4"/>
        <v>35900</v>
      </c>
      <c r="U10" s="464">
        <f t="shared" si="4"/>
        <v>35900</v>
      </c>
      <c r="V10" s="464">
        <f t="shared" si="4"/>
        <v>35900</v>
      </c>
      <c r="W10" s="464">
        <f t="shared" si="4"/>
        <v>35900</v>
      </c>
      <c r="X10" s="464">
        <f t="shared" si="4"/>
        <v>35900</v>
      </c>
      <c r="Y10" s="464">
        <f t="shared" ref="Y10" si="5">SUM(L6:L10)</f>
        <v>35900</v>
      </c>
      <c r="Z10" s="464">
        <f t="shared" ref="Z10" si="6">SUM(M6:M10)</f>
        <v>35900</v>
      </c>
      <c r="AA10" s="464">
        <f t="shared" ref="AA10" si="7">SUM(N6:N10)</f>
        <v>20548</v>
      </c>
    </row>
    <row r="11" spans="1:27" ht="15.75" thickBot="1" x14ac:dyDescent="0.3">
      <c r="A11" s="811" t="s">
        <v>12</v>
      </c>
      <c r="B11" s="812"/>
      <c r="C11" s="355">
        <f t="shared" ref="C11:N11" si="8">SUM(C12:C31)</f>
        <v>208158</v>
      </c>
      <c r="D11" s="355">
        <f t="shared" si="8"/>
        <v>208158</v>
      </c>
      <c r="E11" s="355">
        <f t="shared" si="8"/>
        <v>208158</v>
      </c>
      <c r="F11" s="355">
        <f t="shared" si="8"/>
        <v>208158</v>
      </c>
      <c r="G11" s="355">
        <f t="shared" si="8"/>
        <v>208158</v>
      </c>
      <c r="H11" s="355">
        <f t="shared" si="8"/>
        <v>208158</v>
      </c>
      <c r="I11" s="355">
        <f t="shared" si="8"/>
        <v>208158</v>
      </c>
      <c r="J11" s="355">
        <f t="shared" si="8"/>
        <v>208158</v>
      </c>
      <c r="K11" s="355">
        <f t="shared" si="8"/>
        <v>208158</v>
      </c>
      <c r="L11" s="355">
        <f t="shared" ref="L11:M11" si="9">SUM(L12:L31)</f>
        <v>208158</v>
      </c>
      <c r="M11" s="355">
        <f t="shared" si="9"/>
        <v>208158</v>
      </c>
      <c r="N11" s="355">
        <f t="shared" si="8"/>
        <v>90027</v>
      </c>
      <c r="O11" s="655">
        <f t="shared" si="3"/>
        <v>0.43249358660248466</v>
      </c>
    </row>
    <row r="12" spans="1:27" x14ac:dyDescent="0.25">
      <c r="A12" s="28">
        <v>212</v>
      </c>
      <c r="B12" s="29" t="s">
        <v>13</v>
      </c>
      <c r="C12" s="32">
        <v>1893</v>
      </c>
      <c r="D12" s="32">
        <v>1893</v>
      </c>
      <c r="E12" s="32">
        <v>1893</v>
      </c>
      <c r="F12" s="32">
        <v>1893</v>
      </c>
      <c r="G12" s="32">
        <v>1893</v>
      </c>
      <c r="H12" s="32">
        <v>1893</v>
      </c>
      <c r="I12" s="32">
        <v>1893</v>
      </c>
      <c r="J12" s="32">
        <v>1893</v>
      </c>
      <c r="K12" s="32">
        <v>1893</v>
      </c>
      <c r="L12" s="32">
        <v>1893</v>
      </c>
      <c r="M12" s="32">
        <v>1893</v>
      </c>
      <c r="N12" s="32">
        <v>678</v>
      </c>
      <c r="O12" s="655">
        <f t="shared" si="3"/>
        <v>0.35816164817749602</v>
      </c>
    </row>
    <row r="13" spans="1:27" x14ac:dyDescent="0.25">
      <c r="A13" s="12">
        <v>212</v>
      </c>
      <c r="B13" s="13" t="s">
        <v>14</v>
      </c>
      <c r="C13" s="16">
        <v>500</v>
      </c>
      <c r="D13" s="16">
        <v>500</v>
      </c>
      <c r="E13" s="16">
        <v>500</v>
      </c>
      <c r="F13" s="16">
        <v>500</v>
      </c>
      <c r="G13" s="16">
        <v>500</v>
      </c>
      <c r="H13" s="16">
        <v>500</v>
      </c>
      <c r="I13" s="16">
        <v>500</v>
      </c>
      <c r="J13" s="16">
        <v>500</v>
      </c>
      <c r="K13" s="16">
        <v>500</v>
      </c>
      <c r="L13" s="16">
        <v>500</v>
      </c>
      <c r="M13" s="16">
        <v>500</v>
      </c>
      <c r="N13" s="16">
        <v>220</v>
      </c>
      <c r="O13" s="655">
        <f t="shared" si="3"/>
        <v>0.44</v>
      </c>
    </row>
    <row r="14" spans="1:27" x14ac:dyDescent="0.25">
      <c r="A14" s="17">
        <v>212</v>
      </c>
      <c r="B14" s="18" t="s">
        <v>15</v>
      </c>
      <c r="C14" s="33">
        <v>3712</v>
      </c>
      <c r="D14" s="33">
        <v>3712</v>
      </c>
      <c r="E14" s="33">
        <v>3712</v>
      </c>
      <c r="F14" s="33">
        <v>3712</v>
      </c>
      <c r="G14" s="33">
        <v>3712</v>
      </c>
      <c r="H14" s="33">
        <v>3712</v>
      </c>
      <c r="I14" s="33">
        <v>3712</v>
      </c>
      <c r="J14" s="33">
        <v>3712</v>
      </c>
      <c r="K14" s="33">
        <v>3712</v>
      </c>
      <c r="L14" s="33">
        <v>3712</v>
      </c>
      <c r="M14" s="33">
        <v>3712</v>
      </c>
      <c r="N14" s="33">
        <v>1723</v>
      </c>
      <c r="O14" s="655">
        <f t="shared" si="3"/>
        <v>0.46417025862068967</v>
      </c>
    </row>
    <row r="15" spans="1:27" x14ac:dyDescent="0.25">
      <c r="A15" s="17">
        <v>212</v>
      </c>
      <c r="B15" s="18" t="s">
        <v>16</v>
      </c>
      <c r="C15" s="21">
        <v>21393</v>
      </c>
      <c r="D15" s="21">
        <v>21393</v>
      </c>
      <c r="E15" s="21">
        <v>21393</v>
      </c>
      <c r="F15" s="21">
        <v>21393</v>
      </c>
      <c r="G15" s="21">
        <v>21393</v>
      </c>
      <c r="H15" s="21">
        <v>21393</v>
      </c>
      <c r="I15" s="21">
        <v>21393</v>
      </c>
      <c r="J15" s="21">
        <v>21393</v>
      </c>
      <c r="K15" s="21">
        <v>21393</v>
      </c>
      <c r="L15" s="21">
        <v>21393</v>
      </c>
      <c r="M15" s="21">
        <v>21393</v>
      </c>
      <c r="N15" s="21">
        <v>7713</v>
      </c>
      <c r="O15" s="655">
        <f t="shared" si="3"/>
        <v>0.3605384938998738</v>
      </c>
    </row>
    <row r="16" spans="1:27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655">
        <v>0</v>
      </c>
      <c r="P16" s="464">
        <f t="shared" ref="P16:X16" si="10">SUM(C12:C16)</f>
        <v>27498</v>
      </c>
      <c r="Q16" s="464">
        <f t="shared" si="10"/>
        <v>27498</v>
      </c>
      <c r="R16" s="464">
        <f t="shared" si="10"/>
        <v>27498</v>
      </c>
      <c r="S16" s="464">
        <f t="shared" si="10"/>
        <v>27498</v>
      </c>
      <c r="T16" s="464">
        <f t="shared" si="10"/>
        <v>27498</v>
      </c>
      <c r="U16" s="464">
        <f t="shared" si="10"/>
        <v>27498</v>
      </c>
      <c r="V16" s="464">
        <f t="shared" si="10"/>
        <v>27498</v>
      </c>
      <c r="W16" s="464">
        <f t="shared" si="10"/>
        <v>27498</v>
      </c>
      <c r="X16" s="464">
        <f t="shared" si="10"/>
        <v>27498</v>
      </c>
      <c r="Y16" s="464">
        <f t="shared" ref="Y16" si="11">SUM(L12:L16)</f>
        <v>27498</v>
      </c>
      <c r="Z16" s="464">
        <f t="shared" ref="Z16" si="12">SUM(M12:M16)</f>
        <v>27498</v>
      </c>
      <c r="AA16" s="464">
        <f t="shared" ref="AA16" si="13">SUM(N12:N16)</f>
        <v>10334</v>
      </c>
    </row>
    <row r="17" spans="1:27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5100</v>
      </c>
      <c r="J17" s="41">
        <v>5100</v>
      </c>
      <c r="K17" s="41">
        <v>5100</v>
      </c>
      <c r="L17" s="41">
        <v>5100</v>
      </c>
      <c r="M17" s="41">
        <v>5100</v>
      </c>
      <c r="N17" s="41">
        <v>1963</v>
      </c>
      <c r="O17" s="655">
        <f t="shared" si="3"/>
        <v>0.38490196078431371</v>
      </c>
    </row>
    <row r="18" spans="1:27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655">
        <v>0</v>
      </c>
    </row>
    <row r="19" spans="1:27" x14ac:dyDescent="0.25">
      <c r="A19" s="12">
        <v>223</v>
      </c>
      <c r="B19" s="13" t="s">
        <v>398</v>
      </c>
      <c r="C19" s="16">
        <v>650</v>
      </c>
      <c r="D19" s="16">
        <v>650</v>
      </c>
      <c r="E19" s="16">
        <v>650</v>
      </c>
      <c r="F19" s="16">
        <v>650</v>
      </c>
      <c r="G19" s="16">
        <v>650</v>
      </c>
      <c r="H19" s="16">
        <v>650</v>
      </c>
      <c r="I19" s="16">
        <v>650</v>
      </c>
      <c r="J19" s="16">
        <v>650</v>
      </c>
      <c r="K19" s="16">
        <v>650</v>
      </c>
      <c r="L19" s="16">
        <v>650</v>
      </c>
      <c r="M19" s="16">
        <v>650</v>
      </c>
      <c r="N19" s="16">
        <v>95</v>
      </c>
      <c r="O19" s="655">
        <f t="shared" si="3"/>
        <v>0.14615384615384616</v>
      </c>
    </row>
    <row r="20" spans="1:27" x14ac:dyDescent="0.25">
      <c r="A20" s="17">
        <v>223</v>
      </c>
      <c r="B20" s="18" t="s">
        <v>21</v>
      </c>
      <c r="C20" s="21">
        <f t="shared" ref="C20:M20" si="14">19000+3000</f>
        <v>22000</v>
      </c>
      <c r="D20" s="21">
        <f t="shared" si="14"/>
        <v>22000</v>
      </c>
      <c r="E20" s="21">
        <f t="shared" si="14"/>
        <v>22000</v>
      </c>
      <c r="F20" s="21">
        <f t="shared" si="14"/>
        <v>22000</v>
      </c>
      <c r="G20" s="21">
        <f t="shared" si="14"/>
        <v>22000</v>
      </c>
      <c r="H20" s="21">
        <f t="shared" si="14"/>
        <v>22000</v>
      </c>
      <c r="I20" s="21">
        <f t="shared" si="14"/>
        <v>22000</v>
      </c>
      <c r="J20" s="21">
        <f t="shared" si="14"/>
        <v>22000</v>
      </c>
      <c r="K20" s="21">
        <f t="shared" si="14"/>
        <v>22000</v>
      </c>
      <c r="L20" s="21">
        <f t="shared" si="14"/>
        <v>22000</v>
      </c>
      <c r="M20" s="21">
        <f t="shared" si="14"/>
        <v>22000</v>
      </c>
      <c r="N20" s="21">
        <v>8586</v>
      </c>
      <c r="O20" s="655">
        <f t="shared" si="3"/>
        <v>0.39027272727272727</v>
      </c>
    </row>
    <row r="21" spans="1:27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50</v>
      </c>
      <c r="K21" s="21">
        <v>50</v>
      </c>
      <c r="L21" s="21">
        <v>50</v>
      </c>
      <c r="M21" s="21">
        <v>50</v>
      </c>
      <c r="N21" s="21">
        <v>0</v>
      </c>
      <c r="O21" s="655">
        <f t="shared" si="3"/>
        <v>0</v>
      </c>
    </row>
    <row r="22" spans="1:27" x14ac:dyDescent="0.25">
      <c r="A22" s="17">
        <v>223</v>
      </c>
      <c r="B22" s="18" t="s">
        <v>23</v>
      </c>
      <c r="C22" s="21">
        <v>1500</v>
      </c>
      <c r="D22" s="21">
        <v>1500</v>
      </c>
      <c r="E22" s="21">
        <v>1500</v>
      </c>
      <c r="F22" s="21">
        <v>1500</v>
      </c>
      <c r="G22" s="21">
        <v>1500</v>
      </c>
      <c r="H22" s="21">
        <v>1500</v>
      </c>
      <c r="I22" s="21">
        <v>1500</v>
      </c>
      <c r="J22" s="21">
        <v>1500</v>
      </c>
      <c r="K22" s="21">
        <v>1500</v>
      </c>
      <c r="L22" s="21">
        <v>1500</v>
      </c>
      <c r="M22" s="21">
        <v>1500</v>
      </c>
      <c r="N22" s="21">
        <v>844</v>
      </c>
      <c r="O22" s="655">
        <f t="shared" si="3"/>
        <v>0.56266666666666665</v>
      </c>
    </row>
    <row r="23" spans="1:27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1000</v>
      </c>
      <c r="K23" s="21">
        <v>1000</v>
      </c>
      <c r="L23" s="21">
        <v>1000</v>
      </c>
      <c r="M23" s="21">
        <v>1000</v>
      </c>
      <c r="N23" s="21">
        <v>134</v>
      </c>
      <c r="O23" s="655">
        <f t="shared" si="3"/>
        <v>0.13400000000000001</v>
      </c>
    </row>
    <row r="24" spans="1:27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1000</v>
      </c>
      <c r="K24" s="21">
        <v>1000</v>
      </c>
      <c r="L24" s="21">
        <v>1000</v>
      </c>
      <c r="M24" s="21">
        <v>1000</v>
      </c>
      <c r="N24" s="21">
        <v>220</v>
      </c>
      <c r="O24" s="655">
        <f t="shared" si="3"/>
        <v>0.22</v>
      </c>
    </row>
    <row r="25" spans="1:27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40000</v>
      </c>
      <c r="J25" s="21">
        <v>40000</v>
      </c>
      <c r="K25" s="21">
        <v>40000</v>
      </c>
      <c r="L25" s="21">
        <v>40000</v>
      </c>
      <c r="M25" s="21">
        <v>40000</v>
      </c>
      <c r="N25" s="21">
        <v>20563</v>
      </c>
      <c r="O25" s="655">
        <f t="shared" si="3"/>
        <v>0.51407499999999995</v>
      </c>
    </row>
    <row r="26" spans="1:27" x14ac:dyDescent="0.25">
      <c r="A26" s="17">
        <v>223</v>
      </c>
      <c r="B26" s="18" t="s">
        <v>29</v>
      </c>
      <c r="C26" s="21">
        <v>44100</v>
      </c>
      <c r="D26" s="21">
        <v>44100</v>
      </c>
      <c r="E26" s="21">
        <v>44100</v>
      </c>
      <c r="F26" s="21">
        <v>44100</v>
      </c>
      <c r="G26" s="21">
        <v>44100</v>
      </c>
      <c r="H26" s="21">
        <v>44100</v>
      </c>
      <c r="I26" s="21">
        <v>44100</v>
      </c>
      <c r="J26" s="21">
        <v>44100</v>
      </c>
      <c r="K26" s="21">
        <v>44100</v>
      </c>
      <c r="L26" s="21">
        <v>44100</v>
      </c>
      <c r="M26" s="21">
        <v>44100</v>
      </c>
      <c r="N26" s="21">
        <v>19865</v>
      </c>
      <c r="O26" s="655">
        <f t="shared" si="3"/>
        <v>0.45045351473922901</v>
      </c>
    </row>
    <row r="27" spans="1:27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60</v>
      </c>
      <c r="K27" s="21">
        <v>60</v>
      </c>
      <c r="L27" s="21">
        <v>60</v>
      </c>
      <c r="M27" s="21">
        <v>60</v>
      </c>
      <c r="N27" s="21">
        <v>13</v>
      </c>
      <c r="O27" s="655">
        <f t="shared" si="3"/>
        <v>0.21666666666666667</v>
      </c>
    </row>
    <row r="28" spans="1:27" x14ac:dyDescent="0.25">
      <c r="A28" s="17">
        <v>223</v>
      </c>
      <c r="B28" s="18" t="s">
        <v>32</v>
      </c>
      <c r="C28" s="21">
        <v>2100</v>
      </c>
      <c r="D28" s="21">
        <v>2100</v>
      </c>
      <c r="E28" s="21">
        <v>2100</v>
      </c>
      <c r="F28" s="21">
        <v>2100</v>
      </c>
      <c r="G28" s="21">
        <v>2100</v>
      </c>
      <c r="H28" s="21">
        <v>2100</v>
      </c>
      <c r="I28" s="21">
        <v>2100</v>
      </c>
      <c r="J28" s="21">
        <v>2100</v>
      </c>
      <c r="K28" s="21">
        <v>2100</v>
      </c>
      <c r="L28" s="21">
        <v>2100</v>
      </c>
      <c r="M28" s="21">
        <v>2100</v>
      </c>
      <c r="N28" s="21">
        <v>996</v>
      </c>
      <c r="O28" s="655">
        <f t="shared" si="3"/>
        <v>0.47428571428571431</v>
      </c>
    </row>
    <row r="29" spans="1:27" x14ac:dyDescent="0.25">
      <c r="A29" s="17">
        <v>223</v>
      </c>
      <c r="B29" s="18" t="s">
        <v>271</v>
      </c>
      <c r="C29" s="21">
        <v>2000</v>
      </c>
      <c r="D29" s="21">
        <v>2000</v>
      </c>
      <c r="E29" s="21">
        <v>2000</v>
      </c>
      <c r="F29" s="21">
        <v>2000</v>
      </c>
      <c r="G29" s="21">
        <v>2000</v>
      </c>
      <c r="H29" s="21">
        <v>2000</v>
      </c>
      <c r="I29" s="21">
        <v>2000</v>
      </c>
      <c r="J29" s="21">
        <v>2000</v>
      </c>
      <c r="K29" s="21">
        <v>2000</v>
      </c>
      <c r="L29" s="21">
        <v>2000</v>
      </c>
      <c r="M29" s="21">
        <v>2000</v>
      </c>
      <c r="N29" s="21">
        <v>450</v>
      </c>
      <c r="O29" s="655">
        <f t="shared" si="3"/>
        <v>0.22500000000000001</v>
      </c>
    </row>
    <row r="30" spans="1:27" x14ac:dyDescent="0.25">
      <c r="A30" s="43">
        <v>223</v>
      </c>
      <c r="B30" s="44" t="s">
        <v>33</v>
      </c>
      <c r="C30" s="46">
        <v>61000</v>
      </c>
      <c r="D30" s="46">
        <v>61000</v>
      </c>
      <c r="E30" s="46">
        <v>61000</v>
      </c>
      <c r="F30" s="46">
        <v>61000</v>
      </c>
      <c r="G30" s="46">
        <v>61000</v>
      </c>
      <c r="H30" s="46">
        <v>61000</v>
      </c>
      <c r="I30" s="46">
        <v>61000</v>
      </c>
      <c r="J30" s="46">
        <v>61000</v>
      </c>
      <c r="K30" s="46">
        <v>61000</v>
      </c>
      <c r="L30" s="46">
        <v>61000</v>
      </c>
      <c r="M30" s="46">
        <v>61000</v>
      </c>
      <c r="N30" s="46">
        <v>25964</v>
      </c>
      <c r="O30" s="655">
        <f t="shared" si="3"/>
        <v>0.42563934426229511</v>
      </c>
    </row>
    <row r="31" spans="1:27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100</v>
      </c>
      <c r="J31" s="48">
        <v>100</v>
      </c>
      <c r="K31" s="48">
        <v>100</v>
      </c>
      <c r="L31" s="48">
        <v>100</v>
      </c>
      <c r="M31" s="48">
        <v>100</v>
      </c>
      <c r="N31" s="48">
        <v>0</v>
      </c>
      <c r="O31" s="655">
        <f t="shared" si="3"/>
        <v>0</v>
      </c>
      <c r="P31" s="27">
        <f t="shared" ref="P31:X31" si="15">SUM(C19:C31)</f>
        <v>175560</v>
      </c>
      <c r="Q31" s="27">
        <f t="shared" si="15"/>
        <v>175560</v>
      </c>
      <c r="R31" s="27">
        <f t="shared" si="15"/>
        <v>175560</v>
      </c>
      <c r="S31" s="27">
        <f t="shared" si="15"/>
        <v>175560</v>
      </c>
      <c r="T31" s="27">
        <f t="shared" si="15"/>
        <v>175560</v>
      </c>
      <c r="U31" s="27">
        <f t="shared" si="15"/>
        <v>175560</v>
      </c>
      <c r="V31" s="27">
        <f t="shared" si="15"/>
        <v>175560</v>
      </c>
      <c r="W31" s="27">
        <f t="shared" si="15"/>
        <v>175560</v>
      </c>
      <c r="X31" s="27">
        <f t="shared" si="15"/>
        <v>175560</v>
      </c>
      <c r="Y31" s="27">
        <f t="shared" ref="Y31" si="16">SUM(L19:L31)</f>
        <v>175560</v>
      </c>
      <c r="Z31" s="27">
        <f t="shared" ref="Z31" si="17">SUM(M19:M31)</f>
        <v>175560</v>
      </c>
      <c r="AA31" s="27">
        <f t="shared" ref="AA31" si="18">SUM(N19:N31)</f>
        <v>77730</v>
      </c>
    </row>
    <row r="32" spans="1:27" ht="15.75" thickBot="1" x14ac:dyDescent="0.3">
      <c r="A32" s="739" t="s">
        <v>35</v>
      </c>
      <c r="B32" s="740"/>
      <c r="C32" s="2">
        <f t="shared" ref="C32:N32" si="19">SUM(C33)</f>
        <v>50</v>
      </c>
      <c r="D32" s="2">
        <f t="shared" si="19"/>
        <v>50</v>
      </c>
      <c r="E32" s="2">
        <f t="shared" si="19"/>
        <v>50</v>
      </c>
      <c r="F32" s="2">
        <f t="shared" si="19"/>
        <v>50</v>
      </c>
      <c r="G32" s="2">
        <f t="shared" si="19"/>
        <v>50</v>
      </c>
      <c r="H32" s="2">
        <f t="shared" si="19"/>
        <v>50</v>
      </c>
      <c r="I32" s="2">
        <f t="shared" si="19"/>
        <v>50</v>
      </c>
      <c r="J32" s="2">
        <f t="shared" si="19"/>
        <v>50</v>
      </c>
      <c r="K32" s="2">
        <f t="shared" si="19"/>
        <v>50</v>
      </c>
      <c r="L32" s="2">
        <f t="shared" si="19"/>
        <v>50</v>
      </c>
      <c r="M32" s="2">
        <f t="shared" si="19"/>
        <v>50</v>
      </c>
      <c r="N32" s="2">
        <f t="shared" si="19"/>
        <v>5</v>
      </c>
      <c r="O32" s="655">
        <f t="shared" si="3"/>
        <v>0.1</v>
      </c>
    </row>
    <row r="33" spans="1:16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50</v>
      </c>
      <c r="K33" s="38">
        <v>50</v>
      </c>
      <c r="L33" s="38">
        <v>50</v>
      </c>
      <c r="M33" s="38">
        <v>50</v>
      </c>
      <c r="N33" s="38">
        <v>5</v>
      </c>
      <c r="O33" s="655">
        <f t="shared" si="3"/>
        <v>0.1</v>
      </c>
    </row>
    <row r="34" spans="1:16" ht="15.75" thickBot="1" x14ac:dyDescent="0.3">
      <c r="A34" s="739" t="s">
        <v>37</v>
      </c>
      <c r="B34" s="740"/>
      <c r="C34" s="355">
        <f>SUM(C35:C40)</f>
        <v>47400</v>
      </c>
      <c r="D34" s="355">
        <f>SUM(D35:D40)</f>
        <v>47400</v>
      </c>
      <c r="E34" s="355">
        <f t="shared" ref="E34:N34" si="20">SUM(E35:E40)</f>
        <v>47405</v>
      </c>
      <c r="F34" s="355">
        <f t="shared" si="20"/>
        <v>47405</v>
      </c>
      <c r="G34" s="355">
        <f t="shared" si="20"/>
        <v>47405</v>
      </c>
      <c r="H34" s="355">
        <f t="shared" si="20"/>
        <v>47405</v>
      </c>
      <c r="I34" s="355">
        <f t="shared" si="20"/>
        <v>53405</v>
      </c>
      <c r="J34" s="355">
        <f t="shared" ref="J34:K34" si="21">SUM(J35:J40)</f>
        <v>53405</v>
      </c>
      <c r="K34" s="355">
        <f t="shared" si="21"/>
        <v>53405</v>
      </c>
      <c r="L34" s="355">
        <f t="shared" ref="L34:M34" si="22">SUM(L35:L40)</f>
        <v>53405</v>
      </c>
      <c r="M34" s="355">
        <f t="shared" si="22"/>
        <v>53405</v>
      </c>
      <c r="N34" s="355">
        <f t="shared" si="20"/>
        <v>16372</v>
      </c>
      <c r="O34" s="655">
        <f t="shared" si="3"/>
        <v>0.30656305589364291</v>
      </c>
    </row>
    <row r="35" spans="1:16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655">
        <v>0</v>
      </c>
    </row>
    <row r="36" spans="1:16" x14ac:dyDescent="0.25">
      <c r="A36" s="52">
        <v>292</v>
      </c>
      <c r="B36" s="53" t="s">
        <v>39</v>
      </c>
      <c r="C36" s="55">
        <v>300</v>
      </c>
      <c r="D36" s="55">
        <v>300</v>
      </c>
      <c r="E36" s="55">
        <v>300</v>
      </c>
      <c r="F36" s="55">
        <v>300</v>
      </c>
      <c r="G36" s="55">
        <v>300</v>
      </c>
      <c r="H36" s="55">
        <v>300</v>
      </c>
      <c r="I36" s="55">
        <v>300</v>
      </c>
      <c r="J36" s="55">
        <v>300</v>
      </c>
      <c r="K36" s="55">
        <v>300</v>
      </c>
      <c r="L36" s="55">
        <v>300</v>
      </c>
      <c r="M36" s="55">
        <v>300</v>
      </c>
      <c r="N36" s="55">
        <v>25</v>
      </c>
      <c r="O36" s="655">
        <f t="shared" si="3"/>
        <v>8.3333333333333329E-2</v>
      </c>
    </row>
    <row r="37" spans="1:16" x14ac:dyDescent="0.25">
      <c r="A37" s="57">
        <v>292</v>
      </c>
      <c r="B37" s="58" t="s">
        <v>40</v>
      </c>
      <c r="C37" s="61">
        <v>5000</v>
      </c>
      <c r="D37" s="61">
        <v>5000</v>
      </c>
      <c r="E37" s="61">
        <v>5000</v>
      </c>
      <c r="F37" s="61">
        <v>5000</v>
      </c>
      <c r="G37" s="61">
        <v>5000</v>
      </c>
      <c r="H37" s="61">
        <v>5000</v>
      </c>
      <c r="I37" s="61">
        <v>5000</v>
      </c>
      <c r="J37" s="61">
        <v>5000</v>
      </c>
      <c r="K37" s="61">
        <v>5000</v>
      </c>
      <c r="L37" s="61">
        <v>5000</v>
      </c>
      <c r="M37" s="61">
        <v>5000</v>
      </c>
      <c r="N37" s="61">
        <v>414</v>
      </c>
      <c r="O37" s="655">
        <f t="shared" si="3"/>
        <v>8.2799999999999999E-2</v>
      </c>
    </row>
    <row r="38" spans="1:16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500</v>
      </c>
      <c r="J38" s="60">
        <v>500</v>
      </c>
      <c r="K38" s="60">
        <v>500</v>
      </c>
      <c r="L38" s="60">
        <v>500</v>
      </c>
      <c r="M38" s="60">
        <v>500</v>
      </c>
      <c r="N38" s="60">
        <v>6</v>
      </c>
      <c r="O38" s="655">
        <f t="shared" si="3"/>
        <v>1.2E-2</v>
      </c>
    </row>
    <row r="39" spans="1:16" x14ac:dyDescent="0.25">
      <c r="A39" s="57">
        <v>292</v>
      </c>
      <c r="B39" s="18" t="s">
        <v>42</v>
      </c>
      <c r="C39" s="64">
        <v>310</v>
      </c>
      <c r="D39" s="64">
        <v>310</v>
      </c>
      <c r="E39" s="619">
        <f t="shared" ref="E39:M39" si="23">310+5</f>
        <v>315</v>
      </c>
      <c r="F39" s="64">
        <f t="shared" si="23"/>
        <v>315</v>
      </c>
      <c r="G39" s="64">
        <f t="shared" si="23"/>
        <v>315</v>
      </c>
      <c r="H39" s="64">
        <f t="shared" si="23"/>
        <v>315</v>
      </c>
      <c r="I39" s="64">
        <f t="shared" si="23"/>
        <v>315</v>
      </c>
      <c r="J39" s="64">
        <f t="shared" si="23"/>
        <v>315</v>
      </c>
      <c r="K39" s="64">
        <f t="shared" si="23"/>
        <v>315</v>
      </c>
      <c r="L39" s="64">
        <f t="shared" si="23"/>
        <v>315</v>
      </c>
      <c r="M39" s="64">
        <f t="shared" si="23"/>
        <v>315</v>
      </c>
      <c r="N39" s="64">
        <v>0</v>
      </c>
      <c r="O39" s="655">
        <f t="shared" si="3"/>
        <v>0</v>
      </c>
    </row>
    <row r="40" spans="1:16" ht="15.75" thickBot="1" x14ac:dyDescent="0.3">
      <c r="A40" s="57">
        <v>292</v>
      </c>
      <c r="B40" s="58" t="s">
        <v>648</v>
      </c>
      <c r="C40" s="60">
        <f>41600-C39</f>
        <v>41290</v>
      </c>
      <c r="D40" s="60">
        <f>41600-D39</f>
        <v>41290</v>
      </c>
      <c r="E40" s="60">
        <f>41290</f>
        <v>41290</v>
      </c>
      <c r="F40" s="60">
        <f>41290</f>
        <v>41290</v>
      </c>
      <c r="G40" s="60">
        <v>41290</v>
      </c>
      <c r="H40" s="60">
        <v>41290</v>
      </c>
      <c r="I40" s="622">
        <f>41290+6000</f>
        <v>47290</v>
      </c>
      <c r="J40" s="60">
        <f>41290+6000</f>
        <v>47290</v>
      </c>
      <c r="K40" s="60">
        <f>41290+6000</f>
        <v>47290</v>
      </c>
      <c r="L40" s="60">
        <f t="shared" ref="L40:M40" si="24">41290+6000</f>
        <v>47290</v>
      </c>
      <c r="M40" s="60">
        <f t="shared" si="24"/>
        <v>47290</v>
      </c>
      <c r="N40" s="60">
        <v>15927</v>
      </c>
      <c r="O40" s="655">
        <f t="shared" si="3"/>
        <v>0.33679424825544513</v>
      </c>
    </row>
    <row r="41" spans="1:16" ht="15.75" thickBot="1" x14ac:dyDescent="0.3">
      <c r="A41" s="65" t="s">
        <v>44</v>
      </c>
      <c r="B41" s="359"/>
      <c r="C41" s="355">
        <f t="shared" ref="C41:N41" si="25">SUM(C42:C66)</f>
        <v>686340</v>
      </c>
      <c r="D41" s="355">
        <f t="shared" si="25"/>
        <v>686340</v>
      </c>
      <c r="E41" s="355">
        <f t="shared" si="25"/>
        <v>712565</v>
      </c>
      <c r="F41" s="355">
        <f t="shared" si="25"/>
        <v>718965</v>
      </c>
      <c r="G41" s="355">
        <f t="shared" si="25"/>
        <v>724965</v>
      </c>
      <c r="H41" s="355">
        <f t="shared" si="25"/>
        <v>728903</v>
      </c>
      <c r="I41" s="355">
        <f t="shared" si="25"/>
        <v>728903</v>
      </c>
      <c r="J41" s="355">
        <f t="shared" si="25"/>
        <v>735124</v>
      </c>
      <c r="K41" s="355">
        <f t="shared" si="25"/>
        <v>735124</v>
      </c>
      <c r="L41" s="355">
        <f t="shared" si="25"/>
        <v>736574</v>
      </c>
      <c r="M41" s="355">
        <f t="shared" si="25"/>
        <v>736574</v>
      </c>
      <c r="N41" s="355">
        <f t="shared" si="25"/>
        <v>362160</v>
      </c>
      <c r="O41" s="655">
        <f t="shared" si="3"/>
        <v>0.49168175906290473</v>
      </c>
      <c r="P41" s="464"/>
    </row>
    <row r="42" spans="1:16" x14ac:dyDescent="0.25">
      <c r="A42" s="67">
        <v>311</v>
      </c>
      <c r="B42" s="360" t="s">
        <v>45</v>
      </c>
      <c r="C42" s="68">
        <v>0</v>
      </c>
      <c r="D42" s="68">
        <v>0</v>
      </c>
      <c r="E42" s="68">
        <v>0</v>
      </c>
      <c r="F42" s="696">
        <v>5000</v>
      </c>
      <c r="G42" s="68">
        <f>5000</f>
        <v>5000</v>
      </c>
      <c r="H42" s="68">
        <f>5000</f>
        <v>5000</v>
      </c>
      <c r="I42" s="68">
        <f>5000</f>
        <v>5000</v>
      </c>
      <c r="J42" s="696">
        <f>5000+3000</f>
        <v>8000</v>
      </c>
      <c r="K42" s="68">
        <f>5000+3000</f>
        <v>8000</v>
      </c>
      <c r="L42" s="68">
        <f t="shared" ref="L42:M42" si="26">5000+3000</f>
        <v>8000</v>
      </c>
      <c r="M42" s="68">
        <f t="shared" si="26"/>
        <v>8000</v>
      </c>
      <c r="N42" s="68">
        <v>8000</v>
      </c>
      <c r="O42" s="655">
        <f t="shared" si="3"/>
        <v>1</v>
      </c>
    </row>
    <row r="43" spans="1:16" x14ac:dyDescent="0.25">
      <c r="A43" s="71">
        <v>312</v>
      </c>
      <c r="B43" s="76" t="s">
        <v>252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655">
        <v>0</v>
      </c>
    </row>
    <row r="44" spans="1:16" x14ac:dyDescent="0.25">
      <c r="A44" s="67">
        <v>312</v>
      </c>
      <c r="B44" s="360" t="s">
        <v>279</v>
      </c>
      <c r="C44" s="68">
        <v>4000</v>
      </c>
      <c r="D44" s="68">
        <v>4000</v>
      </c>
      <c r="E44" s="68">
        <v>4000</v>
      </c>
      <c r="F44" s="68">
        <v>4000</v>
      </c>
      <c r="G44" s="68">
        <v>4000</v>
      </c>
      <c r="H44" s="68">
        <v>4000</v>
      </c>
      <c r="I44" s="68">
        <v>4000</v>
      </c>
      <c r="J44" s="68">
        <v>4000</v>
      </c>
      <c r="K44" s="68">
        <v>4000</v>
      </c>
      <c r="L44" s="68">
        <v>4000</v>
      </c>
      <c r="M44" s="68">
        <v>4000</v>
      </c>
      <c r="N44" s="68">
        <v>0</v>
      </c>
      <c r="O44" s="655">
        <f t="shared" si="3"/>
        <v>0</v>
      </c>
    </row>
    <row r="45" spans="1:16" x14ac:dyDescent="0.25">
      <c r="A45" s="67">
        <v>312</v>
      </c>
      <c r="B45" s="360" t="s">
        <v>272</v>
      </c>
      <c r="C45" s="70">
        <v>4750</v>
      </c>
      <c r="D45" s="70">
        <v>4750</v>
      </c>
      <c r="E45" s="70">
        <v>4750</v>
      </c>
      <c r="F45" s="70">
        <v>4750</v>
      </c>
      <c r="G45" s="70">
        <v>4750</v>
      </c>
      <c r="H45" s="70">
        <v>4750</v>
      </c>
      <c r="I45" s="70">
        <v>4750</v>
      </c>
      <c r="J45" s="70">
        <v>4750</v>
      </c>
      <c r="K45" s="70">
        <v>4750</v>
      </c>
      <c r="L45" s="70">
        <v>4750</v>
      </c>
      <c r="M45" s="70">
        <v>4750</v>
      </c>
      <c r="N45" s="70">
        <v>4619</v>
      </c>
      <c r="O45" s="655">
        <f t="shared" si="3"/>
        <v>0.97242105263157896</v>
      </c>
    </row>
    <row r="46" spans="1:16" x14ac:dyDescent="0.25">
      <c r="A46" s="71">
        <v>312</v>
      </c>
      <c r="B46" s="76" t="s">
        <v>480</v>
      </c>
      <c r="C46" s="73">
        <v>0</v>
      </c>
      <c r="D46" s="73">
        <v>0</v>
      </c>
      <c r="E46" s="73">
        <v>0</v>
      </c>
      <c r="F46" s="73">
        <v>0</v>
      </c>
      <c r="G46" s="697">
        <f>6000</f>
        <v>6000</v>
      </c>
      <c r="H46" s="73">
        <f>6000</f>
        <v>6000</v>
      </c>
      <c r="I46" s="73">
        <f>6000</f>
        <v>6000</v>
      </c>
      <c r="J46" s="73">
        <f>6000</f>
        <v>6000</v>
      </c>
      <c r="K46" s="73">
        <f>6000</f>
        <v>6000</v>
      </c>
      <c r="L46" s="73">
        <f>6000</f>
        <v>6000</v>
      </c>
      <c r="M46" s="73">
        <f>6000</f>
        <v>6000</v>
      </c>
      <c r="N46" s="73">
        <v>1442</v>
      </c>
      <c r="O46" s="655">
        <f>N46/M46</f>
        <v>0.24033333333333334</v>
      </c>
    </row>
    <row r="47" spans="1:16" x14ac:dyDescent="0.25">
      <c r="A47" s="69">
        <v>312</v>
      </c>
      <c r="B47" s="450" t="s">
        <v>649</v>
      </c>
      <c r="C47" s="70">
        <v>2000</v>
      </c>
      <c r="D47" s="70">
        <v>2000</v>
      </c>
      <c r="E47" s="70">
        <v>2000</v>
      </c>
      <c r="F47" s="70">
        <v>2000</v>
      </c>
      <c r="G47" s="70">
        <v>2000</v>
      </c>
      <c r="H47" s="70">
        <v>2000</v>
      </c>
      <c r="I47" s="70">
        <v>2000</v>
      </c>
      <c r="J47" s="70">
        <v>2000</v>
      </c>
      <c r="K47" s="70">
        <v>2000</v>
      </c>
      <c r="L47" s="70">
        <v>2000</v>
      </c>
      <c r="M47" s="70">
        <v>2000</v>
      </c>
      <c r="N47" s="70">
        <v>767</v>
      </c>
      <c r="O47" s="655">
        <f t="shared" si="3"/>
        <v>0.38350000000000001</v>
      </c>
    </row>
    <row r="48" spans="1:16" x14ac:dyDescent="0.25">
      <c r="A48" s="71">
        <v>312</v>
      </c>
      <c r="B48" s="353" t="s">
        <v>231</v>
      </c>
      <c r="C48" s="16">
        <v>7900</v>
      </c>
      <c r="D48" s="16">
        <v>7900</v>
      </c>
      <c r="E48" s="16">
        <v>7900</v>
      </c>
      <c r="F48" s="16">
        <v>7900</v>
      </c>
      <c r="G48" s="16">
        <v>7900</v>
      </c>
      <c r="H48" s="16">
        <v>7900</v>
      </c>
      <c r="I48" s="16">
        <v>7900</v>
      </c>
      <c r="J48" s="16">
        <v>7900</v>
      </c>
      <c r="K48" s="16">
        <v>7900</v>
      </c>
      <c r="L48" s="16">
        <v>7900</v>
      </c>
      <c r="M48" s="16">
        <v>7900</v>
      </c>
      <c r="N48" s="16">
        <v>4735</v>
      </c>
      <c r="O48" s="655">
        <f t="shared" si="3"/>
        <v>0.59936708860759491</v>
      </c>
    </row>
    <row r="49" spans="1:16" x14ac:dyDescent="0.25">
      <c r="A49" s="71">
        <v>312</v>
      </c>
      <c r="B49" s="353" t="s">
        <v>232</v>
      </c>
      <c r="C49" s="16">
        <v>150</v>
      </c>
      <c r="D49" s="16">
        <v>150</v>
      </c>
      <c r="E49" s="16">
        <v>150</v>
      </c>
      <c r="F49" s="16">
        <v>150</v>
      </c>
      <c r="G49" s="16">
        <v>150</v>
      </c>
      <c r="H49" s="16">
        <v>150</v>
      </c>
      <c r="I49" s="16">
        <v>150</v>
      </c>
      <c r="J49" s="16">
        <v>150</v>
      </c>
      <c r="K49" s="16">
        <v>150</v>
      </c>
      <c r="L49" s="16">
        <v>150</v>
      </c>
      <c r="M49" s="16">
        <v>150</v>
      </c>
      <c r="N49" s="16">
        <v>0</v>
      </c>
      <c r="O49" s="655">
        <f t="shared" si="3"/>
        <v>0</v>
      </c>
    </row>
    <row r="50" spans="1:16" x14ac:dyDescent="0.25">
      <c r="A50" s="71">
        <v>312</v>
      </c>
      <c r="B50" s="118" t="s">
        <v>51</v>
      </c>
      <c r="C50" s="73">
        <v>2950</v>
      </c>
      <c r="D50" s="73">
        <v>2950</v>
      </c>
      <c r="E50" s="73">
        <v>2950</v>
      </c>
      <c r="F50" s="73">
        <v>2950</v>
      </c>
      <c r="G50" s="73">
        <v>2950</v>
      </c>
      <c r="H50" s="73">
        <v>2950</v>
      </c>
      <c r="I50" s="73">
        <v>2950</v>
      </c>
      <c r="J50" s="73">
        <v>2950</v>
      </c>
      <c r="K50" s="73">
        <v>2950</v>
      </c>
      <c r="L50" s="73">
        <v>2950</v>
      </c>
      <c r="M50" s="73">
        <v>2950</v>
      </c>
      <c r="N50" s="73">
        <v>0</v>
      </c>
      <c r="O50" s="655">
        <f t="shared" si="3"/>
        <v>0</v>
      </c>
    </row>
    <row r="51" spans="1:16" ht="15.75" thickBot="1" x14ac:dyDescent="0.3">
      <c r="A51" s="74">
        <v>312</v>
      </c>
      <c r="B51" s="82" t="s">
        <v>54</v>
      </c>
      <c r="C51" s="75">
        <v>40</v>
      </c>
      <c r="D51" s="75">
        <v>40</v>
      </c>
      <c r="E51" s="75">
        <v>40</v>
      </c>
      <c r="F51" s="75">
        <v>40</v>
      </c>
      <c r="G51" s="75">
        <v>40</v>
      </c>
      <c r="H51" s="75">
        <v>40</v>
      </c>
      <c r="I51" s="75">
        <v>40</v>
      </c>
      <c r="J51" s="75">
        <v>40</v>
      </c>
      <c r="K51" s="75">
        <v>40</v>
      </c>
      <c r="L51" s="75">
        <v>40</v>
      </c>
      <c r="M51" s="75">
        <v>40</v>
      </c>
      <c r="N51" s="75">
        <v>37</v>
      </c>
      <c r="O51" s="655">
        <f t="shared" si="3"/>
        <v>0.92500000000000004</v>
      </c>
    </row>
    <row r="52" spans="1:16" ht="15.75" thickBot="1" x14ac:dyDescent="0.3">
      <c r="A52" s="349">
        <v>312</v>
      </c>
      <c r="B52" s="361" t="s">
        <v>399</v>
      </c>
      <c r="C52" s="350">
        <v>4100</v>
      </c>
      <c r="D52" s="350">
        <v>4100</v>
      </c>
      <c r="E52" s="350">
        <v>4100</v>
      </c>
      <c r="F52" s="350">
        <v>4100</v>
      </c>
      <c r="G52" s="350">
        <v>4100</v>
      </c>
      <c r="H52" s="350">
        <v>4100</v>
      </c>
      <c r="I52" s="350">
        <v>4100</v>
      </c>
      <c r="J52" s="350">
        <v>4100</v>
      </c>
      <c r="K52" s="350">
        <v>4100</v>
      </c>
      <c r="L52" s="350">
        <v>4100</v>
      </c>
      <c r="M52" s="350">
        <v>4100</v>
      </c>
      <c r="N52" s="350">
        <v>2189</v>
      </c>
      <c r="O52" s="655">
        <f t="shared" si="3"/>
        <v>0.53390243902439027</v>
      </c>
    </row>
    <row r="53" spans="1:16" x14ac:dyDescent="0.25">
      <c r="A53" s="71">
        <v>312</v>
      </c>
      <c r="B53" s="85" t="s">
        <v>55</v>
      </c>
      <c r="C53" s="16">
        <v>19100</v>
      </c>
      <c r="D53" s="16">
        <v>19100</v>
      </c>
      <c r="E53" s="16">
        <v>19100</v>
      </c>
      <c r="F53" s="16">
        <v>19100</v>
      </c>
      <c r="G53" s="16">
        <v>19100</v>
      </c>
      <c r="H53" s="16">
        <v>19100</v>
      </c>
      <c r="I53" s="16">
        <v>19100</v>
      </c>
      <c r="J53" s="16">
        <v>19100</v>
      </c>
      <c r="K53" s="16">
        <v>19100</v>
      </c>
      <c r="L53" s="16">
        <v>19100</v>
      </c>
      <c r="M53" s="16">
        <v>19100</v>
      </c>
      <c r="N53" s="16">
        <v>9636</v>
      </c>
      <c r="O53" s="655">
        <f t="shared" si="3"/>
        <v>0.5045026178010471</v>
      </c>
    </row>
    <row r="54" spans="1:16" x14ac:dyDescent="0.25">
      <c r="A54" s="71">
        <v>312</v>
      </c>
      <c r="B54" s="118" t="s">
        <v>56</v>
      </c>
      <c r="C54" s="16">
        <v>11000</v>
      </c>
      <c r="D54" s="16">
        <v>11000</v>
      </c>
      <c r="E54" s="16">
        <v>11000</v>
      </c>
      <c r="F54" s="16">
        <v>11000</v>
      </c>
      <c r="G54" s="16">
        <v>11000</v>
      </c>
      <c r="H54" s="16">
        <v>11000</v>
      </c>
      <c r="I54" s="16">
        <v>11000</v>
      </c>
      <c r="J54" s="16">
        <v>11000</v>
      </c>
      <c r="K54" s="16">
        <v>11000</v>
      </c>
      <c r="L54" s="16">
        <v>11000</v>
      </c>
      <c r="M54" s="16">
        <v>11000</v>
      </c>
      <c r="N54" s="16">
        <v>5500</v>
      </c>
      <c r="O54" s="655">
        <f t="shared" si="3"/>
        <v>0.5</v>
      </c>
    </row>
    <row r="55" spans="1:16" ht="15.75" thickBot="1" x14ac:dyDescent="0.3">
      <c r="A55" s="77">
        <v>312</v>
      </c>
      <c r="B55" s="165" t="s">
        <v>57</v>
      </c>
      <c r="C55" s="79">
        <v>8600</v>
      </c>
      <c r="D55" s="79">
        <v>8600</v>
      </c>
      <c r="E55" s="79">
        <v>8600</v>
      </c>
      <c r="F55" s="79">
        <v>8600</v>
      </c>
      <c r="G55" s="79">
        <v>8600</v>
      </c>
      <c r="H55" s="79">
        <v>8600</v>
      </c>
      <c r="I55" s="79">
        <v>8600</v>
      </c>
      <c r="J55" s="79">
        <v>8600</v>
      </c>
      <c r="K55" s="79">
        <v>8600</v>
      </c>
      <c r="L55" s="79">
        <v>8600</v>
      </c>
      <c r="M55" s="79">
        <v>8600</v>
      </c>
      <c r="N55" s="79">
        <v>4210</v>
      </c>
      <c r="O55" s="655">
        <f t="shared" si="3"/>
        <v>0.48953488372093024</v>
      </c>
      <c r="P55" s="464"/>
    </row>
    <row r="56" spans="1:16" ht="15.75" thickBot="1" x14ac:dyDescent="0.3">
      <c r="A56" s="77">
        <v>312</v>
      </c>
      <c r="B56" s="165" t="s">
        <v>540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20">
        <v>3200</v>
      </c>
      <c r="I56" s="79">
        <v>3200</v>
      </c>
      <c r="J56" s="79">
        <v>3200</v>
      </c>
      <c r="K56" s="79">
        <v>3200</v>
      </c>
      <c r="L56" s="79">
        <v>3200</v>
      </c>
      <c r="M56" s="79">
        <v>3200</v>
      </c>
      <c r="N56" s="79">
        <v>3200</v>
      </c>
      <c r="O56" s="655">
        <f t="shared" si="3"/>
        <v>1</v>
      </c>
      <c r="P56" s="464"/>
    </row>
    <row r="57" spans="1:16" ht="15.75" thickBot="1" x14ac:dyDescent="0.3">
      <c r="A57" s="74">
        <v>312</v>
      </c>
      <c r="B57" s="82" t="s">
        <v>60</v>
      </c>
      <c r="C57" s="75">
        <v>0</v>
      </c>
      <c r="D57" s="75">
        <v>0</v>
      </c>
      <c r="E57" s="633">
        <f>2000</f>
        <v>2000</v>
      </c>
      <c r="F57" s="75">
        <f>2000</f>
        <v>2000</v>
      </c>
      <c r="G57" s="75">
        <f>2000</f>
        <v>2000</v>
      </c>
      <c r="H57" s="75">
        <f>2000</f>
        <v>2000</v>
      </c>
      <c r="I57" s="75">
        <f>2000</f>
        <v>2000</v>
      </c>
      <c r="J57" s="75">
        <f>2000</f>
        <v>2000</v>
      </c>
      <c r="K57" s="75">
        <f>2000</f>
        <v>2000</v>
      </c>
      <c r="L57" s="633">
        <f>2000+1200</f>
        <v>3200</v>
      </c>
      <c r="M57" s="75">
        <f>2000+1200</f>
        <v>3200</v>
      </c>
      <c r="N57" s="75">
        <v>2000</v>
      </c>
      <c r="O57" s="655">
        <f t="shared" si="3"/>
        <v>0.625</v>
      </c>
    </row>
    <row r="58" spans="1:16" x14ac:dyDescent="0.25">
      <c r="A58" s="71">
        <v>312</v>
      </c>
      <c r="B58" s="352" t="s">
        <v>61</v>
      </c>
      <c r="C58" s="83">
        <v>5000</v>
      </c>
      <c r="D58" s="83">
        <v>5000</v>
      </c>
      <c r="E58" s="83">
        <v>5000</v>
      </c>
      <c r="F58" s="83">
        <v>5000</v>
      </c>
      <c r="G58" s="83">
        <v>5000</v>
      </c>
      <c r="H58" s="83">
        <v>5000</v>
      </c>
      <c r="I58" s="83">
        <v>5000</v>
      </c>
      <c r="J58" s="83">
        <v>5000</v>
      </c>
      <c r="K58" s="83">
        <v>5000</v>
      </c>
      <c r="L58" s="83">
        <v>5000</v>
      </c>
      <c r="M58" s="83">
        <v>5000</v>
      </c>
      <c r="N58" s="83">
        <v>4838</v>
      </c>
      <c r="O58" s="655">
        <f t="shared" si="3"/>
        <v>0.96760000000000002</v>
      </c>
    </row>
    <row r="59" spans="1:16" x14ac:dyDescent="0.25">
      <c r="A59" s="84">
        <v>312</v>
      </c>
      <c r="B59" s="362" t="s">
        <v>62</v>
      </c>
      <c r="C59" s="21">
        <v>3700</v>
      </c>
      <c r="D59" s="21">
        <v>3700</v>
      </c>
      <c r="E59" s="21">
        <v>3700</v>
      </c>
      <c r="F59" s="21">
        <v>3700</v>
      </c>
      <c r="G59" s="21">
        <v>3700</v>
      </c>
      <c r="H59" s="21">
        <v>3700</v>
      </c>
      <c r="I59" s="21">
        <v>3700</v>
      </c>
      <c r="J59" s="21">
        <v>3700</v>
      </c>
      <c r="K59" s="21">
        <v>3700</v>
      </c>
      <c r="L59" s="21">
        <v>3700</v>
      </c>
      <c r="M59" s="21">
        <v>3700</v>
      </c>
      <c r="N59" s="21">
        <v>3593</v>
      </c>
      <c r="O59" s="655">
        <f t="shared" si="3"/>
        <v>0.97108108108108104</v>
      </c>
    </row>
    <row r="60" spans="1:16" x14ac:dyDescent="0.25">
      <c r="A60" s="84">
        <v>312</v>
      </c>
      <c r="B60" s="363" t="s">
        <v>320</v>
      </c>
      <c r="C60" s="33">
        <v>3000</v>
      </c>
      <c r="D60" s="33">
        <v>3000</v>
      </c>
      <c r="E60" s="651">
        <f t="shared" ref="E60:M60" si="27">3000+2406</f>
        <v>5406</v>
      </c>
      <c r="F60" s="33">
        <f t="shared" si="27"/>
        <v>5406</v>
      </c>
      <c r="G60" s="33">
        <f t="shared" si="27"/>
        <v>5406</v>
      </c>
      <c r="H60" s="33">
        <f t="shared" si="27"/>
        <v>5406</v>
      </c>
      <c r="I60" s="33">
        <f t="shared" si="27"/>
        <v>5406</v>
      </c>
      <c r="J60" s="33">
        <f t="shared" si="27"/>
        <v>5406</v>
      </c>
      <c r="K60" s="33">
        <f t="shared" si="27"/>
        <v>5406</v>
      </c>
      <c r="L60" s="33">
        <f t="shared" si="27"/>
        <v>5406</v>
      </c>
      <c r="M60" s="33">
        <f t="shared" si="27"/>
        <v>5406</v>
      </c>
      <c r="N60" s="33">
        <v>5406</v>
      </c>
      <c r="O60" s="655">
        <f t="shared" si="3"/>
        <v>1</v>
      </c>
    </row>
    <row r="61" spans="1:16" x14ac:dyDescent="0.25">
      <c r="A61" s="71">
        <v>312</v>
      </c>
      <c r="B61" s="118" t="s">
        <v>400</v>
      </c>
      <c r="C61" s="16">
        <f t="shared" ref="C61:M61" si="28">89800-64300</f>
        <v>25500</v>
      </c>
      <c r="D61" s="16">
        <f t="shared" si="28"/>
        <v>25500</v>
      </c>
      <c r="E61" s="16">
        <f t="shared" si="28"/>
        <v>25500</v>
      </c>
      <c r="F61" s="16">
        <f t="shared" si="28"/>
        <v>25500</v>
      </c>
      <c r="G61" s="16">
        <f t="shared" si="28"/>
        <v>25500</v>
      </c>
      <c r="H61" s="16">
        <f t="shared" si="28"/>
        <v>25500</v>
      </c>
      <c r="I61" s="16">
        <f t="shared" si="28"/>
        <v>25500</v>
      </c>
      <c r="J61" s="16">
        <f t="shared" si="28"/>
        <v>25500</v>
      </c>
      <c r="K61" s="16">
        <f t="shared" si="28"/>
        <v>25500</v>
      </c>
      <c r="L61" s="16">
        <f t="shared" si="28"/>
        <v>25500</v>
      </c>
      <c r="M61" s="16">
        <f t="shared" si="28"/>
        <v>25500</v>
      </c>
      <c r="N61" s="16">
        <v>0</v>
      </c>
      <c r="O61" s="655">
        <f t="shared" si="3"/>
        <v>0</v>
      </c>
    </row>
    <row r="62" spans="1:16" ht="15.75" thickBot="1" x14ac:dyDescent="0.3">
      <c r="A62" s="77">
        <v>312</v>
      </c>
      <c r="B62" s="165" t="s">
        <v>64</v>
      </c>
      <c r="C62" s="79">
        <v>46400</v>
      </c>
      <c r="D62" s="79">
        <v>46400</v>
      </c>
      <c r="E62" s="79">
        <v>46400</v>
      </c>
      <c r="F62" s="79">
        <v>46400</v>
      </c>
      <c r="G62" s="79">
        <v>46400</v>
      </c>
      <c r="H62" s="79">
        <v>46400</v>
      </c>
      <c r="I62" s="79">
        <v>46400</v>
      </c>
      <c r="J62" s="79">
        <v>46400</v>
      </c>
      <c r="K62" s="79">
        <v>46400</v>
      </c>
      <c r="L62" s="79">
        <v>46400</v>
      </c>
      <c r="M62" s="79">
        <v>46400</v>
      </c>
      <c r="N62" s="79">
        <v>11682</v>
      </c>
      <c r="O62" s="655">
        <f t="shared" si="3"/>
        <v>0.25176724137931034</v>
      </c>
    </row>
    <row r="63" spans="1:16" x14ac:dyDescent="0.25">
      <c r="A63" s="71">
        <v>315</v>
      </c>
      <c r="B63" s="76" t="s">
        <v>59</v>
      </c>
      <c r="C63" s="16">
        <v>3000</v>
      </c>
      <c r="D63" s="16">
        <v>3000</v>
      </c>
      <c r="E63" s="16">
        <v>3000</v>
      </c>
      <c r="F63" s="16">
        <v>3000</v>
      </c>
      <c r="G63" s="16">
        <v>3000</v>
      </c>
      <c r="H63" s="16">
        <v>3000</v>
      </c>
      <c r="I63" s="16">
        <v>3000</v>
      </c>
      <c r="J63" s="16">
        <v>3000</v>
      </c>
      <c r="K63" s="16">
        <v>3000</v>
      </c>
      <c r="L63" s="16">
        <v>3000</v>
      </c>
      <c r="M63" s="16">
        <v>3000</v>
      </c>
      <c r="N63" s="16">
        <v>3000</v>
      </c>
      <c r="O63" s="655">
        <f t="shared" si="3"/>
        <v>1</v>
      </c>
    </row>
    <row r="64" spans="1:16" ht="15.75" thickBot="1" x14ac:dyDescent="0.3">
      <c r="A64" s="77">
        <v>315</v>
      </c>
      <c r="B64" s="78" t="s">
        <v>319</v>
      </c>
      <c r="C64" s="79">
        <v>200</v>
      </c>
      <c r="D64" s="79">
        <v>200</v>
      </c>
      <c r="E64" s="79">
        <v>200</v>
      </c>
      <c r="F64" s="79">
        <v>200</v>
      </c>
      <c r="G64" s="79">
        <v>200</v>
      </c>
      <c r="H64" s="79">
        <v>200</v>
      </c>
      <c r="I64" s="79">
        <v>200</v>
      </c>
      <c r="J64" s="79">
        <v>200</v>
      </c>
      <c r="K64" s="79">
        <v>200</v>
      </c>
      <c r="L64" s="79">
        <v>200</v>
      </c>
      <c r="M64" s="79">
        <v>200</v>
      </c>
      <c r="N64" s="79">
        <v>0</v>
      </c>
      <c r="O64" s="655">
        <f t="shared" si="3"/>
        <v>0</v>
      </c>
    </row>
    <row r="65" spans="1:25" ht="15.75" x14ac:dyDescent="0.25">
      <c r="A65" s="521">
        <v>312</v>
      </c>
      <c r="B65" s="522" t="s">
        <v>254</v>
      </c>
      <c r="C65" s="526">
        <v>0</v>
      </c>
      <c r="D65" s="526">
        <v>0</v>
      </c>
      <c r="E65" s="526">
        <v>0</v>
      </c>
      <c r="F65" s="526">
        <v>0</v>
      </c>
      <c r="G65" s="526">
        <v>0</v>
      </c>
      <c r="H65" s="526">
        <v>0</v>
      </c>
      <c r="I65" s="526">
        <v>0</v>
      </c>
      <c r="J65" s="526">
        <v>0</v>
      </c>
      <c r="K65" s="526">
        <v>0</v>
      </c>
      <c r="L65" s="526">
        <v>0</v>
      </c>
      <c r="M65" s="526">
        <v>0</v>
      </c>
      <c r="N65" s="526">
        <v>0</v>
      </c>
      <c r="O65" s="655">
        <v>0</v>
      </c>
    </row>
    <row r="66" spans="1:25" ht="16.5" thickBot="1" x14ac:dyDescent="0.3">
      <c r="A66" s="86">
        <v>312</v>
      </c>
      <c r="B66" s="87" t="s">
        <v>65</v>
      </c>
      <c r="C66" s="88">
        <v>534950</v>
      </c>
      <c r="D66" s="88">
        <v>534950</v>
      </c>
      <c r="E66" s="620">
        <f>534950+21819</f>
        <v>556769</v>
      </c>
      <c r="F66" s="620">
        <f>534950+21819+1400</f>
        <v>558169</v>
      </c>
      <c r="G66" s="695">
        <f>534950+21819+1400</f>
        <v>558169</v>
      </c>
      <c r="H66" s="620">
        <f>534950+21819+1400+600+138</f>
        <v>558907</v>
      </c>
      <c r="I66" s="695">
        <f>534950+21819+1400+600+138</f>
        <v>558907</v>
      </c>
      <c r="J66" s="620">
        <f>534950+21819+1400+600+138+337+2884</f>
        <v>562128</v>
      </c>
      <c r="K66" s="695">
        <f>534950+21819+1400+600+138+3221</f>
        <v>562128</v>
      </c>
      <c r="L66" s="620">
        <f>534950+21819+1400+600+138+3221+450-200</f>
        <v>562378</v>
      </c>
      <c r="M66" s="695">
        <f>534950+21819+1400+600+138+3221+250</f>
        <v>562378</v>
      </c>
      <c r="N66" s="88">
        <v>287306</v>
      </c>
      <c r="O66" s="655">
        <f t="shared" si="3"/>
        <v>0.51087702577270089</v>
      </c>
      <c r="P66" s="464">
        <f t="shared" ref="P66:P74" si="29">D66-C66</f>
        <v>0</v>
      </c>
      <c r="Q66" s="464">
        <f t="shared" ref="Q66:Q74" si="30">E66-D66</f>
        <v>21819</v>
      </c>
      <c r="R66" s="464">
        <f t="shared" ref="R66:R74" si="31">F66-E66</f>
        <v>1400</v>
      </c>
      <c r="S66" s="464">
        <f t="shared" ref="S66:S74" si="32">G66-F66</f>
        <v>0</v>
      </c>
      <c r="T66" s="464">
        <f t="shared" ref="T66:T74" si="33">H66-G66</f>
        <v>738</v>
      </c>
      <c r="U66" s="464">
        <f t="shared" ref="U66:U74" si="34">I66-H66</f>
        <v>0</v>
      </c>
      <c r="V66" s="464">
        <f t="shared" ref="V66:V74" si="35">J66-I66</f>
        <v>3221</v>
      </c>
      <c r="W66" s="464">
        <f t="shared" ref="W66:W74" si="36">K66-J66</f>
        <v>0</v>
      </c>
      <c r="X66" s="464">
        <f t="shared" ref="X66:X74" si="37">L66-K66</f>
        <v>250</v>
      </c>
      <c r="Y66" s="464">
        <f t="shared" ref="Y66:Y74" si="38">M66-L66</f>
        <v>0</v>
      </c>
    </row>
    <row r="67" spans="1:25" ht="16.5" thickBot="1" x14ac:dyDescent="0.3">
      <c r="A67" s="89" t="s">
        <v>66</v>
      </c>
      <c r="B67" s="364"/>
      <c r="C67" s="90">
        <f t="shared" ref="C67:N67" si="39">SUM(C3+C11+C32+C34+C41)</f>
        <v>2231928</v>
      </c>
      <c r="D67" s="90">
        <f t="shared" si="39"/>
        <v>2231928</v>
      </c>
      <c r="E67" s="90">
        <f t="shared" si="39"/>
        <v>2258158</v>
      </c>
      <c r="F67" s="90">
        <f t="shared" si="39"/>
        <v>2264558</v>
      </c>
      <c r="G67" s="90">
        <f t="shared" si="39"/>
        <v>2270558</v>
      </c>
      <c r="H67" s="90">
        <f t="shared" si="39"/>
        <v>2274496</v>
      </c>
      <c r="I67" s="90">
        <f t="shared" si="39"/>
        <v>2285396</v>
      </c>
      <c r="J67" s="90">
        <f t="shared" si="39"/>
        <v>2291617</v>
      </c>
      <c r="K67" s="90">
        <f t="shared" si="39"/>
        <v>2291960</v>
      </c>
      <c r="L67" s="90">
        <f t="shared" si="39"/>
        <v>2293410</v>
      </c>
      <c r="M67" s="90">
        <f t="shared" si="39"/>
        <v>2299610</v>
      </c>
      <c r="N67" s="90">
        <f t="shared" si="39"/>
        <v>1108658</v>
      </c>
      <c r="O67" s="655">
        <f t="shared" si="3"/>
        <v>0.48210696596379388</v>
      </c>
      <c r="P67" s="464">
        <f t="shared" si="29"/>
        <v>0</v>
      </c>
      <c r="Q67" s="464">
        <f t="shared" si="30"/>
        <v>26230</v>
      </c>
      <c r="R67" s="464">
        <f t="shared" si="31"/>
        <v>6400</v>
      </c>
      <c r="S67" s="464">
        <f t="shared" si="32"/>
        <v>6000</v>
      </c>
      <c r="T67" s="464">
        <f t="shared" si="33"/>
        <v>3938</v>
      </c>
      <c r="U67" s="464">
        <f t="shared" si="34"/>
        <v>10900</v>
      </c>
      <c r="V67" s="464">
        <f t="shared" si="35"/>
        <v>6221</v>
      </c>
      <c r="W67" s="464">
        <f t="shared" si="36"/>
        <v>343</v>
      </c>
      <c r="X67" s="464">
        <f t="shared" si="37"/>
        <v>1450</v>
      </c>
      <c r="Y67" s="464">
        <f t="shared" si="38"/>
        <v>6200</v>
      </c>
    </row>
    <row r="68" spans="1:25" x14ac:dyDescent="0.25">
      <c r="A68" s="91" t="s">
        <v>67</v>
      </c>
      <c r="B68" s="92" t="s">
        <v>68</v>
      </c>
      <c r="C68" s="93">
        <v>2450</v>
      </c>
      <c r="D68" s="93">
        <v>2450</v>
      </c>
      <c r="E68" s="93">
        <v>2450</v>
      </c>
      <c r="F68" s="93">
        <v>2450</v>
      </c>
      <c r="G68" s="93">
        <v>2450</v>
      </c>
      <c r="H68" s="93">
        <v>2450</v>
      </c>
      <c r="I68" s="93">
        <v>2450</v>
      </c>
      <c r="J68" s="93">
        <v>2450</v>
      </c>
      <c r="K68" s="93">
        <v>2450</v>
      </c>
      <c r="L68" s="93">
        <v>2450</v>
      </c>
      <c r="M68" s="93">
        <v>2450</v>
      </c>
      <c r="N68" s="93">
        <v>47</v>
      </c>
      <c r="O68" s="655">
        <f t="shared" ref="O68:O130" si="40">N68/M68</f>
        <v>1.9183673469387756E-2</v>
      </c>
      <c r="P68" s="464">
        <f t="shared" si="29"/>
        <v>0</v>
      </c>
      <c r="Q68" s="464">
        <f t="shared" si="30"/>
        <v>0</v>
      </c>
      <c r="R68" s="464">
        <f t="shared" si="31"/>
        <v>0</v>
      </c>
      <c r="S68" s="464">
        <f t="shared" si="32"/>
        <v>0</v>
      </c>
      <c r="T68" s="464">
        <f t="shared" si="33"/>
        <v>0</v>
      </c>
      <c r="U68" s="464">
        <f t="shared" si="34"/>
        <v>0</v>
      </c>
      <c r="V68" s="464">
        <f t="shared" si="35"/>
        <v>0</v>
      </c>
      <c r="W68" s="464">
        <f t="shared" si="36"/>
        <v>0</v>
      </c>
      <c r="X68" s="464">
        <f t="shared" si="37"/>
        <v>0</v>
      </c>
      <c r="Y68" s="464">
        <f t="shared" si="38"/>
        <v>0</v>
      </c>
    </row>
    <row r="69" spans="1:25" ht="15.75" thickBot="1" x14ac:dyDescent="0.3">
      <c r="A69" s="94" t="s">
        <v>67</v>
      </c>
      <c r="B69" s="92" t="s">
        <v>69</v>
      </c>
      <c r="C69" s="95">
        <v>2000</v>
      </c>
      <c r="D69" s="95">
        <v>2000</v>
      </c>
      <c r="E69" s="95">
        <v>2000</v>
      </c>
      <c r="F69" s="95">
        <v>2000</v>
      </c>
      <c r="G69" s="95">
        <v>2000</v>
      </c>
      <c r="H69" s="95">
        <v>2000</v>
      </c>
      <c r="I69" s="95">
        <v>2000</v>
      </c>
      <c r="J69" s="95">
        <v>2000</v>
      </c>
      <c r="K69" s="95">
        <v>2000</v>
      </c>
      <c r="L69" s="95">
        <v>2000</v>
      </c>
      <c r="M69" s="95">
        <v>2000</v>
      </c>
      <c r="N69" s="95">
        <v>924</v>
      </c>
      <c r="O69" s="655">
        <f t="shared" si="40"/>
        <v>0.46200000000000002</v>
      </c>
      <c r="P69" s="464">
        <f t="shared" si="29"/>
        <v>0</v>
      </c>
      <c r="Q69" s="464">
        <f t="shared" si="30"/>
        <v>0</v>
      </c>
      <c r="R69" s="464">
        <f t="shared" si="31"/>
        <v>0</v>
      </c>
      <c r="S69" s="464">
        <f t="shared" si="32"/>
        <v>0</v>
      </c>
      <c r="T69" s="464">
        <f t="shared" si="33"/>
        <v>0</v>
      </c>
      <c r="U69" s="464">
        <f t="shared" si="34"/>
        <v>0</v>
      </c>
      <c r="V69" s="464">
        <f t="shared" si="35"/>
        <v>0</v>
      </c>
      <c r="W69" s="464">
        <f t="shared" si="36"/>
        <v>0</v>
      </c>
      <c r="X69" s="464">
        <f t="shared" si="37"/>
        <v>0</v>
      </c>
      <c r="Y69" s="464">
        <f t="shared" si="38"/>
        <v>0</v>
      </c>
    </row>
    <row r="70" spans="1:25" ht="15.75" thickBot="1" x14ac:dyDescent="0.3">
      <c r="A70" s="813" t="s">
        <v>71</v>
      </c>
      <c r="B70" s="814"/>
      <c r="C70" s="99">
        <f t="shared" ref="C70:N70" si="41">SUM(C68:C69)</f>
        <v>4450</v>
      </c>
      <c r="D70" s="99">
        <f t="shared" si="41"/>
        <v>4450</v>
      </c>
      <c r="E70" s="99">
        <f t="shared" si="41"/>
        <v>4450</v>
      </c>
      <c r="F70" s="99">
        <f t="shared" si="41"/>
        <v>4450</v>
      </c>
      <c r="G70" s="99">
        <f t="shared" si="41"/>
        <v>4450</v>
      </c>
      <c r="H70" s="99">
        <f t="shared" si="41"/>
        <v>4450</v>
      </c>
      <c r="I70" s="99">
        <f t="shared" si="41"/>
        <v>4450</v>
      </c>
      <c r="J70" s="99">
        <f t="shared" ref="J70:K70" si="42">SUM(J68:J69)</f>
        <v>4450</v>
      </c>
      <c r="K70" s="99">
        <f t="shared" si="42"/>
        <v>4450</v>
      </c>
      <c r="L70" s="99">
        <f t="shared" ref="L70:M70" si="43">SUM(L68:L69)</f>
        <v>4450</v>
      </c>
      <c r="M70" s="99">
        <f t="shared" si="43"/>
        <v>4450</v>
      </c>
      <c r="N70" s="99">
        <f t="shared" si="41"/>
        <v>971</v>
      </c>
      <c r="O70" s="655">
        <f t="shared" si="40"/>
        <v>0.21820224719101122</v>
      </c>
      <c r="P70" s="464">
        <f t="shared" si="29"/>
        <v>0</v>
      </c>
      <c r="Q70" s="464">
        <f t="shared" si="30"/>
        <v>0</v>
      </c>
      <c r="R70" s="464">
        <f t="shared" si="31"/>
        <v>0</v>
      </c>
      <c r="S70" s="464">
        <f t="shared" si="32"/>
        <v>0</v>
      </c>
      <c r="T70" s="464">
        <f t="shared" si="33"/>
        <v>0</v>
      </c>
      <c r="U70" s="464">
        <f t="shared" si="34"/>
        <v>0</v>
      </c>
      <c r="V70" s="464">
        <f t="shared" si="35"/>
        <v>0</v>
      </c>
      <c r="W70" s="464">
        <f t="shared" si="36"/>
        <v>0</v>
      </c>
      <c r="X70" s="464">
        <f t="shared" si="37"/>
        <v>0</v>
      </c>
      <c r="Y70" s="464">
        <f t="shared" si="38"/>
        <v>0</v>
      </c>
    </row>
    <row r="71" spans="1:25" ht="15.75" thickBot="1" x14ac:dyDescent="0.3">
      <c r="A71" s="100" t="s">
        <v>67</v>
      </c>
      <c r="B71" s="101" t="s">
        <v>72</v>
      </c>
      <c r="C71" s="455">
        <v>11470</v>
      </c>
      <c r="D71" s="455">
        <v>11470</v>
      </c>
      <c r="E71" s="455">
        <v>11470</v>
      </c>
      <c r="F71" s="455">
        <v>11470</v>
      </c>
      <c r="G71" s="455">
        <v>11470</v>
      </c>
      <c r="H71" s="455">
        <v>11470</v>
      </c>
      <c r="I71" s="455">
        <v>11470</v>
      </c>
      <c r="J71" s="455">
        <v>11470</v>
      </c>
      <c r="K71" s="455">
        <v>11470</v>
      </c>
      <c r="L71" s="455">
        <v>11470</v>
      </c>
      <c r="M71" s="455">
        <v>11470</v>
      </c>
      <c r="N71" s="455">
        <v>5520</v>
      </c>
      <c r="O71" s="655">
        <f t="shared" si="40"/>
        <v>0.48125544899738448</v>
      </c>
      <c r="P71" s="464">
        <f t="shared" si="29"/>
        <v>0</v>
      </c>
      <c r="Q71" s="464">
        <f t="shared" si="30"/>
        <v>0</v>
      </c>
      <c r="R71" s="464">
        <f t="shared" si="31"/>
        <v>0</v>
      </c>
      <c r="S71" s="464">
        <f t="shared" si="32"/>
        <v>0</v>
      </c>
      <c r="T71" s="464">
        <f t="shared" si="33"/>
        <v>0</v>
      </c>
      <c r="U71" s="464">
        <f t="shared" si="34"/>
        <v>0</v>
      </c>
      <c r="V71" s="464">
        <f t="shared" si="35"/>
        <v>0</v>
      </c>
      <c r="W71" s="464">
        <f t="shared" si="36"/>
        <v>0</v>
      </c>
      <c r="X71" s="464">
        <f t="shared" si="37"/>
        <v>0</v>
      </c>
      <c r="Y71" s="464">
        <f t="shared" si="38"/>
        <v>0</v>
      </c>
    </row>
    <row r="72" spans="1:25" ht="15.75" thickBot="1" x14ac:dyDescent="0.3">
      <c r="A72" s="813" t="s">
        <v>275</v>
      </c>
      <c r="B72" s="814"/>
      <c r="C72" s="451">
        <f t="shared" ref="C72:N72" si="44">SUM(C71:C71)</f>
        <v>11470</v>
      </c>
      <c r="D72" s="451">
        <f t="shared" si="44"/>
        <v>11470</v>
      </c>
      <c r="E72" s="451">
        <f t="shared" si="44"/>
        <v>11470</v>
      </c>
      <c r="F72" s="451">
        <f t="shared" si="44"/>
        <v>11470</v>
      </c>
      <c r="G72" s="451">
        <f t="shared" si="44"/>
        <v>11470</v>
      </c>
      <c r="H72" s="451">
        <f t="shared" si="44"/>
        <v>11470</v>
      </c>
      <c r="I72" s="451">
        <f t="shared" si="44"/>
        <v>11470</v>
      </c>
      <c r="J72" s="451">
        <f t="shared" si="44"/>
        <v>11470</v>
      </c>
      <c r="K72" s="451">
        <f t="shared" si="44"/>
        <v>11470</v>
      </c>
      <c r="L72" s="451">
        <f t="shared" ref="L72:M72" si="45">SUM(L71:L71)</f>
        <v>11470</v>
      </c>
      <c r="M72" s="451">
        <f t="shared" si="45"/>
        <v>11470</v>
      </c>
      <c r="N72" s="451">
        <f t="shared" si="44"/>
        <v>5520</v>
      </c>
      <c r="O72" s="655">
        <f t="shared" si="40"/>
        <v>0.48125544899738448</v>
      </c>
      <c r="P72" s="464">
        <f t="shared" si="29"/>
        <v>0</v>
      </c>
      <c r="Q72" s="464">
        <f t="shared" si="30"/>
        <v>0</v>
      </c>
      <c r="R72" s="464">
        <f t="shared" si="31"/>
        <v>0</v>
      </c>
      <c r="S72" s="464">
        <f t="shared" si="32"/>
        <v>0</v>
      </c>
      <c r="T72" s="464">
        <f t="shared" si="33"/>
        <v>0</v>
      </c>
      <c r="U72" s="464">
        <f t="shared" si="34"/>
        <v>0</v>
      </c>
      <c r="V72" s="464">
        <f t="shared" si="35"/>
        <v>0</v>
      </c>
      <c r="W72" s="464">
        <f t="shared" si="36"/>
        <v>0</v>
      </c>
      <c r="X72" s="464">
        <f t="shared" si="37"/>
        <v>0</v>
      </c>
      <c r="Y72" s="464">
        <f t="shared" si="38"/>
        <v>0</v>
      </c>
    </row>
    <row r="73" spans="1:25" ht="16.5" thickBot="1" x14ac:dyDescent="0.3">
      <c r="A73" s="815" t="s">
        <v>73</v>
      </c>
      <c r="B73" s="816"/>
      <c r="C73" s="103">
        <f t="shared" ref="C73:N73" si="46">C70+C72</f>
        <v>15920</v>
      </c>
      <c r="D73" s="103">
        <f t="shared" si="46"/>
        <v>15920</v>
      </c>
      <c r="E73" s="103">
        <f t="shared" si="46"/>
        <v>15920</v>
      </c>
      <c r="F73" s="103">
        <f t="shared" si="46"/>
        <v>15920</v>
      </c>
      <c r="G73" s="103">
        <f t="shared" si="46"/>
        <v>15920</v>
      </c>
      <c r="H73" s="103">
        <f t="shared" si="46"/>
        <v>15920</v>
      </c>
      <c r="I73" s="103">
        <f t="shared" si="46"/>
        <v>15920</v>
      </c>
      <c r="J73" s="103">
        <f t="shared" si="46"/>
        <v>15920</v>
      </c>
      <c r="K73" s="103">
        <f t="shared" si="46"/>
        <v>15920</v>
      </c>
      <c r="L73" s="103">
        <f t="shared" ref="L73:M73" si="47">L70+L72</f>
        <v>15920</v>
      </c>
      <c r="M73" s="103">
        <f t="shared" si="47"/>
        <v>15920</v>
      </c>
      <c r="N73" s="103">
        <f t="shared" si="46"/>
        <v>6491</v>
      </c>
      <c r="O73" s="655">
        <f t="shared" si="40"/>
        <v>0.40772613065326635</v>
      </c>
      <c r="P73" s="464">
        <f t="shared" si="29"/>
        <v>0</v>
      </c>
      <c r="Q73" s="464">
        <f t="shared" si="30"/>
        <v>0</v>
      </c>
      <c r="R73" s="464">
        <f t="shared" si="31"/>
        <v>0</v>
      </c>
      <c r="S73" s="464">
        <f t="shared" si="32"/>
        <v>0</v>
      </c>
      <c r="T73" s="464">
        <f t="shared" si="33"/>
        <v>0</v>
      </c>
      <c r="U73" s="464">
        <f t="shared" si="34"/>
        <v>0</v>
      </c>
      <c r="V73" s="464">
        <f t="shared" si="35"/>
        <v>0</v>
      </c>
      <c r="W73" s="464">
        <f t="shared" si="36"/>
        <v>0</v>
      </c>
      <c r="X73" s="464">
        <f t="shared" si="37"/>
        <v>0</v>
      </c>
      <c r="Y73" s="464">
        <f t="shared" si="38"/>
        <v>0</v>
      </c>
    </row>
    <row r="74" spans="1:25" ht="16.5" thickBot="1" x14ac:dyDescent="0.3">
      <c r="A74" s="89" t="s">
        <v>74</v>
      </c>
      <c r="B74" s="66"/>
      <c r="C74" s="90">
        <f t="shared" ref="C74:N74" si="48">C67+C73</f>
        <v>2247848</v>
      </c>
      <c r="D74" s="90">
        <f t="shared" si="48"/>
        <v>2247848</v>
      </c>
      <c r="E74" s="90">
        <f t="shared" si="48"/>
        <v>2274078</v>
      </c>
      <c r="F74" s="90">
        <f t="shared" si="48"/>
        <v>2280478</v>
      </c>
      <c r="G74" s="90">
        <f t="shared" si="48"/>
        <v>2286478</v>
      </c>
      <c r="H74" s="90">
        <f t="shared" si="48"/>
        <v>2290416</v>
      </c>
      <c r="I74" s="90">
        <f t="shared" si="48"/>
        <v>2301316</v>
      </c>
      <c r="J74" s="90">
        <f t="shared" si="48"/>
        <v>2307537</v>
      </c>
      <c r="K74" s="90">
        <f t="shared" si="48"/>
        <v>2307880</v>
      </c>
      <c r="L74" s="90">
        <f t="shared" ref="L74:M74" si="49">L67+L73</f>
        <v>2309330</v>
      </c>
      <c r="M74" s="90">
        <f t="shared" si="49"/>
        <v>2315530</v>
      </c>
      <c r="N74" s="90">
        <f t="shared" si="48"/>
        <v>1115149</v>
      </c>
      <c r="O74" s="655">
        <f t="shared" si="40"/>
        <v>0.48159557423138549</v>
      </c>
      <c r="P74" s="464">
        <f t="shared" si="29"/>
        <v>0</v>
      </c>
      <c r="Q74" s="464">
        <f t="shared" si="30"/>
        <v>26230</v>
      </c>
      <c r="R74" s="464">
        <f t="shared" si="31"/>
        <v>6400</v>
      </c>
      <c r="S74" s="464">
        <f t="shared" si="32"/>
        <v>6000</v>
      </c>
      <c r="T74" s="464">
        <f t="shared" si="33"/>
        <v>3938</v>
      </c>
      <c r="U74" s="464">
        <f t="shared" si="34"/>
        <v>10900</v>
      </c>
      <c r="V74" s="464">
        <f t="shared" si="35"/>
        <v>6221</v>
      </c>
      <c r="W74" s="464">
        <f t="shared" si="36"/>
        <v>343</v>
      </c>
      <c r="X74" s="464">
        <f t="shared" si="37"/>
        <v>1450</v>
      </c>
      <c r="Y74" s="464">
        <f t="shared" si="38"/>
        <v>6200</v>
      </c>
    </row>
    <row r="75" spans="1:25" x14ac:dyDescent="0.25">
      <c r="A75" s="1"/>
      <c r="B75" s="1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655"/>
    </row>
    <row r="76" spans="1:25" ht="15.75" x14ac:dyDescent="0.25">
      <c r="A76" s="105"/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655"/>
    </row>
    <row r="77" spans="1:25" ht="18.75" thickBot="1" x14ac:dyDescent="0.3">
      <c r="A77" s="817" t="s">
        <v>75</v>
      </c>
      <c r="B77" s="818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655"/>
    </row>
    <row r="78" spans="1:25" ht="41.25" customHeight="1" thickBot="1" x14ac:dyDescent="0.3">
      <c r="A78" s="819" t="s">
        <v>1</v>
      </c>
      <c r="B78" s="820"/>
      <c r="C78" s="416" t="s">
        <v>376</v>
      </c>
      <c r="D78" s="416" t="s">
        <v>509</v>
      </c>
      <c r="E78" s="416" t="s">
        <v>511</v>
      </c>
      <c r="F78" s="416" t="s">
        <v>512</v>
      </c>
      <c r="G78" s="416" t="s">
        <v>377</v>
      </c>
      <c r="H78" s="416" t="s">
        <v>541</v>
      </c>
      <c r="I78" s="416" t="s">
        <v>497</v>
      </c>
      <c r="J78" s="416" t="s">
        <v>556</v>
      </c>
      <c r="K78" s="416" t="s">
        <v>561</v>
      </c>
      <c r="L78" s="416" t="s">
        <v>605</v>
      </c>
      <c r="M78" s="416" t="s">
        <v>606</v>
      </c>
      <c r="N78" s="416" t="s">
        <v>646</v>
      </c>
      <c r="O78" s="655"/>
    </row>
    <row r="79" spans="1:25" ht="15.75" thickBot="1" x14ac:dyDescent="0.3">
      <c r="A79" s="108" t="s">
        <v>76</v>
      </c>
      <c r="B79" s="109"/>
      <c r="C79" s="112">
        <f t="shared" ref="C79:N79" si="50">SUM(C80:C84)</f>
        <v>290310</v>
      </c>
      <c r="D79" s="112">
        <f t="shared" si="50"/>
        <v>290310</v>
      </c>
      <c r="E79" s="112">
        <f t="shared" si="50"/>
        <v>290310</v>
      </c>
      <c r="F79" s="112">
        <f t="shared" si="50"/>
        <v>290310</v>
      </c>
      <c r="G79" s="112">
        <f t="shared" si="50"/>
        <v>290310</v>
      </c>
      <c r="H79" s="112">
        <f t="shared" si="50"/>
        <v>290310</v>
      </c>
      <c r="I79" s="112">
        <f t="shared" si="50"/>
        <v>290910</v>
      </c>
      <c r="J79" s="112">
        <f t="shared" si="50"/>
        <v>290910</v>
      </c>
      <c r="K79" s="112">
        <f t="shared" si="50"/>
        <v>290910</v>
      </c>
      <c r="L79" s="112">
        <f t="shared" ref="L79:M79" si="51">SUM(L80:L84)</f>
        <v>290910</v>
      </c>
      <c r="M79" s="112">
        <f t="shared" si="51"/>
        <v>291110</v>
      </c>
      <c r="N79" s="112">
        <f t="shared" si="50"/>
        <v>107854</v>
      </c>
      <c r="O79" s="655">
        <f t="shared" si="40"/>
        <v>0.37049225378722822</v>
      </c>
    </row>
    <row r="80" spans="1:25" x14ac:dyDescent="0.25">
      <c r="A80" s="113" t="s">
        <v>77</v>
      </c>
      <c r="B80" s="85" t="s">
        <v>78</v>
      </c>
      <c r="C80" s="56">
        <f t="shared" ref="C80:H80" si="52">143650</f>
        <v>143650</v>
      </c>
      <c r="D80" s="56">
        <f t="shared" si="52"/>
        <v>143650</v>
      </c>
      <c r="E80" s="56">
        <f t="shared" si="52"/>
        <v>143650</v>
      </c>
      <c r="F80" s="56">
        <f t="shared" si="52"/>
        <v>143650</v>
      </c>
      <c r="G80" s="56">
        <f t="shared" si="52"/>
        <v>143650</v>
      </c>
      <c r="H80" s="56">
        <f t="shared" si="52"/>
        <v>143650</v>
      </c>
      <c r="I80" s="623">
        <f>143650+100</f>
        <v>143750</v>
      </c>
      <c r="J80" s="56">
        <f>143650+100</f>
        <v>143750</v>
      </c>
      <c r="K80" s="56">
        <f>143650+100</f>
        <v>143750</v>
      </c>
      <c r="L80" s="56">
        <f t="shared" ref="L80" si="53">143650+100</f>
        <v>143750</v>
      </c>
      <c r="M80" s="623">
        <f>143650+100-3500</f>
        <v>140250</v>
      </c>
      <c r="N80" s="56">
        <v>43239</v>
      </c>
      <c r="O80" s="655">
        <f t="shared" si="40"/>
        <v>0.30829946524064172</v>
      </c>
    </row>
    <row r="81" spans="1:15" x14ac:dyDescent="0.25">
      <c r="A81" s="117" t="s">
        <v>79</v>
      </c>
      <c r="B81" s="118" t="s">
        <v>80</v>
      </c>
      <c r="C81" s="61">
        <v>83740</v>
      </c>
      <c r="D81" s="61">
        <v>83740</v>
      </c>
      <c r="E81" s="61">
        <v>83740</v>
      </c>
      <c r="F81" s="61">
        <v>83740</v>
      </c>
      <c r="G81" s="61">
        <v>83740</v>
      </c>
      <c r="H81" s="61">
        <v>83740</v>
      </c>
      <c r="I81" s="725">
        <f>83740+500</f>
        <v>84240</v>
      </c>
      <c r="J81" s="61">
        <f>83740+500</f>
        <v>84240</v>
      </c>
      <c r="K81" s="61">
        <f>83740+500</f>
        <v>84240</v>
      </c>
      <c r="L81" s="61">
        <f t="shared" ref="L81" si="54">83740+500</f>
        <v>84240</v>
      </c>
      <c r="M81" s="725">
        <f>83740+500+200+1200</f>
        <v>85640</v>
      </c>
      <c r="N81" s="61">
        <v>39430</v>
      </c>
      <c r="O81" s="655">
        <f t="shared" si="40"/>
        <v>0.46041569360112095</v>
      </c>
    </row>
    <row r="82" spans="1:15" x14ac:dyDescent="0.25">
      <c r="A82" s="117" t="s">
        <v>81</v>
      </c>
      <c r="B82" s="118" t="s">
        <v>608</v>
      </c>
      <c r="C82" s="61">
        <f t="shared" ref="C82:M82" si="55">4000-1000</f>
        <v>3000</v>
      </c>
      <c r="D82" s="61">
        <f t="shared" si="55"/>
        <v>3000</v>
      </c>
      <c r="E82" s="61">
        <f t="shared" si="55"/>
        <v>3000</v>
      </c>
      <c r="F82" s="61">
        <f t="shared" si="55"/>
        <v>3000</v>
      </c>
      <c r="G82" s="61">
        <f t="shared" si="55"/>
        <v>3000</v>
      </c>
      <c r="H82" s="61">
        <f t="shared" si="55"/>
        <v>3000</v>
      </c>
      <c r="I82" s="61">
        <f t="shared" si="55"/>
        <v>3000</v>
      </c>
      <c r="J82" s="61">
        <f t="shared" si="55"/>
        <v>3000</v>
      </c>
      <c r="K82" s="61">
        <f t="shared" si="55"/>
        <v>3000</v>
      </c>
      <c r="L82" s="61">
        <f t="shared" si="55"/>
        <v>3000</v>
      </c>
      <c r="M82" s="61">
        <f t="shared" si="55"/>
        <v>3000</v>
      </c>
      <c r="N82" s="61">
        <v>1479</v>
      </c>
      <c r="O82" s="655">
        <f t="shared" si="40"/>
        <v>0.49299999999999999</v>
      </c>
    </row>
    <row r="83" spans="1:15" x14ac:dyDescent="0.25">
      <c r="A83" s="121" t="s">
        <v>83</v>
      </c>
      <c r="B83" s="118" t="s">
        <v>84</v>
      </c>
      <c r="C83" s="61">
        <v>55920</v>
      </c>
      <c r="D83" s="61">
        <v>55920</v>
      </c>
      <c r="E83" s="61">
        <v>55920</v>
      </c>
      <c r="F83" s="61">
        <v>55920</v>
      </c>
      <c r="G83" s="61">
        <v>55920</v>
      </c>
      <c r="H83" s="61">
        <v>55920</v>
      </c>
      <c r="I83" s="61">
        <v>55920</v>
      </c>
      <c r="J83" s="61">
        <v>55920</v>
      </c>
      <c r="K83" s="61">
        <v>55920</v>
      </c>
      <c r="L83" s="61">
        <v>55920</v>
      </c>
      <c r="M83" s="725">
        <f>55920+2300</f>
        <v>58220</v>
      </c>
      <c r="N83" s="61">
        <v>23706</v>
      </c>
      <c r="O83" s="655">
        <f t="shared" si="40"/>
        <v>0.40717966334592925</v>
      </c>
    </row>
    <row r="84" spans="1:15" ht="15.75" thickBot="1" x14ac:dyDescent="0.3">
      <c r="A84" s="123" t="s">
        <v>85</v>
      </c>
      <c r="B84" s="124" t="s">
        <v>236</v>
      </c>
      <c r="C84" s="128">
        <v>4000</v>
      </c>
      <c r="D84" s="128">
        <v>4000</v>
      </c>
      <c r="E84" s="128">
        <v>4000</v>
      </c>
      <c r="F84" s="128">
        <v>4000</v>
      </c>
      <c r="G84" s="128">
        <v>4000</v>
      </c>
      <c r="H84" s="128">
        <v>4000</v>
      </c>
      <c r="I84" s="128">
        <v>4000</v>
      </c>
      <c r="J84" s="128">
        <v>4000</v>
      </c>
      <c r="K84" s="128">
        <v>4000</v>
      </c>
      <c r="L84" s="128">
        <v>4000</v>
      </c>
      <c r="M84" s="128">
        <v>4000</v>
      </c>
      <c r="N84" s="128">
        <v>0</v>
      </c>
      <c r="O84" s="655">
        <f t="shared" si="40"/>
        <v>0</v>
      </c>
    </row>
    <row r="85" spans="1:15" ht="15.75" thickBot="1" x14ac:dyDescent="0.3">
      <c r="A85" s="129" t="s">
        <v>86</v>
      </c>
      <c r="B85" s="130"/>
      <c r="C85" s="112">
        <f t="shared" ref="C85:N85" si="56">SUM(C86)</f>
        <v>14610</v>
      </c>
      <c r="D85" s="112">
        <f t="shared" si="56"/>
        <v>14610</v>
      </c>
      <c r="E85" s="112">
        <f t="shared" si="56"/>
        <v>14615</v>
      </c>
      <c r="F85" s="112">
        <f t="shared" si="56"/>
        <v>14615</v>
      </c>
      <c r="G85" s="112">
        <f t="shared" si="56"/>
        <v>12615</v>
      </c>
      <c r="H85" s="112">
        <f t="shared" si="56"/>
        <v>12615</v>
      </c>
      <c r="I85" s="112">
        <f t="shared" si="56"/>
        <v>12615</v>
      </c>
      <c r="J85" s="112">
        <f t="shared" si="56"/>
        <v>12615</v>
      </c>
      <c r="K85" s="112">
        <f t="shared" si="56"/>
        <v>12615</v>
      </c>
      <c r="L85" s="112">
        <f t="shared" si="56"/>
        <v>12615</v>
      </c>
      <c r="M85" s="112">
        <f t="shared" si="56"/>
        <v>12615</v>
      </c>
      <c r="N85" s="112">
        <f t="shared" si="56"/>
        <v>6074</v>
      </c>
      <c r="O85" s="655">
        <f t="shared" si="40"/>
        <v>0.48149028933808957</v>
      </c>
    </row>
    <row r="86" spans="1:15" ht="15.75" thickBot="1" x14ac:dyDescent="0.3">
      <c r="A86" s="131" t="s">
        <v>87</v>
      </c>
      <c r="B86" s="106" t="s">
        <v>281</v>
      </c>
      <c r="C86" s="134">
        <v>14610</v>
      </c>
      <c r="D86" s="134">
        <v>14610</v>
      </c>
      <c r="E86" s="621">
        <f>14610+5</f>
        <v>14615</v>
      </c>
      <c r="F86" s="134">
        <f>14610+5</f>
        <v>14615</v>
      </c>
      <c r="G86" s="621">
        <f>14610+5-2000</f>
        <v>12615</v>
      </c>
      <c r="H86" s="134">
        <f>14610+5-2000</f>
        <v>12615</v>
      </c>
      <c r="I86" s="134">
        <f>14610+5-2000</f>
        <v>12615</v>
      </c>
      <c r="J86" s="134">
        <f>14610+5-2000</f>
        <v>12615</v>
      </c>
      <c r="K86" s="134">
        <f>14610+5-2000</f>
        <v>12615</v>
      </c>
      <c r="L86" s="134">
        <f t="shared" ref="L86:M86" si="57">14610+5-2000</f>
        <v>12615</v>
      </c>
      <c r="M86" s="134">
        <f t="shared" si="57"/>
        <v>12615</v>
      </c>
      <c r="N86" s="134">
        <v>6074</v>
      </c>
      <c r="O86" s="655">
        <f t="shared" si="40"/>
        <v>0.48149028933808957</v>
      </c>
    </row>
    <row r="87" spans="1:15" ht="15.75" thickBot="1" x14ac:dyDescent="0.3">
      <c r="A87" s="129" t="s">
        <v>88</v>
      </c>
      <c r="B87" s="130"/>
      <c r="C87" s="112">
        <f t="shared" ref="C87:N87" si="58">SUM(C88:C89)</f>
        <v>16500</v>
      </c>
      <c r="D87" s="112">
        <f t="shared" si="58"/>
        <v>16500</v>
      </c>
      <c r="E87" s="112">
        <f t="shared" si="58"/>
        <v>16500</v>
      </c>
      <c r="F87" s="112">
        <f t="shared" si="58"/>
        <v>16500</v>
      </c>
      <c r="G87" s="112">
        <f t="shared" si="58"/>
        <v>17000</v>
      </c>
      <c r="H87" s="112">
        <f t="shared" si="58"/>
        <v>17000</v>
      </c>
      <c r="I87" s="112">
        <f t="shared" si="58"/>
        <v>17000</v>
      </c>
      <c r="J87" s="112">
        <f t="shared" ref="J87:K87" si="59">SUM(J88:J89)</f>
        <v>17000</v>
      </c>
      <c r="K87" s="112">
        <f t="shared" si="59"/>
        <v>17000</v>
      </c>
      <c r="L87" s="112">
        <f t="shared" ref="L87:M87" si="60">SUM(L88:L89)</f>
        <v>17000</v>
      </c>
      <c r="M87" s="112">
        <f t="shared" si="60"/>
        <v>17000</v>
      </c>
      <c r="N87" s="112">
        <f t="shared" si="58"/>
        <v>4002</v>
      </c>
      <c r="O87" s="655">
        <f t="shared" si="40"/>
        <v>0.23541176470588235</v>
      </c>
    </row>
    <row r="88" spans="1:15" x14ac:dyDescent="0.25">
      <c r="A88" s="135" t="s">
        <v>89</v>
      </c>
      <c r="B88" s="136" t="s">
        <v>90</v>
      </c>
      <c r="C88" s="139">
        <v>14900</v>
      </c>
      <c r="D88" s="139">
        <v>14900</v>
      </c>
      <c r="E88" s="139">
        <f>14900</f>
        <v>14900</v>
      </c>
      <c r="F88" s="139">
        <f>14900</f>
        <v>14900</v>
      </c>
      <c r="G88" s="643">
        <f>14900+500</f>
        <v>15400</v>
      </c>
      <c r="H88" s="139">
        <f>14900+500</f>
        <v>15400</v>
      </c>
      <c r="I88" s="139">
        <f>14900+500</f>
        <v>15400</v>
      </c>
      <c r="J88" s="139">
        <f>14900+500</f>
        <v>15400</v>
      </c>
      <c r="K88" s="139">
        <f>14900+500</f>
        <v>15400</v>
      </c>
      <c r="L88" s="139">
        <f t="shared" ref="L88:M88" si="61">14900+500</f>
        <v>15400</v>
      </c>
      <c r="M88" s="139">
        <f t="shared" si="61"/>
        <v>15400</v>
      </c>
      <c r="N88" s="139">
        <v>3498</v>
      </c>
      <c r="O88" s="655">
        <f t="shared" si="40"/>
        <v>0.22714285714285715</v>
      </c>
    </row>
    <row r="89" spans="1:15" ht="15.75" thickBot="1" x14ac:dyDescent="0.3">
      <c r="A89" s="140" t="s">
        <v>91</v>
      </c>
      <c r="B89" s="141" t="s">
        <v>92</v>
      </c>
      <c r="C89" s="128">
        <v>1600</v>
      </c>
      <c r="D89" s="128">
        <v>1600</v>
      </c>
      <c r="E89" s="128">
        <v>1600</v>
      </c>
      <c r="F89" s="128">
        <v>1600</v>
      </c>
      <c r="G89" s="128">
        <v>1600</v>
      </c>
      <c r="H89" s="128">
        <v>1600</v>
      </c>
      <c r="I89" s="128">
        <v>1600</v>
      </c>
      <c r="J89" s="128">
        <v>1600</v>
      </c>
      <c r="K89" s="128">
        <v>1600</v>
      </c>
      <c r="L89" s="128">
        <v>1600</v>
      </c>
      <c r="M89" s="128">
        <v>1600</v>
      </c>
      <c r="N89" s="128">
        <v>504</v>
      </c>
      <c r="O89" s="655">
        <f t="shared" si="40"/>
        <v>0.315</v>
      </c>
    </row>
    <row r="90" spans="1:15" ht="15.75" thickBot="1" x14ac:dyDescent="0.3">
      <c r="A90" s="108" t="s">
        <v>93</v>
      </c>
      <c r="B90" s="144"/>
      <c r="C90" s="112">
        <f t="shared" ref="C90:N90" si="62">SUM(C91:C93)</f>
        <v>71400</v>
      </c>
      <c r="D90" s="112">
        <f t="shared" si="62"/>
        <v>71400</v>
      </c>
      <c r="E90" s="112">
        <f t="shared" si="62"/>
        <v>71400</v>
      </c>
      <c r="F90" s="112">
        <f t="shared" si="62"/>
        <v>71400</v>
      </c>
      <c r="G90" s="112">
        <f t="shared" si="62"/>
        <v>71400</v>
      </c>
      <c r="H90" s="112">
        <f t="shared" si="62"/>
        <v>71400</v>
      </c>
      <c r="I90" s="112">
        <f t="shared" si="62"/>
        <v>71400</v>
      </c>
      <c r="J90" s="112">
        <f t="shared" si="62"/>
        <v>71400</v>
      </c>
      <c r="K90" s="112">
        <f t="shared" si="62"/>
        <v>71643</v>
      </c>
      <c r="L90" s="112">
        <f t="shared" ref="L90:M90" si="63">SUM(L91:L93)</f>
        <v>71643</v>
      </c>
      <c r="M90" s="112">
        <f t="shared" si="63"/>
        <v>71943</v>
      </c>
      <c r="N90" s="112">
        <f t="shared" si="62"/>
        <v>33803</v>
      </c>
      <c r="O90" s="655">
        <f t="shared" si="40"/>
        <v>0.46985808209276786</v>
      </c>
    </row>
    <row r="91" spans="1:15" x14ac:dyDescent="0.25">
      <c r="A91" s="145" t="s">
        <v>94</v>
      </c>
      <c r="B91" s="146" t="s">
        <v>592</v>
      </c>
      <c r="C91" s="55">
        <v>25300</v>
      </c>
      <c r="D91" s="55">
        <v>25300</v>
      </c>
      <c r="E91" s="55">
        <v>25300</v>
      </c>
      <c r="F91" s="55">
        <v>25300</v>
      </c>
      <c r="G91" s="55">
        <v>25300</v>
      </c>
      <c r="H91" s="55">
        <v>25300</v>
      </c>
      <c r="I91" s="55">
        <v>25300</v>
      </c>
      <c r="J91" s="55">
        <v>25300</v>
      </c>
      <c r="K91" s="634">
        <f>25300+243</f>
        <v>25543</v>
      </c>
      <c r="L91" s="55">
        <f t="shared" ref="L91" si="64">25300+243</f>
        <v>25543</v>
      </c>
      <c r="M91" s="634">
        <f>25300+243+300</f>
        <v>25843</v>
      </c>
      <c r="N91" s="55">
        <v>11930</v>
      </c>
      <c r="O91" s="655">
        <f t="shared" si="40"/>
        <v>0.4616337112564331</v>
      </c>
    </row>
    <row r="92" spans="1:15" x14ac:dyDescent="0.25">
      <c r="A92" s="121" t="s">
        <v>96</v>
      </c>
      <c r="B92" s="118" t="s">
        <v>97</v>
      </c>
      <c r="C92" s="60">
        <v>24300</v>
      </c>
      <c r="D92" s="60">
        <v>24300</v>
      </c>
      <c r="E92" s="60">
        <v>24300</v>
      </c>
      <c r="F92" s="60">
        <v>24300</v>
      </c>
      <c r="G92" s="60">
        <v>24300</v>
      </c>
      <c r="H92" s="60">
        <v>24300</v>
      </c>
      <c r="I92" s="60">
        <v>24300</v>
      </c>
      <c r="J92" s="60">
        <v>24300</v>
      </c>
      <c r="K92" s="60">
        <v>24300</v>
      </c>
      <c r="L92" s="60">
        <v>24300</v>
      </c>
      <c r="M92" s="60">
        <f>24300</f>
        <v>24300</v>
      </c>
      <c r="N92" s="60">
        <v>10530</v>
      </c>
      <c r="O92" s="655">
        <f t="shared" si="40"/>
        <v>0.43333333333333335</v>
      </c>
    </row>
    <row r="93" spans="1:15" ht="15.75" thickBot="1" x14ac:dyDescent="0.3">
      <c r="A93" s="121" t="s">
        <v>98</v>
      </c>
      <c r="B93" s="118" t="s">
        <v>99</v>
      </c>
      <c r="C93" s="60">
        <v>21800</v>
      </c>
      <c r="D93" s="60">
        <v>21800</v>
      </c>
      <c r="E93" s="60">
        <v>21800</v>
      </c>
      <c r="F93" s="60">
        <v>21800</v>
      </c>
      <c r="G93" s="60">
        <v>21800</v>
      </c>
      <c r="H93" s="60">
        <v>21800</v>
      </c>
      <c r="I93" s="60">
        <v>21800</v>
      </c>
      <c r="J93" s="60">
        <v>21800</v>
      </c>
      <c r="K93" s="60">
        <v>21800</v>
      </c>
      <c r="L93" s="60">
        <v>21800</v>
      </c>
      <c r="M93" s="60">
        <v>21800</v>
      </c>
      <c r="N93" s="60">
        <v>11343</v>
      </c>
      <c r="O93" s="655">
        <f t="shared" si="40"/>
        <v>0.52032110091743122</v>
      </c>
    </row>
    <row r="94" spans="1:15" ht="15.75" thickBot="1" x14ac:dyDescent="0.3">
      <c r="A94" s="821" t="s">
        <v>100</v>
      </c>
      <c r="B94" s="822"/>
      <c r="C94" s="112">
        <f t="shared" ref="C94:N94" si="65">SUM(C95:C98)</f>
        <v>124900</v>
      </c>
      <c r="D94" s="112">
        <f t="shared" si="65"/>
        <v>124900</v>
      </c>
      <c r="E94" s="112">
        <f t="shared" si="65"/>
        <v>124900</v>
      </c>
      <c r="F94" s="112">
        <f t="shared" si="65"/>
        <v>124900</v>
      </c>
      <c r="G94" s="112">
        <f t="shared" si="65"/>
        <v>123900</v>
      </c>
      <c r="H94" s="112">
        <f t="shared" si="65"/>
        <v>123900</v>
      </c>
      <c r="I94" s="112">
        <f t="shared" si="65"/>
        <v>123900</v>
      </c>
      <c r="J94" s="112">
        <f t="shared" si="65"/>
        <v>123900</v>
      </c>
      <c r="K94" s="112">
        <f t="shared" si="65"/>
        <v>123900</v>
      </c>
      <c r="L94" s="112">
        <f t="shared" ref="L94:M94" si="66">SUM(L95:L98)</f>
        <v>123900</v>
      </c>
      <c r="M94" s="112">
        <f t="shared" si="66"/>
        <v>124100</v>
      </c>
      <c r="N94" s="112">
        <f t="shared" si="65"/>
        <v>46202</v>
      </c>
      <c r="O94" s="655">
        <f t="shared" si="40"/>
        <v>0.37229653505237714</v>
      </c>
    </row>
    <row r="95" spans="1:15" x14ac:dyDescent="0.25">
      <c r="A95" s="153" t="s">
        <v>101</v>
      </c>
      <c r="B95" s="154" t="s">
        <v>102</v>
      </c>
      <c r="C95" s="139">
        <v>76800</v>
      </c>
      <c r="D95" s="139">
        <v>76800</v>
      </c>
      <c r="E95" s="139">
        <v>76800</v>
      </c>
      <c r="F95" s="139">
        <v>76800</v>
      </c>
      <c r="G95" s="139">
        <v>76800</v>
      </c>
      <c r="H95" s="139">
        <v>76800</v>
      </c>
      <c r="I95" s="139">
        <v>76800</v>
      </c>
      <c r="J95" s="139">
        <v>76800</v>
      </c>
      <c r="K95" s="139">
        <v>76800</v>
      </c>
      <c r="L95" s="139">
        <v>76800</v>
      </c>
      <c r="M95" s="643">
        <f>76800+200</f>
        <v>77000</v>
      </c>
      <c r="N95" s="139">
        <v>26409</v>
      </c>
      <c r="O95" s="655">
        <f t="shared" si="40"/>
        <v>0.34297402597402599</v>
      </c>
    </row>
    <row r="96" spans="1:15" x14ac:dyDescent="0.25">
      <c r="A96" s="121" t="s">
        <v>103</v>
      </c>
      <c r="B96" s="118" t="s">
        <v>104</v>
      </c>
      <c r="C96" s="152">
        <v>36500</v>
      </c>
      <c r="D96" s="152">
        <v>36500</v>
      </c>
      <c r="E96" s="152">
        <v>36500</v>
      </c>
      <c r="F96" s="152">
        <v>36500</v>
      </c>
      <c r="G96" s="644">
        <f>36500-1000</f>
        <v>35500</v>
      </c>
      <c r="H96" s="152">
        <f>36500-1000</f>
        <v>35500</v>
      </c>
      <c r="I96" s="152">
        <f>36500-1000</f>
        <v>35500</v>
      </c>
      <c r="J96" s="152">
        <f>36500-1000</f>
        <v>35500</v>
      </c>
      <c r="K96" s="152">
        <f>36500-1000</f>
        <v>35500</v>
      </c>
      <c r="L96" s="152">
        <f t="shared" ref="L96:M96" si="67">36500-1000</f>
        <v>35500</v>
      </c>
      <c r="M96" s="152">
        <f t="shared" si="67"/>
        <v>35500</v>
      </c>
      <c r="N96" s="152">
        <v>17569</v>
      </c>
      <c r="O96" s="655">
        <f t="shared" si="40"/>
        <v>0.49490140845070424</v>
      </c>
    </row>
    <row r="97" spans="1:15" x14ac:dyDescent="0.25">
      <c r="A97" s="131" t="s">
        <v>105</v>
      </c>
      <c r="B97" s="159" t="s">
        <v>106</v>
      </c>
      <c r="C97" s="163">
        <v>1500</v>
      </c>
      <c r="D97" s="163">
        <v>1500</v>
      </c>
      <c r="E97" s="163">
        <v>1500</v>
      </c>
      <c r="F97" s="163">
        <v>1500</v>
      </c>
      <c r="G97" s="163">
        <v>1500</v>
      </c>
      <c r="H97" s="163">
        <v>1500</v>
      </c>
      <c r="I97" s="163">
        <v>1500</v>
      </c>
      <c r="J97" s="163">
        <v>1500</v>
      </c>
      <c r="K97" s="163">
        <v>1500</v>
      </c>
      <c r="L97" s="163">
        <v>1500</v>
      </c>
      <c r="M97" s="163">
        <v>1500</v>
      </c>
      <c r="N97" s="163">
        <v>0</v>
      </c>
      <c r="O97" s="655">
        <f t="shared" si="40"/>
        <v>0</v>
      </c>
    </row>
    <row r="98" spans="1:15" ht="15.75" thickBot="1" x14ac:dyDescent="0.3">
      <c r="A98" s="164" t="s">
        <v>107</v>
      </c>
      <c r="B98" s="165" t="s">
        <v>108</v>
      </c>
      <c r="C98" s="168">
        <v>10100</v>
      </c>
      <c r="D98" s="168">
        <v>10100</v>
      </c>
      <c r="E98" s="168">
        <v>10100</v>
      </c>
      <c r="F98" s="168">
        <v>10100</v>
      </c>
      <c r="G98" s="168">
        <v>10100</v>
      </c>
      <c r="H98" s="168">
        <v>10100</v>
      </c>
      <c r="I98" s="168">
        <v>10100</v>
      </c>
      <c r="J98" s="168">
        <v>10100</v>
      </c>
      <c r="K98" s="168">
        <v>10100</v>
      </c>
      <c r="L98" s="168">
        <v>10100</v>
      </c>
      <c r="M98" s="168">
        <v>10100</v>
      </c>
      <c r="N98" s="168">
        <v>2224</v>
      </c>
      <c r="O98" s="655">
        <f t="shared" si="40"/>
        <v>0.2201980198019802</v>
      </c>
    </row>
    <row r="99" spans="1:15" ht="15.75" thickBot="1" x14ac:dyDescent="0.3">
      <c r="A99" s="108" t="s">
        <v>109</v>
      </c>
      <c r="B99" s="144"/>
      <c r="C99" s="110">
        <f t="shared" ref="C99:N99" si="68">SUM(C100:C102)</f>
        <v>204648</v>
      </c>
      <c r="D99" s="110">
        <f t="shared" si="68"/>
        <v>204648</v>
      </c>
      <c r="E99" s="110">
        <f t="shared" si="68"/>
        <v>204648</v>
      </c>
      <c r="F99" s="110">
        <f t="shared" si="68"/>
        <v>204648</v>
      </c>
      <c r="G99" s="110">
        <f t="shared" si="68"/>
        <v>200648</v>
      </c>
      <c r="H99" s="110">
        <f t="shared" si="68"/>
        <v>200648</v>
      </c>
      <c r="I99" s="110">
        <f t="shared" si="68"/>
        <v>201248</v>
      </c>
      <c r="J99" s="110">
        <f t="shared" si="68"/>
        <v>201248</v>
      </c>
      <c r="K99" s="110">
        <f t="shared" si="68"/>
        <v>193248</v>
      </c>
      <c r="L99" s="110">
        <f t="shared" ref="L99:M99" si="69">SUM(L100:L102)</f>
        <v>193248</v>
      </c>
      <c r="M99" s="110">
        <f t="shared" si="69"/>
        <v>194638</v>
      </c>
      <c r="N99" s="110">
        <f t="shared" si="68"/>
        <v>60347</v>
      </c>
      <c r="O99" s="655">
        <f t="shared" si="40"/>
        <v>0.31004736998941623</v>
      </c>
    </row>
    <row r="100" spans="1:15" x14ac:dyDescent="0.25">
      <c r="A100" s="145" t="s">
        <v>110</v>
      </c>
      <c r="B100" s="85" t="s">
        <v>111</v>
      </c>
      <c r="C100" s="116">
        <v>156748</v>
      </c>
      <c r="D100" s="116">
        <v>156748</v>
      </c>
      <c r="E100" s="116">
        <v>156748</v>
      </c>
      <c r="F100" s="116">
        <v>156748</v>
      </c>
      <c r="G100" s="645">
        <f>156748+5500</f>
        <v>162248</v>
      </c>
      <c r="H100" s="116">
        <f>156748+5500</f>
        <v>162248</v>
      </c>
      <c r="I100" s="116">
        <f>156748+5500</f>
        <v>162248</v>
      </c>
      <c r="J100" s="116">
        <f>156748+5500</f>
        <v>162248</v>
      </c>
      <c r="K100" s="645">
        <f>156748+5500-8000</f>
        <v>154248</v>
      </c>
      <c r="L100" s="116">
        <f t="shared" ref="L100" si="70">156748+5500-8000</f>
        <v>154248</v>
      </c>
      <c r="M100" s="645">
        <f>156748+5500-8000+1390</f>
        <v>155638</v>
      </c>
      <c r="N100" s="116">
        <v>48615</v>
      </c>
      <c r="O100" s="655">
        <f t="shared" si="40"/>
        <v>0.31235944949176936</v>
      </c>
    </row>
    <row r="101" spans="1:15" x14ac:dyDescent="0.25">
      <c r="A101" s="170" t="s">
        <v>112</v>
      </c>
      <c r="B101" s="118" t="s">
        <v>113</v>
      </c>
      <c r="C101" s="152">
        <v>29700</v>
      </c>
      <c r="D101" s="152">
        <v>29700</v>
      </c>
      <c r="E101" s="152">
        <v>29700</v>
      </c>
      <c r="F101" s="152">
        <v>29700</v>
      </c>
      <c r="G101" s="644">
        <f>29700-8000</f>
        <v>21700</v>
      </c>
      <c r="H101" s="152">
        <f>29700-8000</f>
        <v>21700</v>
      </c>
      <c r="I101" s="152">
        <f>29700-8000</f>
        <v>21700</v>
      </c>
      <c r="J101" s="152">
        <f>29700-8000</f>
        <v>21700</v>
      </c>
      <c r="K101" s="152">
        <f>29700-8000</f>
        <v>21700</v>
      </c>
      <c r="L101" s="152">
        <f t="shared" ref="L101:M101" si="71">29700-8000</f>
        <v>21700</v>
      </c>
      <c r="M101" s="152">
        <f t="shared" si="71"/>
        <v>21700</v>
      </c>
      <c r="N101" s="152">
        <v>7639</v>
      </c>
      <c r="O101" s="655">
        <f t="shared" si="40"/>
        <v>0.35202764976958523</v>
      </c>
    </row>
    <row r="102" spans="1:15" ht="15.75" thickBot="1" x14ac:dyDescent="0.3">
      <c r="A102" s="171" t="s">
        <v>114</v>
      </c>
      <c r="B102" s="165" t="s">
        <v>115</v>
      </c>
      <c r="C102" s="174">
        <v>18200</v>
      </c>
      <c r="D102" s="174">
        <v>18200</v>
      </c>
      <c r="E102" s="174">
        <v>18200</v>
      </c>
      <c r="F102" s="174">
        <v>18200</v>
      </c>
      <c r="G102" s="646">
        <f>18200+1500-3000</f>
        <v>16700</v>
      </c>
      <c r="H102" s="174">
        <f>18200+1500-3000</f>
        <v>16700</v>
      </c>
      <c r="I102" s="646">
        <f>18200+1500-3000+600</f>
        <v>17300</v>
      </c>
      <c r="J102" s="174">
        <f>18200+1500-3000+600</f>
        <v>17300</v>
      </c>
      <c r="K102" s="174">
        <f>18200+1500-3000+600</f>
        <v>17300</v>
      </c>
      <c r="L102" s="174">
        <f t="shared" ref="L102:M102" si="72">18200+1500-3000+600</f>
        <v>17300</v>
      </c>
      <c r="M102" s="174">
        <f t="shared" si="72"/>
        <v>17300</v>
      </c>
      <c r="N102" s="174">
        <v>4093</v>
      </c>
      <c r="O102" s="655">
        <f t="shared" si="40"/>
        <v>0.23658959537572255</v>
      </c>
    </row>
    <row r="103" spans="1:15" ht="15.75" thickBot="1" x14ac:dyDescent="0.3">
      <c r="A103" s="175" t="s">
        <v>116</v>
      </c>
      <c r="B103" s="176"/>
      <c r="C103" s="177">
        <f t="shared" ref="C103:N103" si="73">SUM(C104:C107)</f>
        <v>4850</v>
      </c>
      <c r="D103" s="177">
        <f t="shared" si="73"/>
        <v>4850</v>
      </c>
      <c r="E103" s="177">
        <f t="shared" si="73"/>
        <v>4850</v>
      </c>
      <c r="F103" s="177">
        <f t="shared" si="73"/>
        <v>4850</v>
      </c>
      <c r="G103" s="177">
        <f t="shared" si="73"/>
        <v>3850</v>
      </c>
      <c r="H103" s="177">
        <f t="shared" si="73"/>
        <v>3850</v>
      </c>
      <c r="I103" s="177">
        <f t="shared" si="73"/>
        <v>3850</v>
      </c>
      <c r="J103" s="177">
        <f t="shared" ref="J103:K103" si="74">SUM(J104:J107)</f>
        <v>3850</v>
      </c>
      <c r="K103" s="177">
        <f t="shared" si="74"/>
        <v>3850</v>
      </c>
      <c r="L103" s="177">
        <f t="shared" ref="L103:M103" si="75">SUM(L104:L107)</f>
        <v>3850</v>
      </c>
      <c r="M103" s="177">
        <f t="shared" si="75"/>
        <v>3850</v>
      </c>
      <c r="N103" s="177">
        <f t="shared" si="73"/>
        <v>987</v>
      </c>
      <c r="O103" s="655">
        <f t="shared" si="40"/>
        <v>0.25636363636363635</v>
      </c>
    </row>
    <row r="104" spans="1:15" x14ac:dyDescent="0.25">
      <c r="A104" s="135" t="s">
        <v>117</v>
      </c>
      <c r="B104" s="154" t="s">
        <v>118</v>
      </c>
      <c r="C104" s="181">
        <v>50</v>
      </c>
      <c r="D104" s="181">
        <v>50</v>
      </c>
      <c r="E104" s="181">
        <v>50</v>
      </c>
      <c r="F104" s="181">
        <v>50</v>
      </c>
      <c r="G104" s="181">
        <v>50</v>
      </c>
      <c r="H104" s="181">
        <v>50</v>
      </c>
      <c r="I104" s="181">
        <v>50</v>
      </c>
      <c r="J104" s="181">
        <v>50</v>
      </c>
      <c r="K104" s="181">
        <v>50</v>
      </c>
      <c r="L104" s="181">
        <v>50</v>
      </c>
      <c r="M104" s="181">
        <v>50</v>
      </c>
      <c r="N104" s="181">
        <v>50</v>
      </c>
      <c r="O104" s="655">
        <f t="shared" si="40"/>
        <v>1</v>
      </c>
    </row>
    <row r="105" spans="1:15" x14ac:dyDescent="0.25">
      <c r="A105" s="170" t="s">
        <v>119</v>
      </c>
      <c r="B105" s="118" t="s">
        <v>120</v>
      </c>
      <c r="C105" s="184">
        <v>50</v>
      </c>
      <c r="D105" s="184">
        <v>50</v>
      </c>
      <c r="E105" s="184">
        <v>50</v>
      </c>
      <c r="F105" s="184">
        <v>50</v>
      </c>
      <c r="G105" s="184">
        <v>50</v>
      </c>
      <c r="H105" s="184">
        <v>50</v>
      </c>
      <c r="I105" s="184">
        <v>50</v>
      </c>
      <c r="J105" s="184">
        <v>50</v>
      </c>
      <c r="K105" s="184">
        <v>50</v>
      </c>
      <c r="L105" s="184">
        <v>50</v>
      </c>
      <c r="M105" s="184">
        <v>50</v>
      </c>
      <c r="N105" s="184">
        <v>30</v>
      </c>
      <c r="O105" s="655">
        <f t="shared" si="40"/>
        <v>0.6</v>
      </c>
    </row>
    <row r="106" spans="1:15" x14ac:dyDescent="0.25">
      <c r="A106" s="170" t="s">
        <v>121</v>
      </c>
      <c r="B106" s="118" t="s">
        <v>122</v>
      </c>
      <c r="C106" s="60">
        <v>750</v>
      </c>
      <c r="D106" s="60">
        <v>750</v>
      </c>
      <c r="E106" s="60">
        <v>750</v>
      </c>
      <c r="F106" s="60">
        <v>750</v>
      </c>
      <c r="G106" s="60">
        <v>750</v>
      </c>
      <c r="H106" s="60">
        <v>750</v>
      </c>
      <c r="I106" s="60">
        <v>750</v>
      </c>
      <c r="J106" s="60">
        <v>750</v>
      </c>
      <c r="K106" s="60">
        <v>750</v>
      </c>
      <c r="L106" s="60">
        <v>750</v>
      </c>
      <c r="M106" s="60">
        <v>750</v>
      </c>
      <c r="N106" s="60">
        <v>140</v>
      </c>
      <c r="O106" s="655">
        <f t="shared" si="40"/>
        <v>0.18666666666666668</v>
      </c>
    </row>
    <row r="107" spans="1:15" ht="15.75" thickBot="1" x14ac:dyDescent="0.3">
      <c r="A107" s="187" t="s">
        <v>123</v>
      </c>
      <c r="B107" s="188" t="s">
        <v>260</v>
      </c>
      <c r="C107" s="191">
        <v>4000</v>
      </c>
      <c r="D107" s="191">
        <v>4000</v>
      </c>
      <c r="E107" s="191">
        <v>4000</v>
      </c>
      <c r="F107" s="191">
        <v>4000</v>
      </c>
      <c r="G107" s="698">
        <f>4000-1000</f>
        <v>3000</v>
      </c>
      <c r="H107" s="128">
        <f>4000-1000</f>
        <v>3000</v>
      </c>
      <c r="I107" s="128">
        <f>4000-1000</f>
        <v>3000</v>
      </c>
      <c r="J107" s="128">
        <f>4000-1000</f>
        <v>3000</v>
      </c>
      <c r="K107" s="128">
        <f>4000-1000</f>
        <v>3000</v>
      </c>
      <c r="L107" s="128">
        <f t="shared" ref="L107:M107" si="76">4000-1000</f>
        <v>3000</v>
      </c>
      <c r="M107" s="128">
        <f t="shared" si="76"/>
        <v>3000</v>
      </c>
      <c r="N107" s="191">
        <v>767</v>
      </c>
      <c r="O107" s="655">
        <f t="shared" si="40"/>
        <v>0.25566666666666665</v>
      </c>
    </row>
    <row r="108" spans="1:15" ht="15.75" thickBot="1" x14ac:dyDescent="0.3">
      <c r="A108" s="192" t="s">
        <v>124</v>
      </c>
      <c r="B108" s="193"/>
      <c r="C108" s="194">
        <f t="shared" ref="C108:N108" si="77">SUM(C109:C113)</f>
        <v>109550</v>
      </c>
      <c r="D108" s="194">
        <f t="shared" si="77"/>
        <v>109550</v>
      </c>
      <c r="E108" s="194">
        <f t="shared" si="77"/>
        <v>111550</v>
      </c>
      <c r="F108" s="194">
        <f t="shared" si="77"/>
        <v>116550</v>
      </c>
      <c r="G108" s="194">
        <f t="shared" si="77"/>
        <v>119250</v>
      </c>
      <c r="H108" s="194">
        <f t="shared" si="77"/>
        <v>122450</v>
      </c>
      <c r="I108" s="194">
        <f t="shared" si="77"/>
        <v>128050</v>
      </c>
      <c r="J108" s="194">
        <f t="shared" si="77"/>
        <v>131050</v>
      </c>
      <c r="K108" s="194">
        <f t="shared" si="77"/>
        <v>139150</v>
      </c>
      <c r="L108" s="194">
        <f t="shared" ref="L108:M108" si="78">SUM(L109:L113)</f>
        <v>140350</v>
      </c>
      <c r="M108" s="194">
        <f t="shared" si="78"/>
        <v>140650</v>
      </c>
      <c r="N108" s="194">
        <f t="shared" si="77"/>
        <v>73248</v>
      </c>
      <c r="O108" s="655">
        <f t="shared" si="40"/>
        <v>0.52078208318521146</v>
      </c>
    </row>
    <row r="109" spans="1:15" x14ac:dyDescent="0.25">
      <c r="A109" s="153" t="s">
        <v>125</v>
      </c>
      <c r="B109" s="154" t="s">
        <v>126</v>
      </c>
      <c r="C109" s="139">
        <v>24000</v>
      </c>
      <c r="D109" s="139">
        <v>24000</v>
      </c>
      <c r="E109" s="139">
        <v>24000</v>
      </c>
      <c r="F109" s="139">
        <v>24000</v>
      </c>
      <c r="G109" s="643">
        <f>24000+1500</f>
        <v>25500</v>
      </c>
      <c r="H109" s="139">
        <f>24000+1500</f>
        <v>25500</v>
      </c>
      <c r="I109" s="139">
        <f>24000+1500</f>
        <v>25500</v>
      </c>
      <c r="J109" s="139">
        <f>24000+1500</f>
        <v>25500</v>
      </c>
      <c r="K109" s="139">
        <f>24000+1500</f>
        <v>25500</v>
      </c>
      <c r="L109" s="139">
        <f t="shared" ref="L109:M109" si="79">24000+1500</f>
        <v>25500</v>
      </c>
      <c r="M109" s="139">
        <f t="shared" si="79"/>
        <v>25500</v>
      </c>
      <c r="N109" s="139">
        <v>21621</v>
      </c>
      <c r="O109" s="655">
        <f t="shared" si="40"/>
        <v>0.84788235294117642</v>
      </c>
    </row>
    <row r="110" spans="1:15" x14ac:dyDescent="0.25">
      <c r="A110" s="196" t="s">
        <v>127</v>
      </c>
      <c r="B110" s="197" t="s">
        <v>607</v>
      </c>
      <c r="C110" s="55">
        <v>53650</v>
      </c>
      <c r="D110" s="55">
        <v>53650</v>
      </c>
      <c r="E110" s="634">
        <f>53650+2000</f>
        <v>55650</v>
      </c>
      <c r="F110" s="634">
        <f>53650+2000+5000</f>
        <v>60650</v>
      </c>
      <c r="G110" s="634">
        <f>53650+2000+5000+2000-2000+100</f>
        <v>60750</v>
      </c>
      <c r="H110" s="634">
        <f>53650+2000+5000+2000-2000+100+3200</f>
        <v>63950</v>
      </c>
      <c r="I110" s="634">
        <f>53650+2000+5000+2000-2000+100+3200+5000</f>
        <v>68950</v>
      </c>
      <c r="J110" s="634">
        <f>53650+2000+5000+2000-2000+100+3200+5000+3000</f>
        <v>71950</v>
      </c>
      <c r="K110" s="634">
        <f>53650+2000+5000+2000-2000+100+3200+5000+3000+8000</f>
        <v>79950</v>
      </c>
      <c r="L110" s="634">
        <f>53650+2000+5000+2000-2000+100+3200+5000+3000+8000+1200</f>
        <v>81150</v>
      </c>
      <c r="M110" s="634">
        <f>53650+2000+5000+2000-2000+100+3200+5000+3000+8000+1200+300</f>
        <v>81450</v>
      </c>
      <c r="N110" s="55">
        <v>43572</v>
      </c>
      <c r="O110" s="655">
        <f t="shared" si="40"/>
        <v>0.53495395948434621</v>
      </c>
    </row>
    <row r="111" spans="1:15" x14ac:dyDescent="0.25">
      <c r="A111" s="196" t="s">
        <v>129</v>
      </c>
      <c r="B111" s="85" t="s">
        <v>130</v>
      </c>
      <c r="C111" s="55">
        <v>5100</v>
      </c>
      <c r="D111" s="55">
        <v>5100</v>
      </c>
      <c r="E111" s="55">
        <v>5100</v>
      </c>
      <c r="F111" s="55">
        <v>5100</v>
      </c>
      <c r="G111" s="55">
        <v>5100</v>
      </c>
      <c r="H111" s="55">
        <v>5100</v>
      </c>
      <c r="I111" s="634">
        <f>5100+600</f>
        <v>5700</v>
      </c>
      <c r="J111" s="55">
        <f>5100+600</f>
        <v>5700</v>
      </c>
      <c r="K111" s="55">
        <f>5100+600</f>
        <v>5700</v>
      </c>
      <c r="L111" s="55">
        <f t="shared" ref="L111:M111" si="80">5100+600</f>
        <v>5700</v>
      </c>
      <c r="M111" s="55">
        <f t="shared" si="80"/>
        <v>5700</v>
      </c>
      <c r="N111" s="55">
        <v>2982</v>
      </c>
      <c r="O111" s="655">
        <f t="shared" si="40"/>
        <v>0.52315789473684216</v>
      </c>
    </row>
    <row r="112" spans="1:15" x14ac:dyDescent="0.25">
      <c r="A112" s="196" t="s">
        <v>131</v>
      </c>
      <c r="B112" s="85" t="s">
        <v>132</v>
      </c>
      <c r="C112" s="55">
        <v>15600</v>
      </c>
      <c r="D112" s="55">
        <v>15600</v>
      </c>
      <c r="E112" s="55">
        <v>15600</v>
      </c>
      <c r="F112" s="55">
        <v>15600</v>
      </c>
      <c r="G112" s="634">
        <f>15600+1100</f>
        <v>16700</v>
      </c>
      <c r="H112" s="55">
        <f>15600+1100</f>
        <v>16700</v>
      </c>
      <c r="I112" s="55">
        <f>15600+1100</f>
        <v>16700</v>
      </c>
      <c r="J112" s="55">
        <f>15600+1100</f>
        <v>16700</v>
      </c>
      <c r="K112" s="55">
        <f>15600+1100</f>
        <v>16700</v>
      </c>
      <c r="L112" s="55">
        <f t="shared" ref="L112:M112" si="81">15600+1100</f>
        <v>16700</v>
      </c>
      <c r="M112" s="55">
        <f t="shared" si="81"/>
        <v>16700</v>
      </c>
      <c r="N112" s="55">
        <v>4249</v>
      </c>
      <c r="O112" s="655">
        <f t="shared" si="40"/>
        <v>0.25443113772455089</v>
      </c>
    </row>
    <row r="113" spans="1:25" ht="15.75" thickBot="1" x14ac:dyDescent="0.3">
      <c r="A113" s="164" t="s">
        <v>133</v>
      </c>
      <c r="B113" s="165" t="s">
        <v>134</v>
      </c>
      <c r="C113" s="186">
        <v>11200</v>
      </c>
      <c r="D113" s="186">
        <v>11200</v>
      </c>
      <c r="E113" s="186">
        <v>11200</v>
      </c>
      <c r="F113" s="186">
        <v>11200</v>
      </c>
      <c r="G113" s="186">
        <v>11200</v>
      </c>
      <c r="H113" s="186">
        <v>11200</v>
      </c>
      <c r="I113" s="186">
        <v>11200</v>
      </c>
      <c r="J113" s="186">
        <v>11200</v>
      </c>
      <c r="K113" s="736">
        <f>11200+100</f>
        <v>11300</v>
      </c>
      <c r="L113" s="186">
        <f t="shared" ref="L113:M113" si="82">11200+100</f>
        <v>11300</v>
      </c>
      <c r="M113" s="186">
        <f t="shared" si="82"/>
        <v>11300</v>
      </c>
      <c r="N113" s="186">
        <v>824</v>
      </c>
      <c r="O113" s="655">
        <f t="shared" si="40"/>
        <v>7.2920353982300887E-2</v>
      </c>
    </row>
    <row r="114" spans="1:25" ht="15.75" thickBot="1" x14ac:dyDescent="0.3">
      <c r="A114" s="129" t="s">
        <v>135</v>
      </c>
      <c r="B114" s="130"/>
      <c r="C114" s="110">
        <f t="shared" ref="C114:N114" si="83">SUM(C115:C121)</f>
        <v>380850</v>
      </c>
      <c r="D114" s="110">
        <f t="shared" si="83"/>
        <v>380850</v>
      </c>
      <c r="E114" s="110">
        <f t="shared" si="83"/>
        <v>383256</v>
      </c>
      <c r="F114" s="110">
        <f t="shared" si="83"/>
        <v>385991</v>
      </c>
      <c r="G114" s="110">
        <f t="shared" si="83"/>
        <v>385991</v>
      </c>
      <c r="H114" s="110">
        <f t="shared" si="83"/>
        <v>385991</v>
      </c>
      <c r="I114" s="110">
        <f t="shared" si="83"/>
        <v>386991</v>
      </c>
      <c r="J114" s="110">
        <f t="shared" si="83"/>
        <v>386991</v>
      </c>
      <c r="K114" s="110">
        <f t="shared" si="83"/>
        <v>386991</v>
      </c>
      <c r="L114" s="110">
        <f t="shared" ref="L114:M114" si="84">SUM(L115:L121)</f>
        <v>386991</v>
      </c>
      <c r="M114" s="110">
        <f t="shared" si="84"/>
        <v>387101</v>
      </c>
      <c r="N114" s="110">
        <f t="shared" si="83"/>
        <v>172579</v>
      </c>
      <c r="O114" s="655">
        <f t="shared" si="40"/>
        <v>0.44582421641897074</v>
      </c>
    </row>
    <row r="115" spans="1:25" x14ac:dyDescent="0.25">
      <c r="A115" s="200" t="s">
        <v>136</v>
      </c>
      <c r="B115" s="201" t="s">
        <v>137</v>
      </c>
      <c r="C115" s="205">
        <f>163900</f>
        <v>163900</v>
      </c>
      <c r="D115" s="205">
        <f>163900</f>
        <v>163900</v>
      </c>
      <c r="E115" s="652">
        <f t="shared" ref="E115:L115" si="85">163900+2406</f>
        <v>166306</v>
      </c>
      <c r="F115" s="205">
        <f t="shared" si="85"/>
        <v>166306</v>
      </c>
      <c r="G115" s="205">
        <f t="shared" si="85"/>
        <v>166306</v>
      </c>
      <c r="H115" s="205">
        <f t="shared" si="85"/>
        <v>166306</v>
      </c>
      <c r="I115" s="205">
        <f t="shared" si="85"/>
        <v>166306</v>
      </c>
      <c r="J115" s="205">
        <f t="shared" si="85"/>
        <v>166306</v>
      </c>
      <c r="K115" s="205">
        <f t="shared" si="85"/>
        <v>166306</v>
      </c>
      <c r="L115" s="205">
        <f t="shared" si="85"/>
        <v>166306</v>
      </c>
      <c r="M115" s="205">
        <f>163900+2406</f>
        <v>166306</v>
      </c>
      <c r="N115" s="205">
        <v>73117</v>
      </c>
      <c r="O115" s="655">
        <f t="shared" si="40"/>
        <v>0.439653409979195</v>
      </c>
    </row>
    <row r="116" spans="1:25" x14ac:dyDescent="0.25">
      <c r="A116" s="209" t="s">
        <v>142</v>
      </c>
      <c r="B116" s="210" t="s">
        <v>143</v>
      </c>
      <c r="C116" s="61">
        <v>3600</v>
      </c>
      <c r="D116" s="61">
        <v>3600</v>
      </c>
      <c r="E116" s="61">
        <v>3600</v>
      </c>
      <c r="F116" s="61">
        <v>3600</v>
      </c>
      <c r="G116" s="61">
        <v>3600</v>
      </c>
      <c r="H116" s="61">
        <v>3600</v>
      </c>
      <c r="I116" s="725">
        <f>3600+1000</f>
        <v>4600</v>
      </c>
      <c r="J116" s="61">
        <f>3600+1000</f>
        <v>4600</v>
      </c>
      <c r="K116" s="61">
        <f>3600+1000</f>
        <v>4600</v>
      </c>
      <c r="L116" s="61">
        <f t="shared" ref="L116:M116" si="86">3600+1000</f>
        <v>4600</v>
      </c>
      <c r="M116" s="61">
        <f t="shared" si="86"/>
        <v>4600</v>
      </c>
      <c r="N116" s="61">
        <v>1994</v>
      </c>
      <c r="O116" s="655">
        <f t="shared" si="40"/>
        <v>0.4334782608695652</v>
      </c>
    </row>
    <row r="117" spans="1:25" x14ac:dyDescent="0.25">
      <c r="A117" s="209" t="s">
        <v>144</v>
      </c>
      <c r="B117" s="210" t="s">
        <v>145</v>
      </c>
      <c r="C117" s="61">
        <v>32330</v>
      </c>
      <c r="D117" s="61">
        <v>32330</v>
      </c>
      <c r="E117" s="61">
        <v>32330</v>
      </c>
      <c r="F117" s="61">
        <v>32330</v>
      </c>
      <c r="G117" s="61">
        <v>32330</v>
      </c>
      <c r="H117" s="61">
        <v>32330</v>
      </c>
      <c r="I117" s="61">
        <v>32330</v>
      </c>
      <c r="J117" s="61">
        <v>32330</v>
      </c>
      <c r="K117" s="61">
        <v>32330</v>
      </c>
      <c r="L117" s="61">
        <v>32330</v>
      </c>
      <c r="M117" s="61">
        <v>32330</v>
      </c>
      <c r="N117" s="61">
        <v>8738</v>
      </c>
      <c r="O117" s="655">
        <f t="shared" si="40"/>
        <v>0.27027528611197033</v>
      </c>
    </row>
    <row r="118" spans="1:25" x14ac:dyDescent="0.25">
      <c r="A118" s="209" t="s">
        <v>146</v>
      </c>
      <c r="B118" s="210" t="s">
        <v>147</v>
      </c>
      <c r="C118" s="60">
        <v>31830</v>
      </c>
      <c r="D118" s="60">
        <v>31830</v>
      </c>
      <c r="E118" s="60">
        <v>31830</v>
      </c>
      <c r="F118" s="60">
        <v>31830</v>
      </c>
      <c r="G118" s="60">
        <v>31830</v>
      </c>
      <c r="H118" s="60">
        <v>31830</v>
      </c>
      <c r="I118" s="60">
        <v>31830</v>
      </c>
      <c r="J118" s="60">
        <v>31830</v>
      </c>
      <c r="K118" s="60">
        <v>31830</v>
      </c>
      <c r="L118" s="60">
        <v>31830</v>
      </c>
      <c r="M118" s="60">
        <v>31830</v>
      </c>
      <c r="N118" s="60">
        <v>12921</v>
      </c>
      <c r="O118" s="655">
        <f t="shared" si="40"/>
        <v>0.40593779453345902</v>
      </c>
    </row>
    <row r="119" spans="1:25" x14ac:dyDescent="0.25">
      <c r="A119" s="209" t="s">
        <v>148</v>
      </c>
      <c r="B119" s="210" t="s">
        <v>233</v>
      </c>
      <c r="C119" s="60">
        <v>131840</v>
      </c>
      <c r="D119" s="60">
        <v>131840</v>
      </c>
      <c r="E119" s="60">
        <f>131840</f>
        <v>131840</v>
      </c>
      <c r="F119" s="60">
        <f t="shared" ref="F119:L119" si="87">131840+2735</f>
        <v>134575</v>
      </c>
      <c r="G119" s="60">
        <f t="shared" si="87"/>
        <v>134575</v>
      </c>
      <c r="H119" s="60">
        <f t="shared" si="87"/>
        <v>134575</v>
      </c>
      <c r="I119" s="60">
        <f t="shared" si="87"/>
        <v>134575</v>
      </c>
      <c r="J119" s="60">
        <f t="shared" si="87"/>
        <v>134575</v>
      </c>
      <c r="K119" s="60">
        <f t="shared" si="87"/>
        <v>134575</v>
      </c>
      <c r="L119" s="60">
        <f t="shared" si="87"/>
        <v>134575</v>
      </c>
      <c r="M119" s="60">
        <f>131840+2735</f>
        <v>134575</v>
      </c>
      <c r="N119" s="60">
        <v>68607</v>
      </c>
      <c r="O119" s="655">
        <f t="shared" si="40"/>
        <v>0.50980494148244471</v>
      </c>
    </row>
    <row r="120" spans="1:25" x14ac:dyDescent="0.25">
      <c r="A120" s="211" t="s">
        <v>149</v>
      </c>
      <c r="B120" s="210" t="s">
        <v>234</v>
      </c>
      <c r="C120" s="215">
        <v>11300</v>
      </c>
      <c r="D120" s="215">
        <v>11300</v>
      </c>
      <c r="E120" s="215">
        <v>11300</v>
      </c>
      <c r="F120" s="215">
        <v>11300</v>
      </c>
      <c r="G120" s="215">
        <v>11300</v>
      </c>
      <c r="H120" s="215">
        <v>11300</v>
      </c>
      <c r="I120" s="215">
        <v>11300</v>
      </c>
      <c r="J120" s="215">
        <v>11300</v>
      </c>
      <c r="K120" s="215">
        <v>11300</v>
      </c>
      <c r="L120" s="215">
        <v>11300</v>
      </c>
      <c r="M120" s="745">
        <f>11300+110</f>
        <v>11410</v>
      </c>
      <c r="N120" s="215">
        <v>6760</v>
      </c>
      <c r="O120" s="655">
        <f t="shared" si="40"/>
        <v>0.59246275197195442</v>
      </c>
    </row>
    <row r="121" spans="1:25" ht="15.75" thickBot="1" x14ac:dyDescent="0.3">
      <c r="A121" s="209" t="s">
        <v>150</v>
      </c>
      <c r="B121" s="210" t="s">
        <v>261</v>
      </c>
      <c r="C121" s="215">
        <v>6050</v>
      </c>
      <c r="D121" s="215">
        <v>6050</v>
      </c>
      <c r="E121" s="215">
        <v>6050</v>
      </c>
      <c r="F121" s="215">
        <v>6050</v>
      </c>
      <c r="G121" s="215">
        <v>6050</v>
      </c>
      <c r="H121" s="215">
        <v>6050</v>
      </c>
      <c r="I121" s="215">
        <v>6050</v>
      </c>
      <c r="J121" s="215">
        <v>6050</v>
      </c>
      <c r="K121" s="215">
        <v>6050</v>
      </c>
      <c r="L121" s="215">
        <v>6050</v>
      </c>
      <c r="M121" s="215">
        <v>6050</v>
      </c>
      <c r="N121" s="215">
        <v>442</v>
      </c>
      <c r="O121" s="655">
        <f t="shared" si="40"/>
        <v>7.3057851239669416E-2</v>
      </c>
    </row>
    <row r="122" spans="1:25" ht="15.75" thickBot="1" x14ac:dyDescent="0.3">
      <c r="A122" s="108" t="s">
        <v>151</v>
      </c>
      <c r="B122" s="109"/>
      <c r="C122" s="112">
        <f t="shared" ref="C122:N122" si="88">SUM(C123:C127)</f>
        <v>286950</v>
      </c>
      <c r="D122" s="112">
        <f t="shared" si="88"/>
        <v>286950</v>
      </c>
      <c r="E122" s="112">
        <f t="shared" si="88"/>
        <v>286950</v>
      </c>
      <c r="F122" s="112">
        <f t="shared" si="88"/>
        <v>286950</v>
      </c>
      <c r="G122" s="112">
        <f t="shared" si="88"/>
        <v>297750</v>
      </c>
      <c r="H122" s="112">
        <f t="shared" si="88"/>
        <v>297750</v>
      </c>
      <c r="I122" s="112">
        <f t="shared" si="88"/>
        <v>300850</v>
      </c>
      <c r="J122" s="112">
        <f t="shared" si="88"/>
        <v>300850</v>
      </c>
      <c r="K122" s="112">
        <f t="shared" si="88"/>
        <v>300850</v>
      </c>
      <c r="L122" s="112">
        <f t="shared" ref="L122:M122" si="89">SUM(L123:L127)</f>
        <v>300850</v>
      </c>
      <c r="M122" s="112">
        <f t="shared" si="89"/>
        <v>304550</v>
      </c>
      <c r="N122" s="112">
        <f t="shared" si="88"/>
        <v>106762</v>
      </c>
      <c r="O122" s="655">
        <f t="shared" si="40"/>
        <v>0.3505565588573305</v>
      </c>
    </row>
    <row r="123" spans="1:25" x14ac:dyDescent="0.25">
      <c r="A123" s="196" t="s">
        <v>152</v>
      </c>
      <c r="B123" s="85" t="s">
        <v>282</v>
      </c>
      <c r="C123" s="55">
        <f>268900</f>
        <v>268900</v>
      </c>
      <c r="D123" s="55">
        <f>268900</f>
        <v>268900</v>
      </c>
      <c r="E123" s="55">
        <f>268900</f>
        <v>268900</v>
      </c>
      <c r="F123" s="55">
        <f>268900</f>
        <v>268900</v>
      </c>
      <c r="G123" s="634">
        <f>268900+800+1000</f>
        <v>270700</v>
      </c>
      <c r="H123" s="55">
        <f>268900+800+1000</f>
        <v>270700</v>
      </c>
      <c r="I123" s="634">
        <f>268900+800+1000+100+3000</f>
        <v>273800</v>
      </c>
      <c r="J123" s="55">
        <f>268900+800+1000+100+3000</f>
        <v>273800</v>
      </c>
      <c r="K123" s="55">
        <f>268900+800+1000+100+3000</f>
        <v>273800</v>
      </c>
      <c r="L123" s="55">
        <f t="shared" ref="L123" si="90">268900+800+1000+100+3000</f>
        <v>273800</v>
      </c>
      <c r="M123" s="634">
        <f>268900+800+1000+100+3000+500+700+2000+300</f>
        <v>277300</v>
      </c>
      <c r="N123" s="55">
        <v>99593</v>
      </c>
      <c r="O123" s="655">
        <f t="shared" si="40"/>
        <v>0.35915254237288136</v>
      </c>
      <c r="P123" s="407"/>
      <c r="Q123" s="407"/>
    </row>
    <row r="124" spans="1:25" x14ac:dyDescent="0.25">
      <c r="A124" s="196" t="s">
        <v>153</v>
      </c>
      <c r="B124" s="85" t="s">
        <v>154</v>
      </c>
      <c r="C124" s="55">
        <v>450</v>
      </c>
      <c r="D124" s="55">
        <v>450</v>
      </c>
      <c r="E124" s="55">
        <v>450</v>
      </c>
      <c r="F124" s="55">
        <v>450</v>
      </c>
      <c r="G124" s="55">
        <v>450</v>
      </c>
      <c r="H124" s="55">
        <v>450</v>
      </c>
      <c r="I124" s="55">
        <v>450</v>
      </c>
      <c r="J124" s="55">
        <v>450</v>
      </c>
      <c r="K124" s="55">
        <v>450</v>
      </c>
      <c r="L124" s="55">
        <v>450</v>
      </c>
      <c r="M124" s="55">
        <v>450</v>
      </c>
      <c r="N124" s="55">
        <v>100</v>
      </c>
      <c r="O124" s="655">
        <f t="shared" si="40"/>
        <v>0.22222222222222221</v>
      </c>
      <c r="P124" s="407"/>
      <c r="Q124" s="407"/>
    </row>
    <row r="125" spans="1:25" x14ac:dyDescent="0.25">
      <c r="A125" s="121" t="s">
        <v>155</v>
      </c>
      <c r="B125" s="118" t="s">
        <v>156</v>
      </c>
      <c r="C125" s="60">
        <v>16600</v>
      </c>
      <c r="D125" s="60">
        <v>16600</v>
      </c>
      <c r="E125" s="60">
        <v>16600</v>
      </c>
      <c r="F125" s="60">
        <v>16600</v>
      </c>
      <c r="G125" s="60">
        <v>16600</v>
      </c>
      <c r="H125" s="60">
        <v>16600</v>
      </c>
      <c r="I125" s="60">
        <v>16600</v>
      </c>
      <c r="J125" s="60">
        <v>16600</v>
      </c>
      <c r="K125" s="60">
        <v>16600</v>
      </c>
      <c r="L125" s="60">
        <v>16600</v>
      </c>
      <c r="M125" s="622">
        <f>16600+200</f>
        <v>16800</v>
      </c>
      <c r="N125" s="60">
        <v>5305</v>
      </c>
      <c r="O125" s="655">
        <f t="shared" si="40"/>
        <v>0.31577380952380951</v>
      </c>
    </row>
    <row r="126" spans="1:25" x14ac:dyDescent="0.25">
      <c r="A126" s="121" t="s">
        <v>157</v>
      </c>
      <c r="B126" s="118" t="s">
        <v>481</v>
      </c>
      <c r="C126" s="60">
        <v>500</v>
      </c>
      <c r="D126" s="60">
        <v>500</v>
      </c>
      <c r="E126" s="60">
        <v>500</v>
      </c>
      <c r="F126" s="60">
        <v>500</v>
      </c>
      <c r="G126" s="622">
        <f>500+9000</f>
        <v>9500</v>
      </c>
      <c r="H126" s="60">
        <f>500+9000</f>
        <v>9500</v>
      </c>
      <c r="I126" s="60">
        <f>500+9000</f>
        <v>9500</v>
      </c>
      <c r="J126" s="60">
        <f>500+9000</f>
        <v>9500</v>
      </c>
      <c r="K126" s="60">
        <f>500+9000</f>
        <v>9500</v>
      </c>
      <c r="L126" s="60">
        <f t="shared" ref="L126:M126" si="91">500+9000</f>
        <v>9500</v>
      </c>
      <c r="M126" s="60">
        <f t="shared" si="91"/>
        <v>9500</v>
      </c>
      <c r="N126" s="60">
        <v>1764</v>
      </c>
      <c r="O126" s="655">
        <f t="shared" si="40"/>
        <v>0.18568421052631578</v>
      </c>
    </row>
    <row r="127" spans="1:25" ht="15.75" thickBot="1" x14ac:dyDescent="0.3">
      <c r="A127" s="164" t="s">
        <v>159</v>
      </c>
      <c r="B127" s="165" t="s">
        <v>160</v>
      </c>
      <c r="C127" s="186">
        <v>500</v>
      </c>
      <c r="D127" s="186">
        <v>500</v>
      </c>
      <c r="E127" s="186">
        <v>500</v>
      </c>
      <c r="F127" s="186">
        <v>500</v>
      </c>
      <c r="G127" s="186">
        <v>500</v>
      </c>
      <c r="H127" s="186">
        <v>500</v>
      </c>
      <c r="I127" s="186">
        <v>500</v>
      </c>
      <c r="J127" s="186">
        <v>500</v>
      </c>
      <c r="K127" s="186">
        <v>500</v>
      </c>
      <c r="L127" s="186">
        <v>500</v>
      </c>
      <c r="M127" s="186">
        <v>500</v>
      </c>
      <c r="N127" s="186">
        <v>0</v>
      </c>
      <c r="O127" s="655">
        <f t="shared" si="40"/>
        <v>0</v>
      </c>
    </row>
    <row r="128" spans="1:25" ht="16.5" thickBot="1" x14ac:dyDescent="0.3">
      <c r="A128" s="216" t="s">
        <v>161</v>
      </c>
      <c r="B128" s="176"/>
      <c r="C128" s="219">
        <f t="shared" ref="C128:N128" si="92">SUM(C79+C85+C87+C90+C94+C99+C103+C108+C114+C122)</f>
        <v>1504568</v>
      </c>
      <c r="D128" s="219">
        <f t="shared" si="92"/>
        <v>1504568</v>
      </c>
      <c r="E128" s="219">
        <f t="shared" si="92"/>
        <v>1508979</v>
      </c>
      <c r="F128" s="219">
        <f t="shared" si="92"/>
        <v>1516714</v>
      </c>
      <c r="G128" s="219">
        <f t="shared" si="92"/>
        <v>1522714</v>
      </c>
      <c r="H128" s="219">
        <f t="shared" si="92"/>
        <v>1525914</v>
      </c>
      <c r="I128" s="219">
        <f t="shared" si="92"/>
        <v>1536814</v>
      </c>
      <c r="J128" s="219">
        <f t="shared" si="92"/>
        <v>1539814</v>
      </c>
      <c r="K128" s="219">
        <f t="shared" si="92"/>
        <v>1540157</v>
      </c>
      <c r="L128" s="219">
        <f t="shared" ref="L128:M128" si="93">SUM(L79+L85+L87+L90+L94+L99+L103+L108+L114+L122)</f>
        <v>1541357</v>
      </c>
      <c r="M128" s="219">
        <f t="shared" si="93"/>
        <v>1547557</v>
      </c>
      <c r="N128" s="219">
        <f t="shared" si="92"/>
        <v>611858</v>
      </c>
      <c r="O128" s="655">
        <f t="shared" si="40"/>
        <v>0.39537025130576775</v>
      </c>
      <c r="P128" s="464">
        <f t="shared" ref="P128:P139" si="94">D128-C128</f>
        <v>0</v>
      </c>
      <c r="Q128" s="464">
        <f t="shared" ref="Q128:Q139" si="95">E128-D128</f>
        <v>4411</v>
      </c>
      <c r="R128" s="464">
        <f t="shared" ref="R128:R139" si="96">F128-E128</f>
        <v>7735</v>
      </c>
      <c r="S128" s="464">
        <f t="shared" ref="S128:S139" si="97">G128-F128</f>
        <v>6000</v>
      </c>
      <c r="T128" s="464">
        <f t="shared" ref="T128:T139" si="98">H128-G128</f>
        <v>3200</v>
      </c>
      <c r="U128" s="464">
        <f t="shared" ref="U128:U139" si="99">I128-H128</f>
        <v>10900</v>
      </c>
      <c r="V128" s="464">
        <f t="shared" ref="V128:V139" si="100">J128-I128</f>
        <v>3000</v>
      </c>
      <c r="W128" s="464">
        <f t="shared" ref="W128:W139" si="101">K128-J128</f>
        <v>343</v>
      </c>
      <c r="X128" s="464">
        <f t="shared" ref="X128:X139" si="102">L128-K128</f>
        <v>1200</v>
      </c>
      <c r="Y128" s="464">
        <f t="shared" ref="Y128:Y139" si="103">M128-L128</f>
        <v>6200</v>
      </c>
    </row>
    <row r="129" spans="1:25" x14ac:dyDescent="0.25">
      <c r="A129" s="220" t="s">
        <v>140</v>
      </c>
      <c r="B129" s="221" t="s">
        <v>163</v>
      </c>
      <c r="C129" s="224">
        <f t="shared" ref="C129:N129" si="104">C66</f>
        <v>534950</v>
      </c>
      <c r="D129" s="224">
        <f t="shared" si="104"/>
        <v>534950</v>
      </c>
      <c r="E129" s="652">
        <f t="shared" si="104"/>
        <v>556769</v>
      </c>
      <c r="F129" s="652">
        <f t="shared" si="104"/>
        <v>558169</v>
      </c>
      <c r="G129" s="224">
        <f t="shared" si="104"/>
        <v>558169</v>
      </c>
      <c r="H129" s="652">
        <f t="shared" si="104"/>
        <v>558907</v>
      </c>
      <c r="I129" s="224">
        <f t="shared" si="104"/>
        <v>558907</v>
      </c>
      <c r="J129" s="652">
        <f t="shared" si="104"/>
        <v>562128</v>
      </c>
      <c r="K129" s="224">
        <f t="shared" si="104"/>
        <v>562128</v>
      </c>
      <c r="L129" s="652">
        <f t="shared" ref="L129:M129" si="105">L66</f>
        <v>562378</v>
      </c>
      <c r="M129" s="224">
        <f t="shared" si="105"/>
        <v>562378</v>
      </c>
      <c r="N129" s="224">
        <f t="shared" si="104"/>
        <v>287306</v>
      </c>
      <c r="O129" s="655">
        <f t="shared" si="40"/>
        <v>0.51087702577270089</v>
      </c>
      <c r="P129" s="464">
        <f t="shared" si="94"/>
        <v>0</v>
      </c>
      <c r="Q129" s="464">
        <f t="shared" si="95"/>
        <v>21819</v>
      </c>
      <c r="R129" s="464">
        <f t="shared" si="96"/>
        <v>1400</v>
      </c>
      <c r="S129" s="464">
        <f t="shared" si="97"/>
        <v>0</v>
      </c>
      <c r="T129" s="464">
        <f t="shared" si="98"/>
        <v>738</v>
      </c>
      <c r="U129" s="464">
        <f t="shared" si="99"/>
        <v>0</v>
      </c>
      <c r="V129" s="464">
        <f t="shared" si="100"/>
        <v>3221</v>
      </c>
      <c r="W129" s="464">
        <f t="shared" si="101"/>
        <v>0</v>
      </c>
      <c r="X129" s="464">
        <f t="shared" si="102"/>
        <v>250</v>
      </c>
      <c r="Y129" s="464">
        <f t="shared" si="103"/>
        <v>0</v>
      </c>
    </row>
    <row r="130" spans="1:25" x14ac:dyDescent="0.25">
      <c r="A130" s="225" t="s">
        <v>140</v>
      </c>
      <c r="B130" s="226" t="s">
        <v>164</v>
      </c>
      <c r="C130" s="229">
        <f t="shared" ref="C130:N130" si="106">C68</f>
        <v>2450</v>
      </c>
      <c r="D130" s="229">
        <f t="shared" si="106"/>
        <v>2450</v>
      </c>
      <c r="E130" s="229">
        <f t="shared" si="106"/>
        <v>2450</v>
      </c>
      <c r="F130" s="229">
        <f t="shared" si="106"/>
        <v>2450</v>
      </c>
      <c r="G130" s="229">
        <f t="shared" si="106"/>
        <v>2450</v>
      </c>
      <c r="H130" s="229">
        <f t="shared" si="106"/>
        <v>2450</v>
      </c>
      <c r="I130" s="229">
        <f t="shared" si="106"/>
        <v>2450</v>
      </c>
      <c r="J130" s="229">
        <f t="shared" si="106"/>
        <v>2450</v>
      </c>
      <c r="K130" s="229">
        <f t="shared" si="106"/>
        <v>2450</v>
      </c>
      <c r="L130" s="229">
        <f t="shared" ref="L130:M130" si="107">L68</f>
        <v>2450</v>
      </c>
      <c r="M130" s="229">
        <f t="shared" si="107"/>
        <v>2450</v>
      </c>
      <c r="N130" s="229">
        <f t="shared" si="106"/>
        <v>47</v>
      </c>
      <c r="O130" s="655">
        <f t="shared" si="40"/>
        <v>1.9183673469387756E-2</v>
      </c>
      <c r="P130" s="464">
        <f t="shared" si="94"/>
        <v>0</v>
      </c>
      <c r="Q130" s="464">
        <f t="shared" si="95"/>
        <v>0</v>
      </c>
      <c r="R130" s="464">
        <f t="shared" si="96"/>
        <v>0</v>
      </c>
      <c r="S130" s="464">
        <f t="shared" si="97"/>
        <v>0</v>
      </c>
      <c r="T130" s="464">
        <f t="shared" si="98"/>
        <v>0</v>
      </c>
      <c r="U130" s="464">
        <f t="shared" si="99"/>
        <v>0</v>
      </c>
      <c r="V130" s="464">
        <f t="shared" si="100"/>
        <v>0</v>
      </c>
      <c r="W130" s="464">
        <f t="shared" si="101"/>
        <v>0</v>
      </c>
      <c r="X130" s="464">
        <f t="shared" si="102"/>
        <v>0</v>
      </c>
      <c r="Y130" s="464">
        <f t="shared" si="103"/>
        <v>0</v>
      </c>
    </row>
    <row r="131" spans="1:25" ht="15.75" thickBot="1" x14ac:dyDescent="0.3">
      <c r="A131" s="230" t="s">
        <v>140</v>
      </c>
      <c r="B131" s="231" t="s">
        <v>166</v>
      </c>
      <c r="C131" s="234">
        <v>0</v>
      </c>
      <c r="D131" s="234">
        <v>0</v>
      </c>
      <c r="E131" s="234">
        <v>0</v>
      </c>
      <c r="F131" s="234">
        <v>0</v>
      </c>
      <c r="G131" s="234">
        <v>0</v>
      </c>
      <c r="H131" s="234">
        <v>0</v>
      </c>
      <c r="I131" s="234">
        <v>0</v>
      </c>
      <c r="J131" s="234">
        <v>0</v>
      </c>
      <c r="K131" s="234">
        <v>0</v>
      </c>
      <c r="L131" s="234">
        <v>0</v>
      </c>
      <c r="M131" s="234">
        <v>0</v>
      </c>
      <c r="N131" s="234">
        <v>0</v>
      </c>
      <c r="O131" s="655">
        <v>0</v>
      </c>
      <c r="P131" s="464">
        <f t="shared" si="94"/>
        <v>0</v>
      </c>
      <c r="Q131" s="464">
        <f t="shared" si="95"/>
        <v>0</v>
      </c>
      <c r="R131" s="464">
        <f t="shared" si="96"/>
        <v>0</v>
      </c>
      <c r="S131" s="464">
        <f t="shared" si="97"/>
        <v>0</v>
      </c>
      <c r="T131" s="464">
        <f t="shared" si="98"/>
        <v>0</v>
      </c>
      <c r="U131" s="464">
        <f t="shared" si="99"/>
        <v>0</v>
      </c>
      <c r="V131" s="464">
        <f t="shared" si="100"/>
        <v>0</v>
      </c>
      <c r="W131" s="464">
        <f t="shared" si="101"/>
        <v>0</v>
      </c>
      <c r="X131" s="464">
        <f t="shared" si="102"/>
        <v>0</v>
      </c>
      <c r="Y131" s="464">
        <f t="shared" si="103"/>
        <v>0</v>
      </c>
    </row>
    <row r="132" spans="1:25" x14ac:dyDescent="0.25">
      <c r="A132" s="235" t="s">
        <v>142</v>
      </c>
      <c r="B132" s="236" t="s">
        <v>167</v>
      </c>
      <c r="C132" s="239">
        <v>32600</v>
      </c>
      <c r="D132" s="239">
        <v>32600</v>
      </c>
      <c r="E132" s="239">
        <v>32600</v>
      </c>
      <c r="F132" s="239">
        <v>32600</v>
      </c>
      <c r="G132" s="239">
        <v>32600</v>
      </c>
      <c r="H132" s="239">
        <v>32600</v>
      </c>
      <c r="I132" s="239">
        <v>32600</v>
      </c>
      <c r="J132" s="239">
        <v>32600</v>
      </c>
      <c r="K132" s="239">
        <v>32600</v>
      </c>
      <c r="L132" s="239">
        <v>32600</v>
      </c>
      <c r="M132" s="239">
        <v>32600</v>
      </c>
      <c r="N132" s="239">
        <v>16302</v>
      </c>
      <c r="O132" s="655">
        <f t="shared" ref="O132:O189" si="108">N132/M132</f>
        <v>0.50006134969325156</v>
      </c>
      <c r="P132" s="464">
        <f t="shared" si="94"/>
        <v>0</v>
      </c>
      <c r="Q132" s="464">
        <f t="shared" si="95"/>
        <v>0</v>
      </c>
      <c r="R132" s="464">
        <f t="shared" si="96"/>
        <v>0</v>
      </c>
      <c r="S132" s="464">
        <f t="shared" si="97"/>
        <v>0</v>
      </c>
      <c r="T132" s="464">
        <f t="shared" si="98"/>
        <v>0</v>
      </c>
      <c r="U132" s="464">
        <f t="shared" si="99"/>
        <v>0</v>
      </c>
      <c r="V132" s="464">
        <f t="shared" si="100"/>
        <v>0</v>
      </c>
      <c r="W132" s="464">
        <f t="shared" si="101"/>
        <v>0</v>
      </c>
      <c r="X132" s="464">
        <f t="shared" si="102"/>
        <v>0</v>
      </c>
      <c r="Y132" s="464">
        <f t="shared" si="103"/>
        <v>0</v>
      </c>
    </row>
    <row r="133" spans="1:25" ht="15.75" thickBot="1" x14ac:dyDescent="0.3">
      <c r="A133" s="225" t="s">
        <v>142</v>
      </c>
      <c r="B133" s="226" t="s">
        <v>168</v>
      </c>
      <c r="C133" s="229">
        <f t="shared" ref="C133:N133" si="109">C69</f>
        <v>2000</v>
      </c>
      <c r="D133" s="229">
        <f t="shared" si="109"/>
        <v>2000</v>
      </c>
      <c r="E133" s="229">
        <f t="shared" si="109"/>
        <v>2000</v>
      </c>
      <c r="F133" s="229">
        <f t="shared" si="109"/>
        <v>2000</v>
      </c>
      <c r="G133" s="229">
        <f t="shared" si="109"/>
        <v>2000</v>
      </c>
      <c r="H133" s="229">
        <f t="shared" si="109"/>
        <v>2000</v>
      </c>
      <c r="I133" s="229">
        <f t="shared" si="109"/>
        <v>2000</v>
      </c>
      <c r="J133" s="229">
        <f t="shared" si="109"/>
        <v>2000</v>
      </c>
      <c r="K133" s="229">
        <f t="shared" si="109"/>
        <v>2000</v>
      </c>
      <c r="L133" s="229">
        <f t="shared" ref="L133:M133" si="110">L69</f>
        <v>2000</v>
      </c>
      <c r="M133" s="229">
        <f t="shared" si="110"/>
        <v>2000</v>
      </c>
      <c r="N133" s="229">
        <f t="shared" si="109"/>
        <v>924</v>
      </c>
      <c r="O133" s="655">
        <f t="shared" si="108"/>
        <v>0.46200000000000002</v>
      </c>
      <c r="P133" s="464">
        <f t="shared" si="94"/>
        <v>0</v>
      </c>
      <c r="Q133" s="464">
        <f t="shared" si="95"/>
        <v>0</v>
      </c>
      <c r="R133" s="464">
        <f t="shared" si="96"/>
        <v>0</v>
      </c>
      <c r="S133" s="464">
        <f t="shared" si="97"/>
        <v>0</v>
      </c>
      <c r="T133" s="464">
        <f t="shared" si="98"/>
        <v>0</v>
      </c>
      <c r="U133" s="464">
        <f t="shared" si="99"/>
        <v>0</v>
      </c>
      <c r="V133" s="464">
        <f t="shared" si="100"/>
        <v>0</v>
      </c>
      <c r="W133" s="464">
        <f t="shared" si="101"/>
        <v>0</v>
      </c>
      <c r="X133" s="464">
        <f t="shared" si="102"/>
        <v>0</v>
      </c>
      <c r="Y133" s="464">
        <f t="shared" si="103"/>
        <v>0</v>
      </c>
    </row>
    <row r="134" spans="1:25" ht="15.75" thickBot="1" x14ac:dyDescent="0.3">
      <c r="A134" s="823" t="s">
        <v>169</v>
      </c>
      <c r="B134" s="824"/>
      <c r="C134" s="242">
        <f t="shared" ref="C134:N134" si="111">SUM(C129:C133)</f>
        <v>572000</v>
      </c>
      <c r="D134" s="242">
        <f t="shared" si="111"/>
        <v>572000</v>
      </c>
      <c r="E134" s="242">
        <f t="shared" si="111"/>
        <v>593819</v>
      </c>
      <c r="F134" s="242">
        <f t="shared" si="111"/>
        <v>595219</v>
      </c>
      <c r="G134" s="242">
        <f t="shared" si="111"/>
        <v>595219</v>
      </c>
      <c r="H134" s="242">
        <f t="shared" si="111"/>
        <v>595957</v>
      </c>
      <c r="I134" s="242">
        <f t="shared" si="111"/>
        <v>595957</v>
      </c>
      <c r="J134" s="242">
        <f t="shared" si="111"/>
        <v>599178</v>
      </c>
      <c r="K134" s="242">
        <f t="shared" si="111"/>
        <v>599178</v>
      </c>
      <c r="L134" s="242">
        <f t="shared" ref="L134:M134" si="112">SUM(L129:L133)</f>
        <v>599428</v>
      </c>
      <c r="M134" s="242">
        <f t="shared" si="112"/>
        <v>599428</v>
      </c>
      <c r="N134" s="242">
        <f t="shared" si="111"/>
        <v>304579</v>
      </c>
      <c r="O134" s="655">
        <f t="shared" si="108"/>
        <v>0.50811607065402353</v>
      </c>
      <c r="P134" s="464">
        <f t="shared" si="94"/>
        <v>0</v>
      </c>
      <c r="Q134" s="464">
        <f t="shared" si="95"/>
        <v>21819</v>
      </c>
      <c r="R134" s="464">
        <f t="shared" si="96"/>
        <v>1400</v>
      </c>
      <c r="S134" s="464">
        <f t="shared" si="97"/>
        <v>0</v>
      </c>
      <c r="T134" s="464">
        <f t="shared" si="98"/>
        <v>738</v>
      </c>
      <c r="U134" s="464">
        <f t="shared" si="99"/>
        <v>0</v>
      </c>
      <c r="V134" s="464">
        <f t="shared" si="100"/>
        <v>3221</v>
      </c>
      <c r="W134" s="464">
        <f t="shared" si="101"/>
        <v>0</v>
      </c>
      <c r="X134" s="464">
        <f t="shared" si="102"/>
        <v>250</v>
      </c>
      <c r="Y134" s="464">
        <f t="shared" si="103"/>
        <v>0</v>
      </c>
    </row>
    <row r="135" spans="1:25" x14ac:dyDescent="0.25">
      <c r="A135" s="243" t="s">
        <v>142</v>
      </c>
      <c r="B135" s="244" t="s">
        <v>170</v>
      </c>
      <c r="C135" s="247">
        <f t="shared" ref="C135:M135" si="113">264110-C136</f>
        <v>252640</v>
      </c>
      <c r="D135" s="247">
        <f t="shared" si="113"/>
        <v>252640</v>
      </c>
      <c r="E135" s="247">
        <f t="shared" si="113"/>
        <v>252640</v>
      </c>
      <c r="F135" s="247">
        <f t="shared" si="113"/>
        <v>252640</v>
      </c>
      <c r="G135" s="247">
        <f t="shared" si="113"/>
        <v>252640</v>
      </c>
      <c r="H135" s="247">
        <f t="shared" si="113"/>
        <v>252640</v>
      </c>
      <c r="I135" s="247">
        <f t="shared" si="113"/>
        <v>252640</v>
      </c>
      <c r="J135" s="247">
        <f t="shared" si="113"/>
        <v>252640</v>
      </c>
      <c r="K135" s="247">
        <f t="shared" si="113"/>
        <v>252640</v>
      </c>
      <c r="L135" s="247">
        <f t="shared" si="113"/>
        <v>252640</v>
      </c>
      <c r="M135" s="247">
        <f t="shared" si="113"/>
        <v>252640</v>
      </c>
      <c r="N135" s="247">
        <v>126318</v>
      </c>
      <c r="O135" s="655">
        <f t="shared" si="108"/>
        <v>0.49999208359721342</v>
      </c>
      <c r="P135" s="464">
        <f t="shared" si="94"/>
        <v>0</v>
      </c>
      <c r="Q135" s="464">
        <f t="shared" si="95"/>
        <v>0</v>
      </c>
      <c r="R135" s="464">
        <f t="shared" si="96"/>
        <v>0</v>
      </c>
      <c r="S135" s="464">
        <f t="shared" si="97"/>
        <v>0</v>
      </c>
      <c r="T135" s="464">
        <f t="shared" si="98"/>
        <v>0</v>
      </c>
      <c r="U135" s="464">
        <f t="shared" si="99"/>
        <v>0</v>
      </c>
      <c r="V135" s="464">
        <f t="shared" si="100"/>
        <v>0</v>
      </c>
      <c r="W135" s="464">
        <f t="shared" si="101"/>
        <v>0</v>
      </c>
      <c r="X135" s="464">
        <f t="shared" si="102"/>
        <v>0</v>
      </c>
      <c r="Y135" s="464">
        <f t="shared" si="103"/>
        <v>0</v>
      </c>
    </row>
    <row r="136" spans="1:25" ht="15.75" thickBot="1" x14ac:dyDescent="0.3">
      <c r="A136" s="248" t="s">
        <v>142</v>
      </c>
      <c r="B136" s="249" t="s">
        <v>171</v>
      </c>
      <c r="C136" s="93">
        <f t="shared" ref="C136:N136" si="114">C71</f>
        <v>11470</v>
      </c>
      <c r="D136" s="93">
        <f t="shared" si="114"/>
        <v>11470</v>
      </c>
      <c r="E136" s="93">
        <f t="shared" si="114"/>
        <v>11470</v>
      </c>
      <c r="F136" s="93">
        <f t="shared" si="114"/>
        <v>11470</v>
      </c>
      <c r="G136" s="93">
        <f t="shared" si="114"/>
        <v>11470</v>
      </c>
      <c r="H136" s="93">
        <f t="shared" si="114"/>
        <v>11470</v>
      </c>
      <c r="I136" s="93">
        <f t="shared" si="114"/>
        <v>11470</v>
      </c>
      <c r="J136" s="93">
        <f t="shared" si="114"/>
        <v>11470</v>
      </c>
      <c r="K136" s="93">
        <f t="shared" si="114"/>
        <v>11470</v>
      </c>
      <c r="L136" s="93">
        <f t="shared" ref="L136:M136" si="115">L71</f>
        <v>11470</v>
      </c>
      <c r="M136" s="93">
        <f t="shared" si="115"/>
        <v>11470</v>
      </c>
      <c r="N136" s="93">
        <f t="shared" si="114"/>
        <v>5520</v>
      </c>
      <c r="O136" s="655">
        <f t="shared" si="108"/>
        <v>0.48125544899738448</v>
      </c>
      <c r="P136" s="464">
        <f t="shared" si="94"/>
        <v>0</v>
      </c>
      <c r="Q136" s="464">
        <f t="shared" si="95"/>
        <v>0</v>
      </c>
      <c r="R136" s="464">
        <f t="shared" si="96"/>
        <v>0</v>
      </c>
      <c r="S136" s="464">
        <f t="shared" si="97"/>
        <v>0</v>
      </c>
      <c r="T136" s="464">
        <f t="shared" si="98"/>
        <v>0</v>
      </c>
      <c r="U136" s="464">
        <f t="shared" si="99"/>
        <v>0</v>
      </c>
      <c r="V136" s="464">
        <f t="shared" si="100"/>
        <v>0</v>
      </c>
      <c r="W136" s="464">
        <f t="shared" si="101"/>
        <v>0</v>
      </c>
      <c r="X136" s="464">
        <f t="shared" si="102"/>
        <v>0</v>
      </c>
      <c r="Y136" s="464">
        <f t="shared" si="103"/>
        <v>0</v>
      </c>
    </row>
    <row r="137" spans="1:25" ht="15.75" thickBot="1" x14ac:dyDescent="0.3">
      <c r="A137" s="805" t="s">
        <v>172</v>
      </c>
      <c r="B137" s="806"/>
      <c r="C137" s="254">
        <f t="shared" ref="C137:N137" si="116">SUM(C135:C136)</f>
        <v>264110</v>
      </c>
      <c r="D137" s="254">
        <f t="shared" si="116"/>
        <v>264110</v>
      </c>
      <c r="E137" s="254">
        <f t="shared" si="116"/>
        <v>264110</v>
      </c>
      <c r="F137" s="254">
        <f t="shared" si="116"/>
        <v>264110</v>
      </c>
      <c r="G137" s="254">
        <f t="shared" si="116"/>
        <v>264110</v>
      </c>
      <c r="H137" s="254">
        <f t="shared" si="116"/>
        <v>264110</v>
      </c>
      <c r="I137" s="254">
        <f t="shared" si="116"/>
        <v>264110</v>
      </c>
      <c r="J137" s="254">
        <f t="shared" ref="J137:K137" si="117">SUM(J135:J136)</f>
        <v>264110</v>
      </c>
      <c r="K137" s="254">
        <f t="shared" si="117"/>
        <v>264110</v>
      </c>
      <c r="L137" s="254">
        <f t="shared" ref="L137:M137" si="118">SUM(L135:L136)</f>
        <v>264110</v>
      </c>
      <c r="M137" s="254">
        <f t="shared" si="118"/>
        <v>264110</v>
      </c>
      <c r="N137" s="254">
        <f t="shared" si="116"/>
        <v>131838</v>
      </c>
      <c r="O137" s="655">
        <f t="shared" si="108"/>
        <v>0.49917837264776038</v>
      </c>
      <c r="P137" s="464">
        <f t="shared" si="94"/>
        <v>0</v>
      </c>
      <c r="Q137" s="464">
        <f t="shared" si="95"/>
        <v>0</v>
      </c>
      <c r="R137" s="464">
        <f t="shared" si="96"/>
        <v>0</v>
      </c>
      <c r="S137" s="464">
        <f t="shared" si="97"/>
        <v>0</v>
      </c>
      <c r="T137" s="464">
        <f t="shared" si="98"/>
        <v>0</v>
      </c>
      <c r="U137" s="464">
        <f t="shared" si="99"/>
        <v>0</v>
      </c>
      <c r="V137" s="464">
        <f t="shared" si="100"/>
        <v>0</v>
      </c>
      <c r="W137" s="464">
        <f t="shared" si="101"/>
        <v>0</v>
      </c>
      <c r="X137" s="464">
        <f t="shared" si="102"/>
        <v>0</v>
      </c>
      <c r="Y137" s="464">
        <f t="shared" si="103"/>
        <v>0</v>
      </c>
    </row>
    <row r="138" spans="1:25" ht="18" customHeight="1" thickBot="1" x14ac:dyDescent="0.3">
      <c r="A138" s="827" t="s">
        <v>173</v>
      </c>
      <c r="B138" s="828"/>
      <c r="C138" s="257">
        <f t="shared" ref="C138:N138" si="119">C134+C137</f>
        <v>836110</v>
      </c>
      <c r="D138" s="257">
        <f t="shared" si="119"/>
        <v>836110</v>
      </c>
      <c r="E138" s="257">
        <f t="shared" si="119"/>
        <v>857929</v>
      </c>
      <c r="F138" s="257">
        <f t="shared" si="119"/>
        <v>859329</v>
      </c>
      <c r="G138" s="257">
        <f t="shared" si="119"/>
        <v>859329</v>
      </c>
      <c r="H138" s="257">
        <f t="shared" si="119"/>
        <v>860067</v>
      </c>
      <c r="I138" s="257">
        <f t="shared" si="119"/>
        <v>860067</v>
      </c>
      <c r="J138" s="257">
        <f t="shared" si="119"/>
        <v>863288</v>
      </c>
      <c r="K138" s="257">
        <f t="shared" si="119"/>
        <v>863288</v>
      </c>
      <c r="L138" s="257">
        <f t="shared" ref="L138:M138" si="120">L134+L137</f>
        <v>863538</v>
      </c>
      <c r="M138" s="257">
        <f t="shared" si="120"/>
        <v>863538</v>
      </c>
      <c r="N138" s="257">
        <f t="shared" si="119"/>
        <v>436417</v>
      </c>
      <c r="O138" s="655">
        <f t="shared" si="108"/>
        <v>0.50538250777614879</v>
      </c>
      <c r="P138" s="464">
        <f t="shared" si="94"/>
        <v>0</v>
      </c>
      <c r="Q138" s="464">
        <f t="shared" si="95"/>
        <v>21819</v>
      </c>
      <c r="R138" s="464">
        <f t="shared" si="96"/>
        <v>1400</v>
      </c>
      <c r="S138" s="464">
        <f t="shared" si="97"/>
        <v>0</v>
      </c>
      <c r="T138" s="464">
        <f t="shared" si="98"/>
        <v>738</v>
      </c>
      <c r="U138" s="464">
        <f t="shared" si="99"/>
        <v>0</v>
      </c>
      <c r="V138" s="464">
        <f t="shared" si="100"/>
        <v>3221</v>
      </c>
      <c r="W138" s="464">
        <f t="shared" si="101"/>
        <v>0</v>
      </c>
      <c r="X138" s="464">
        <f t="shared" si="102"/>
        <v>250</v>
      </c>
      <c r="Y138" s="464">
        <f t="shared" si="103"/>
        <v>0</v>
      </c>
    </row>
    <row r="139" spans="1:25" ht="24" customHeight="1" thickBot="1" x14ac:dyDescent="0.3">
      <c r="A139" s="258" t="s">
        <v>174</v>
      </c>
      <c r="B139" s="144"/>
      <c r="C139" s="261">
        <f t="shared" ref="C139:N139" si="121">C128+C138</f>
        <v>2340678</v>
      </c>
      <c r="D139" s="261">
        <f t="shared" si="121"/>
        <v>2340678</v>
      </c>
      <c r="E139" s="261">
        <f t="shared" si="121"/>
        <v>2366908</v>
      </c>
      <c r="F139" s="261">
        <f t="shared" si="121"/>
        <v>2376043</v>
      </c>
      <c r="G139" s="261">
        <f t="shared" si="121"/>
        <v>2382043</v>
      </c>
      <c r="H139" s="261">
        <f t="shared" si="121"/>
        <v>2385981</v>
      </c>
      <c r="I139" s="261">
        <f t="shared" si="121"/>
        <v>2396881</v>
      </c>
      <c r="J139" s="261">
        <f t="shared" si="121"/>
        <v>2403102</v>
      </c>
      <c r="K139" s="261">
        <f t="shared" si="121"/>
        <v>2403445</v>
      </c>
      <c r="L139" s="261">
        <f t="shared" ref="L139:M139" si="122">L128+L138</f>
        <v>2404895</v>
      </c>
      <c r="M139" s="261">
        <f t="shared" si="122"/>
        <v>2411095</v>
      </c>
      <c r="N139" s="261">
        <f t="shared" si="121"/>
        <v>1048275</v>
      </c>
      <c r="O139" s="655">
        <f t="shared" si="108"/>
        <v>0.43477133833382758</v>
      </c>
      <c r="P139" s="464">
        <f t="shared" si="94"/>
        <v>0</v>
      </c>
      <c r="Q139" s="464">
        <f t="shared" si="95"/>
        <v>26230</v>
      </c>
      <c r="R139" s="464">
        <f t="shared" si="96"/>
        <v>9135</v>
      </c>
      <c r="S139" s="464">
        <f t="shared" si="97"/>
        <v>6000</v>
      </c>
      <c r="T139" s="464">
        <f t="shared" si="98"/>
        <v>3938</v>
      </c>
      <c r="U139" s="464">
        <f t="shared" si="99"/>
        <v>10900</v>
      </c>
      <c r="V139" s="464">
        <f t="shared" si="100"/>
        <v>6221</v>
      </c>
      <c r="W139" s="464">
        <f t="shared" si="101"/>
        <v>343</v>
      </c>
      <c r="X139" s="464">
        <f t="shared" si="102"/>
        <v>1450</v>
      </c>
      <c r="Y139" s="464">
        <f t="shared" si="103"/>
        <v>6200</v>
      </c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655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655"/>
    </row>
    <row r="142" spans="1:25" ht="18.75" thickBot="1" x14ac:dyDescent="0.3">
      <c r="A142" s="829" t="s">
        <v>175</v>
      </c>
      <c r="B142" s="830"/>
      <c r="C142" s="830"/>
      <c r="D142" s="830"/>
      <c r="E142" s="830"/>
      <c r="F142" s="830"/>
      <c r="G142" s="830"/>
      <c r="H142" s="830"/>
      <c r="I142" s="830"/>
      <c r="J142" s="830"/>
      <c r="K142" s="830"/>
      <c r="L142" s="830"/>
      <c r="M142" s="830"/>
      <c r="N142" s="830"/>
      <c r="O142" s="655"/>
      <c r="P142" s="1"/>
    </row>
    <row r="143" spans="1:25" ht="36.75" customHeight="1" thickBot="1" x14ac:dyDescent="0.3">
      <c r="A143" s="819" t="s">
        <v>1</v>
      </c>
      <c r="B143" s="831"/>
      <c r="C143" s="416" t="s">
        <v>376</v>
      </c>
      <c r="D143" s="416" t="s">
        <v>509</v>
      </c>
      <c r="E143" s="416" t="s">
        <v>511</v>
      </c>
      <c r="F143" s="416" t="s">
        <v>512</v>
      </c>
      <c r="G143" s="416" t="s">
        <v>377</v>
      </c>
      <c r="H143" s="416" t="s">
        <v>541</v>
      </c>
      <c r="I143" s="416" t="s">
        <v>497</v>
      </c>
      <c r="J143" s="416" t="s">
        <v>556</v>
      </c>
      <c r="K143" s="416" t="s">
        <v>561</v>
      </c>
      <c r="L143" s="416" t="s">
        <v>605</v>
      </c>
      <c r="M143" s="416" t="s">
        <v>606</v>
      </c>
      <c r="N143" s="416" t="s">
        <v>646</v>
      </c>
      <c r="O143" s="655"/>
      <c r="P143" s="1"/>
    </row>
    <row r="144" spans="1:25" ht="16.5" thickBot="1" x14ac:dyDescent="0.3">
      <c r="A144" s="832" t="s">
        <v>176</v>
      </c>
      <c r="B144" s="833"/>
      <c r="C144" s="262">
        <f t="shared" ref="C144:N144" si="123">SUM(C145:C153)</f>
        <v>774720</v>
      </c>
      <c r="D144" s="262">
        <f t="shared" si="123"/>
        <v>774720</v>
      </c>
      <c r="E144" s="262">
        <f t="shared" si="123"/>
        <v>774720</v>
      </c>
      <c r="F144" s="262">
        <f t="shared" si="123"/>
        <v>774720</v>
      </c>
      <c r="G144" s="262">
        <f t="shared" si="123"/>
        <v>778710</v>
      </c>
      <c r="H144" s="262">
        <f t="shared" si="123"/>
        <v>778710</v>
      </c>
      <c r="I144" s="262">
        <f t="shared" si="123"/>
        <v>781210</v>
      </c>
      <c r="J144" s="262">
        <f t="shared" si="123"/>
        <v>781210</v>
      </c>
      <c r="K144" s="262">
        <f t="shared" si="123"/>
        <v>781210</v>
      </c>
      <c r="L144" s="262">
        <f t="shared" ref="L144:M144" si="124">SUM(L145:L153)</f>
        <v>781210</v>
      </c>
      <c r="M144" s="262">
        <f t="shared" si="124"/>
        <v>781210</v>
      </c>
      <c r="N144" s="262">
        <f t="shared" si="123"/>
        <v>49456</v>
      </c>
      <c r="O144" s="655">
        <f t="shared" si="108"/>
        <v>6.3306921314371295E-2</v>
      </c>
      <c r="P144" s="464">
        <f t="shared" ref="P144:W144" si="125">D144-C144</f>
        <v>0</v>
      </c>
      <c r="Q144" s="464">
        <f t="shared" si="125"/>
        <v>0</v>
      </c>
      <c r="R144" s="464">
        <f t="shared" si="125"/>
        <v>0</v>
      </c>
      <c r="S144" s="464">
        <f t="shared" si="125"/>
        <v>3990</v>
      </c>
      <c r="T144" s="464">
        <f t="shared" si="125"/>
        <v>0</v>
      </c>
      <c r="U144" s="464">
        <f t="shared" si="125"/>
        <v>2500</v>
      </c>
      <c r="V144" s="464">
        <f t="shared" si="125"/>
        <v>0</v>
      </c>
      <c r="W144" s="464">
        <f t="shared" si="125"/>
        <v>0</v>
      </c>
    </row>
    <row r="145" spans="1:27" x14ac:dyDescent="0.25">
      <c r="A145" s="627">
        <v>231</v>
      </c>
      <c r="B145" s="628" t="s">
        <v>382</v>
      </c>
      <c r="C145" s="629">
        <v>0</v>
      </c>
      <c r="D145" s="629">
        <v>0</v>
      </c>
      <c r="E145" s="630">
        <f>2000</f>
        <v>2000</v>
      </c>
      <c r="F145" s="630">
        <f>2000-2000</f>
        <v>0</v>
      </c>
      <c r="G145" s="630">
        <f>2000-2000+3990</f>
        <v>3990</v>
      </c>
      <c r="H145" s="629">
        <f>2000-2000+3990</f>
        <v>3990</v>
      </c>
      <c r="I145" s="629">
        <f>2000-2000+3990</f>
        <v>3990</v>
      </c>
      <c r="J145" s="629">
        <f>2000-2000+3990</f>
        <v>3990</v>
      </c>
      <c r="K145" s="629">
        <f>2000-2000+3990</f>
        <v>3990</v>
      </c>
      <c r="L145" s="629">
        <f t="shared" ref="L145:M145" si="126">2000-2000+3990</f>
        <v>3990</v>
      </c>
      <c r="M145" s="629">
        <f t="shared" si="126"/>
        <v>3990</v>
      </c>
      <c r="N145" s="629">
        <v>3990</v>
      </c>
      <c r="O145" s="655">
        <f t="shared" si="108"/>
        <v>1</v>
      </c>
    </row>
    <row r="146" spans="1:27" ht="15.75" thickBot="1" x14ac:dyDescent="0.3">
      <c r="A146" s="3">
        <v>233</v>
      </c>
      <c r="B146" s="328" t="s">
        <v>177</v>
      </c>
      <c r="C146" s="626">
        <v>3000</v>
      </c>
      <c r="D146" s="626">
        <v>3000</v>
      </c>
      <c r="E146" s="729">
        <f>3000-2000</f>
        <v>1000</v>
      </c>
      <c r="F146" s="729">
        <f t="shared" ref="F146:M146" si="127">3000-2000+2000</f>
        <v>3000</v>
      </c>
      <c r="G146" s="626">
        <f t="shared" si="127"/>
        <v>3000</v>
      </c>
      <c r="H146" s="626">
        <f t="shared" si="127"/>
        <v>3000</v>
      </c>
      <c r="I146" s="626">
        <f t="shared" si="127"/>
        <v>3000</v>
      </c>
      <c r="J146" s="626">
        <f t="shared" si="127"/>
        <v>3000</v>
      </c>
      <c r="K146" s="626">
        <f t="shared" si="127"/>
        <v>3000</v>
      </c>
      <c r="L146" s="626">
        <f t="shared" si="127"/>
        <v>3000</v>
      </c>
      <c r="M146" s="626">
        <f t="shared" si="127"/>
        <v>3000</v>
      </c>
      <c r="N146" s="626"/>
      <c r="O146" s="655">
        <f t="shared" si="108"/>
        <v>0</v>
      </c>
      <c r="P146" s="1"/>
    </row>
    <row r="147" spans="1:27" ht="15.75" thickBot="1" x14ac:dyDescent="0.3">
      <c r="A147" s="442">
        <v>321</v>
      </c>
      <c r="B147" s="443" t="s">
        <v>262</v>
      </c>
      <c r="C147" s="458">
        <v>5000</v>
      </c>
      <c r="D147" s="458">
        <v>5000</v>
      </c>
      <c r="E147" s="458">
        <v>5000</v>
      </c>
      <c r="F147" s="458">
        <v>5000</v>
      </c>
      <c r="G147" s="458">
        <v>5000</v>
      </c>
      <c r="H147" s="458">
        <v>5000</v>
      </c>
      <c r="I147" s="458">
        <v>5000</v>
      </c>
      <c r="J147" s="458">
        <v>5000</v>
      </c>
      <c r="K147" s="458">
        <v>5000</v>
      </c>
      <c r="L147" s="458">
        <v>5000</v>
      </c>
      <c r="M147" s="458">
        <v>5000</v>
      </c>
      <c r="N147" s="458">
        <v>120</v>
      </c>
      <c r="O147" s="655">
        <f t="shared" si="108"/>
        <v>2.4E-2</v>
      </c>
      <c r="P147" s="642">
        <f>SUM(G145:G147)</f>
        <v>11990</v>
      </c>
      <c r="Q147" s="656">
        <f>P147+G178</f>
        <v>11990</v>
      </c>
    </row>
    <row r="148" spans="1:27" x14ac:dyDescent="0.25">
      <c r="A148" s="265">
        <v>322</v>
      </c>
      <c r="B148" s="292" t="s">
        <v>415</v>
      </c>
      <c r="C148" s="412">
        <v>0</v>
      </c>
      <c r="D148" s="412">
        <v>0</v>
      </c>
      <c r="E148" s="412">
        <v>0</v>
      </c>
      <c r="F148" s="412">
        <v>0</v>
      </c>
      <c r="G148" s="412">
        <v>0</v>
      </c>
      <c r="H148" s="412">
        <v>0</v>
      </c>
      <c r="I148" s="412">
        <v>0</v>
      </c>
      <c r="J148" s="412">
        <v>0</v>
      </c>
      <c r="K148" s="412">
        <v>0</v>
      </c>
      <c r="L148" s="412">
        <v>0</v>
      </c>
      <c r="M148" s="412">
        <v>0</v>
      </c>
      <c r="N148" s="412"/>
      <c r="O148" s="655">
        <v>0</v>
      </c>
      <c r="P148" s="1"/>
    </row>
    <row r="149" spans="1:27" x14ac:dyDescent="0.25">
      <c r="A149" s="268">
        <v>322</v>
      </c>
      <c r="B149" s="72" t="s">
        <v>181</v>
      </c>
      <c r="C149" s="270">
        <v>300000</v>
      </c>
      <c r="D149" s="270">
        <v>300000</v>
      </c>
      <c r="E149" s="270">
        <v>300000</v>
      </c>
      <c r="F149" s="270">
        <v>300000</v>
      </c>
      <c r="G149" s="270">
        <v>300000</v>
      </c>
      <c r="H149" s="270">
        <v>300000</v>
      </c>
      <c r="I149" s="270">
        <v>300000</v>
      </c>
      <c r="J149" s="270">
        <v>300000</v>
      </c>
      <c r="K149" s="270">
        <v>300000</v>
      </c>
      <c r="L149" s="270">
        <v>300000</v>
      </c>
      <c r="M149" s="270">
        <v>300000</v>
      </c>
      <c r="N149" s="270"/>
      <c r="O149" s="655">
        <f t="shared" si="108"/>
        <v>0</v>
      </c>
      <c r="P149" s="1"/>
    </row>
    <row r="150" spans="1:27" x14ac:dyDescent="0.25">
      <c r="A150" s="265">
        <v>322</v>
      </c>
      <c r="B150" s="72" t="s">
        <v>263</v>
      </c>
      <c r="C150" s="270">
        <v>15000</v>
      </c>
      <c r="D150" s="270">
        <v>15000</v>
      </c>
      <c r="E150" s="270">
        <v>15000</v>
      </c>
      <c r="F150" s="270">
        <v>15000</v>
      </c>
      <c r="G150" s="270">
        <v>15000</v>
      </c>
      <c r="H150" s="270">
        <v>15000</v>
      </c>
      <c r="I150" s="270">
        <v>15000</v>
      </c>
      <c r="J150" s="270">
        <v>15000</v>
      </c>
      <c r="K150" s="270">
        <v>15000</v>
      </c>
      <c r="L150" s="270">
        <v>15000</v>
      </c>
      <c r="M150" s="270">
        <v>15000</v>
      </c>
      <c r="N150" s="267"/>
      <c r="O150" s="655">
        <f t="shared" si="108"/>
        <v>0</v>
      </c>
      <c r="P150" s="1"/>
    </row>
    <row r="151" spans="1:27" x14ac:dyDescent="0.25">
      <c r="A151" s="271">
        <v>322</v>
      </c>
      <c r="B151" s="274" t="s">
        <v>248</v>
      </c>
      <c r="C151" s="273">
        <v>19000</v>
      </c>
      <c r="D151" s="273">
        <v>19000</v>
      </c>
      <c r="E151" s="273">
        <v>19000</v>
      </c>
      <c r="F151" s="273">
        <v>19000</v>
      </c>
      <c r="G151" s="273">
        <v>19000</v>
      </c>
      <c r="H151" s="273">
        <v>19000</v>
      </c>
      <c r="I151" s="273">
        <v>19000</v>
      </c>
      <c r="J151" s="273">
        <v>19000</v>
      </c>
      <c r="K151" s="273">
        <v>19000</v>
      </c>
      <c r="L151" s="273">
        <v>19000</v>
      </c>
      <c r="M151" s="273">
        <v>19000</v>
      </c>
      <c r="N151" s="267"/>
      <c r="O151" s="655">
        <f t="shared" si="108"/>
        <v>0</v>
      </c>
      <c r="P151" s="1"/>
    </row>
    <row r="152" spans="1:27" x14ac:dyDescent="0.25">
      <c r="A152" s="271">
        <v>322</v>
      </c>
      <c r="B152" s="76" t="s">
        <v>242</v>
      </c>
      <c r="C152" s="273">
        <v>355220</v>
      </c>
      <c r="D152" s="273">
        <v>355220</v>
      </c>
      <c r="E152" s="273">
        <v>355220</v>
      </c>
      <c r="F152" s="273">
        <v>355220</v>
      </c>
      <c r="G152" s="273">
        <v>355220</v>
      </c>
      <c r="H152" s="273">
        <v>355220</v>
      </c>
      <c r="I152" s="273">
        <v>355220</v>
      </c>
      <c r="J152" s="273">
        <v>355220</v>
      </c>
      <c r="K152" s="273">
        <v>355220</v>
      </c>
      <c r="L152" s="273">
        <v>355220</v>
      </c>
      <c r="M152" s="273">
        <v>355220</v>
      </c>
      <c r="N152" s="267"/>
      <c r="O152" s="655">
        <f t="shared" si="108"/>
        <v>0</v>
      </c>
      <c r="P152" s="1"/>
    </row>
    <row r="153" spans="1:27" ht="15.75" thickBot="1" x14ac:dyDescent="0.3">
      <c r="A153" s="268">
        <v>322</v>
      </c>
      <c r="B153" s="72" t="s">
        <v>243</v>
      </c>
      <c r="C153" s="270">
        <f t="shared" ref="C153:H153" si="128">166800-89300</f>
        <v>77500</v>
      </c>
      <c r="D153" s="270">
        <f t="shared" si="128"/>
        <v>77500</v>
      </c>
      <c r="E153" s="270">
        <f t="shared" si="128"/>
        <v>77500</v>
      </c>
      <c r="F153" s="270">
        <f t="shared" si="128"/>
        <v>77500</v>
      </c>
      <c r="G153" s="270">
        <f t="shared" si="128"/>
        <v>77500</v>
      </c>
      <c r="H153" s="270">
        <f t="shared" si="128"/>
        <v>77500</v>
      </c>
      <c r="I153" s="721">
        <f>166800-89300+2500</f>
        <v>80000</v>
      </c>
      <c r="J153" s="270">
        <f>166800-89300+2500</f>
        <v>80000</v>
      </c>
      <c r="K153" s="270">
        <f>166800-89300+2500</f>
        <v>80000</v>
      </c>
      <c r="L153" s="270">
        <f t="shared" ref="L153:M153" si="129">166800-89300+2500</f>
        <v>80000</v>
      </c>
      <c r="M153" s="270">
        <f t="shared" si="129"/>
        <v>80000</v>
      </c>
      <c r="N153" s="267">
        <f>45346</f>
        <v>45346</v>
      </c>
      <c r="O153" s="655">
        <f t="shared" si="108"/>
        <v>0.56682500000000002</v>
      </c>
      <c r="P153" s="642">
        <f>SUM(G148:G153)</f>
        <v>766720</v>
      </c>
    </row>
    <row r="154" spans="1:27" ht="16.5" thickBot="1" x14ac:dyDescent="0.3">
      <c r="A154" s="832" t="s">
        <v>182</v>
      </c>
      <c r="B154" s="833"/>
      <c r="C154" s="262">
        <f t="shared" ref="C154:N154" si="130">SUM(C155:C171)</f>
        <v>1267700</v>
      </c>
      <c r="D154" s="262">
        <f t="shared" si="130"/>
        <v>1267700</v>
      </c>
      <c r="E154" s="262">
        <f t="shared" si="130"/>
        <v>1267700</v>
      </c>
      <c r="F154" s="262">
        <f t="shared" si="130"/>
        <v>1267700</v>
      </c>
      <c r="G154" s="262">
        <f t="shared" si="130"/>
        <v>1267700</v>
      </c>
      <c r="H154" s="262">
        <f t="shared" si="130"/>
        <v>1267700</v>
      </c>
      <c r="I154" s="262">
        <f t="shared" si="130"/>
        <v>1270200</v>
      </c>
      <c r="J154" s="262">
        <f t="shared" si="130"/>
        <v>1270200</v>
      </c>
      <c r="K154" s="262">
        <f t="shared" si="130"/>
        <v>1274190</v>
      </c>
      <c r="L154" s="262">
        <f t="shared" ref="L154:M154" si="131">SUM(L155:L171)</f>
        <v>1274190</v>
      </c>
      <c r="M154" s="262">
        <f t="shared" si="131"/>
        <v>1275076</v>
      </c>
      <c r="N154" s="262">
        <f t="shared" si="130"/>
        <v>103663</v>
      </c>
      <c r="O154" s="655">
        <f t="shared" si="108"/>
        <v>8.129946763957599E-2</v>
      </c>
      <c r="P154" s="642">
        <f>C154-C144</f>
        <v>492980</v>
      </c>
      <c r="Q154" s="27"/>
      <c r="R154" s="27"/>
      <c r="Y154" s="464"/>
      <c r="Z154" s="464"/>
      <c r="AA154" s="464"/>
    </row>
    <row r="155" spans="1:27" x14ac:dyDescent="0.25">
      <c r="A155" s="286" t="s">
        <v>96</v>
      </c>
      <c r="B155" s="275" t="s">
        <v>186</v>
      </c>
      <c r="C155" s="287">
        <v>1500</v>
      </c>
      <c r="D155" s="287">
        <v>1500</v>
      </c>
      <c r="E155" s="287">
        <v>1500</v>
      </c>
      <c r="F155" s="287">
        <v>1500</v>
      </c>
      <c r="G155" s="287">
        <v>1500</v>
      </c>
      <c r="H155" s="287">
        <v>1500</v>
      </c>
      <c r="I155" s="287">
        <v>1500</v>
      </c>
      <c r="J155" s="287">
        <v>1500</v>
      </c>
      <c r="K155" s="287">
        <v>1500</v>
      </c>
      <c r="L155" s="287">
        <v>1500</v>
      </c>
      <c r="M155" s="287">
        <v>1500</v>
      </c>
      <c r="N155" s="287"/>
      <c r="O155" s="655">
        <f t="shared" si="108"/>
        <v>0</v>
      </c>
      <c r="P155" s="27">
        <f t="shared" ref="P155:W155" si="132">D154-C154</f>
        <v>0</v>
      </c>
      <c r="Q155" s="27">
        <f t="shared" si="132"/>
        <v>0</v>
      </c>
      <c r="R155" s="27">
        <f t="shared" si="132"/>
        <v>0</v>
      </c>
      <c r="S155" s="27">
        <f t="shared" si="132"/>
        <v>0</v>
      </c>
      <c r="T155" s="27">
        <f t="shared" si="132"/>
        <v>0</v>
      </c>
      <c r="U155" s="27">
        <f t="shared" si="132"/>
        <v>2500</v>
      </c>
      <c r="V155" s="27">
        <f t="shared" si="132"/>
        <v>0</v>
      </c>
      <c r="W155" s="27">
        <f t="shared" si="132"/>
        <v>3990</v>
      </c>
      <c r="X155" s="27">
        <f t="shared" ref="X155" si="133">L154-K154</f>
        <v>0</v>
      </c>
      <c r="Y155" s="27">
        <f t="shared" ref="Y155" si="134">M154-L154</f>
        <v>886</v>
      </c>
    </row>
    <row r="156" spans="1:27" ht="15.75" thickBot="1" x14ac:dyDescent="0.3">
      <c r="A156" s="282" t="s">
        <v>98</v>
      </c>
      <c r="B156" s="408" t="s">
        <v>245</v>
      </c>
      <c r="C156" s="284">
        <v>20600</v>
      </c>
      <c r="D156" s="284">
        <v>20600</v>
      </c>
      <c r="E156" s="284">
        <v>20600</v>
      </c>
      <c r="F156" s="284">
        <v>20600</v>
      </c>
      <c r="G156" s="284">
        <v>20600</v>
      </c>
      <c r="H156" s="284">
        <v>20600</v>
      </c>
      <c r="I156" s="284">
        <v>20600</v>
      </c>
      <c r="J156" s="284">
        <v>20600</v>
      </c>
      <c r="K156" s="284">
        <v>20600</v>
      </c>
      <c r="L156" s="284">
        <v>20600</v>
      </c>
      <c r="M156" s="284">
        <v>20600</v>
      </c>
      <c r="N156" s="284">
        <v>20321</v>
      </c>
      <c r="O156" s="655">
        <f t="shared" si="108"/>
        <v>0.9864563106796117</v>
      </c>
      <c r="P156" s="27"/>
    </row>
    <row r="157" spans="1:27" ht="15.75" thickBot="1" x14ac:dyDescent="0.3">
      <c r="A157" s="657" t="s">
        <v>103</v>
      </c>
      <c r="B157" s="658" t="s">
        <v>241</v>
      </c>
      <c r="C157" s="411">
        <v>325000</v>
      </c>
      <c r="D157" s="411">
        <v>325000</v>
      </c>
      <c r="E157" s="411">
        <v>325000</v>
      </c>
      <c r="F157" s="411">
        <v>325000</v>
      </c>
      <c r="G157" s="411">
        <v>325000</v>
      </c>
      <c r="H157" s="411">
        <v>325000</v>
      </c>
      <c r="I157" s="411">
        <v>325000</v>
      </c>
      <c r="J157" s="411">
        <v>325000</v>
      </c>
      <c r="K157" s="411">
        <f>325000</f>
        <v>325000</v>
      </c>
      <c r="L157" s="411">
        <f t="shared" ref="L157" si="135">325000</f>
        <v>325000</v>
      </c>
      <c r="M157" s="411">
        <f>325000</f>
        <v>325000</v>
      </c>
      <c r="N157" s="411"/>
      <c r="O157" s="655">
        <f t="shared" si="108"/>
        <v>0</v>
      </c>
      <c r="P157" s="1"/>
    </row>
    <row r="158" spans="1:27" x14ac:dyDescent="0.25">
      <c r="A158" s="288" t="s">
        <v>190</v>
      </c>
      <c r="B158" s="289" t="s">
        <v>191</v>
      </c>
      <c r="C158" s="290">
        <v>43000</v>
      </c>
      <c r="D158" s="290">
        <v>43000</v>
      </c>
      <c r="E158" s="290">
        <v>43000</v>
      </c>
      <c r="F158" s="290">
        <v>43000</v>
      </c>
      <c r="G158" s="716">
        <f>43000-18000</f>
        <v>25000</v>
      </c>
      <c r="H158" s="290">
        <f>43000-18000</f>
        <v>25000</v>
      </c>
      <c r="I158" s="290">
        <f>43000-18000</f>
        <v>25000</v>
      </c>
      <c r="J158" s="290">
        <f>43000-18000</f>
        <v>25000</v>
      </c>
      <c r="K158" s="290">
        <f>43000-18000</f>
        <v>25000</v>
      </c>
      <c r="L158" s="290">
        <f t="shared" ref="L158:M158" si="136">43000-18000</f>
        <v>25000</v>
      </c>
      <c r="M158" s="290">
        <f t="shared" si="136"/>
        <v>25000</v>
      </c>
      <c r="N158" s="290"/>
      <c r="O158" s="655">
        <f t="shared" si="108"/>
        <v>0</v>
      </c>
      <c r="P158" s="1"/>
    </row>
    <row r="159" spans="1:27" x14ac:dyDescent="0.25">
      <c r="A159" s="297" t="s">
        <v>190</v>
      </c>
      <c r="B159" s="294" t="s">
        <v>247</v>
      </c>
      <c r="C159" s="281">
        <v>29000</v>
      </c>
      <c r="D159" s="281">
        <v>29000</v>
      </c>
      <c r="E159" s="281">
        <v>29000</v>
      </c>
      <c r="F159" s="281">
        <v>29000</v>
      </c>
      <c r="G159" s="281">
        <v>29000</v>
      </c>
      <c r="H159" s="281">
        <v>29000</v>
      </c>
      <c r="I159" s="281">
        <v>29000</v>
      </c>
      <c r="J159" s="281">
        <v>29000</v>
      </c>
      <c r="K159" s="636">
        <f>29000+1490</f>
        <v>30490</v>
      </c>
      <c r="L159" s="281">
        <f t="shared" ref="L159" si="137">29000+1490</f>
        <v>30490</v>
      </c>
      <c r="M159" s="636">
        <f>29000+1490+500</f>
        <v>30990</v>
      </c>
      <c r="N159" s="281">
        <v>2827</v>
      </c>
      <c r="O159" s="655">
        <f t="shared" si="108"/>
        <v>9.1222975153275251E-2</v>
      </c>
      <c r="P159" s="27"/>
    </row>
    <row r="160" spans="1:27" x14ac:dyDescent="0.25">
      <c r="A160" s="297" t="s">
        <v>110</v>
      </c>
      <c r="B160" s="431" t="s">
        <v>230</v>
      </c>
      <c r="C160" s="281">
        <v>15800</v>
      </c>
      <c r="D160" s="281">
        <v>15800</v>
      </c>
      <c r="E160" s="281">
        <v>15800</v>
      </c>
      <c r="F160" s="281">
        <v>15800</v>
      </c>
      <c r="G160" s="281">
        <v>15800</v>
      </c>
      <c r="H160" s="281">
        <v>15800</v>
      </c>
      <c r="I160" s="281">
        <v>15800</v>
      </c>
      <c r="J160" s="281">
        <v>15800</v>
      </c>
      <c r="K160" s="281">
        <v>15800</v>
      </c>
      <c r="L160" s="281">
        <v>15800</v>
      </c>
      <c r="M160" s="636">
        <f>15800-500</f>
        <v>15300</v>
      </c>
      <c r="N160" s="281"/>
      <c r="O160" s="655">
        <f t="shared" si="108"/>
        <v>0</v>
      </c>
      <c r="P160" s="27"/>
    </row>
    <row r="161" spans="1:25" x14ac:dyDescent="0.25">
      <c r="A161" s="297" t="s">
        <v>110</v>
      </c>
      <c r="B161" s="650" t="s">
        <v>395</v>
      </c>
      <c r="C161" s="281">
        <v>0</v>
      </c>
      <c r="D161" s="281">
        <v>0</v>
      </c>
      <c r="E161" s="281">
        <v>0</v>
      </c>
      <c r="F161" s="281">
        <v>0</v>
      </c>
      <c r="G161" s="281">
        <v>0</v>
      </c>
      <c r="H161" s="281">
        <v>0</v>
      </c>
      <c r="I161" s="281">
        <v>0</v>
      </c>
      <c r="J161" s="281">
        <v>0</v>
      </c>
      <c r="K161" s="281">
        <v>0</v>
      </c>
      <c r="L161" s="281">
        <v>0</v>
      </c>
      <c r="M161" s="281">
        <v>0</v>
      </c>
      <c r="N161" s="281"/>
      <c r="O161" s="655">
        <v>0</v>
      </c>
      <c r="P161" s="27"/>
    </row>
    <row r="162" spans="1:25" ht="15.75" thickBot="1" x14ac:dyDescent="0.3">
      <c r="A162" s="299" t="s">
        <v>110</v>
      </c>
      <c r="B162" s="445" t="s">
        <v>239</v>
      </c>
      <c r="C162" s="284">
        <v>30000</v>
      </c>
      <c r="D162" s="284">
        <v>30000</v>
      </c>
      <c r="E162" s="284">
        <v>30000</v>
      </c>
      <c r="F162" s="284">
        <v>30000</v>
      </c>
      <c r="G162" s="284">
        <v>30000</v>
      </c>
      <c r="H162" s="284">
        <v>30000</v>
      </c>
      <c r="I162" s="284">
        <v>30000</v>
      </c>
      <c r="J162" s="284">
        <v>30000</v>
      </c>
      <c r="K162" s="284">
        <v>30000</v>
      </c>
      <c r="L162" s="284">
        <v>30000</v>
      </c>
      <c r="M162" s="284">
        <v>30000</v>
      </c>
      <c r="N162" s="284">
        <v>2728</v>
      </c>
      <c r="O162" s="655">
        <f t="shared" si="108"/>
        <v>9.0933333333333338E-2</v>
      </c>
      <c r="P162" s="27"/>
    </row>
    <row r="163" spans="1:25" x14ac:dyDescent="0.25">
      <c r="A163" s="300" t="s">
        <v>125</v>
      </c>
      <c r="B163" s="298" t="s">
        <v>192</v>
      </c>
      <c r="C163" s="287">
        <v>0</v>
      </c>
      <c r="D163" s="287">
        <v>0</v>
      </c>
      <c r="E163" s="287">
        <v>0</v>
      </c>
      <c r="F163" s="287">
        <v>0</v>
      </c>
      <c r="G163" s="287">
        <v>0</v>
      </c>
      <c r="H163" s="287">
        <v>0</v>
      </c>
      <c r="I163" s="287">
        <v>0</v>
      </c>
      <c r="J163" s="287">
        <v>0</v>
      </c>
      <c r="K163" s="614">
        <v>2500</v>
      </c>
      <c r="L163" s="287">
        <v>2500</v>
      </c>
      <c r="M163" s="287">
        <v>2500</v>
      </c>
      <c r="N163" s="287"/>
      <c r="O163" s="655">
        <f t="shared" si="108"/>
        <v>0</v>
      </c>
      <c r="P163" s="27"/>
    </row>
    <row r="164" spans="1:25" x14ac:dyDescent="0.25">
      <c r="A164" s="303" t="s">
        <v>125</v>
      </c>
      <c r="B164" s="304" t="s">
        <v>195</v>
      </c>
      <c r="C164" s="293">
        <v>21000</v>
      </c>
      <c r="D164" s="293">
        <v>21000</v>
      </c>
      <c r="E164" s="293">
        <v>21000</v>
      </c>
      <c r="F164" s="293">
        <v>21000</v>
      </c>
      <c r="G164" s="293">
        <v>21000</v>
      </c>
      <c r="H164" s="293">
        <v>21000</v>
      </c>
      <c r="I164" s="293">
        <v>21000</v>
      </c>
      <c r="J164" s="293">
        <v>21000</v>
      </c>
      <c r="K164" s="293">
        <v>21000</v>
      </c>
      <c r="L164" s="293">
        <v>21000</v>
      </c>
      <c r="M164" s="293">
        <v>21000</v>
      </c>
      <c r="N164" s="290"/>
      <c r="O164" s="655">
        <f t="shared" si="108"/>
        <v>0</v>
      </c>
      <c r="P164" s="27"/>
    </row>
    <row r="165" spans="1:25" x14ac:dyDescent="0.25">
      <c r="A165" s="303" t="s">
        <v>125</v>
      </c>
      <c r="B165" s="304" t="s">
        <v>240</v>
      </c>
      <c r="C165" s="293">
        <v>8000</v>
      </c>
      <c r="D165" s="293">
        <v>8000</v>
      </c>
      <c r="E165" s="293">
        <v>8000</v>
      </c>
      <c r="F165" s="293">
        <v>8000</v>
      </c>
      <c r="G165" s="293">
        <v>8000</v>
      </c>
      <c r="H165" s="293">
        <v>8000</v>
      </c>
      <c r="I165" s="293">
        <v>8000</v>
      </c>
      <c r="J165" s="293">
        <v>8000</v>
      </c>
      <c r="K165" s="293">
        <v>8000</v>
      </c>
      <c r="L165" s="293">
        <v>8000</v>
      </c>
      <c r="M165" s="293">
        <v>8000</v>
      </c>
      <c r="N165" s="293"/>
      <c r="O165" s="655">
        <f t="shared" si="108"/>
        <v>0</v>
      </c>
      <c r="P165" s="1"/>
    </row>
    <row r="166" spans="1:25" x14ac:dyDescent="0.25">
      <c r="A166" s="303" t="s">
        <v>127</v>
      </c>
      <c r="B166" s="304" t="s">
        <v>564</v>
      </c>
      <c r="C166" s="293">
        <v>0</v>
      </c>
      <c r="D166" s="293">
        <v>0</v>
      </c>
      <c r="E166" s="293">
        <v>0</v>
      </c>
      <c r="F166" s="293">
        <v>0</v>
      </c>
      <c r="G166" s="293">
        <v>0</v>
      </c>
      <c r="H166" s="293">
        <v>0</v>
      </c>
      <c r="I166" s="293">
        <v>0</v>
      </c>
      <c r="J166" s="293">
        <v>0</v>
      </c>
      <c r="K166" s="293">
        <v>0</v>
      </c>
      <c r="L166" s="293">
        <v>0</v>
      </c>
      <c r="M166" s="293">
        <v>0</v>
      </c>
      <c r="N166" s="293">
        <v>0</v>
      </c>
      <c r="O166" s="655">
        <v>0</v>
      </c>
      <c r="P166" s="1"/>
    </row>
    <row r="167" spans="1:25" x14ac:dyDescent="0.25">
      <c r="A167" s="303" t="s">
        <v>127</v>
      </c>
      <c r="B167" s="304" t="s">
        <v>238</v>
      </c>
      <c r="C167" s="281">
        <v>100000</v>
      </c>
      <c r="D167" s="281">
        <v>100000</v>
      </c>
      <c r="E167" s="281">
        <v>100000</v>
      </c>
      <c r="F167" s="281">
        <v>100000</v>
      </c>
      <c r="G167" s="281">
        <v>100000</v>
      </c>
      <c r="H167" s="281">
        <v>100000</v>
      </c>
      <c r="I167" s="281">
        <v>100000</v>
      </c>
      <c r="J167" s="281">
        <v>100000</v>
      </c>
      <c r="K167" s="281">
        <v>100000</v>
      </c>
      <c r="L167" s="281">
        <v>100000</v>
      </c>
      <c r="M167" s="636">
        <f>100000+886</f>
        <v>100886</v>
      </c>
      <c r="N167" s="281"/>
      <c r="O167" s="655">
        <f t="shared" si="108"/>
        <v>0</v>
      </c>
      <c r="P167" s="1"/>
    </row>
    <row r="168" spans="1:25" x14ac:dyDescent="0.25">
      <c r="A168" s="303" t="s">
        <v>127</v>
      </c>
      <c r="B168" s="294" t="s">
        <v>267</v>
      </c>
      <c r="C168" s="281">
        <v>200000</v>
      </c>
      <c r="D168" s="281">
        <v>200000</v>
      </c>
      <c r="E168" s="281">
        <v>200000</v>
      </c>
      <c r="F168" s="281">
        <v>200000</v>
      </c>
      <c r="G168" s="281">
        <v>200000</v>
      </c>
      <c r="H168" s="281">
        <v>200000</v>
      </c>
      <c r="I168" s="281">
        <v>200000</v>
      </c>
      <c r="J168" s="281">
        <v>200000</v>
      </c>
      <c r="K168" s="281">
        <v>200000</v>
      </c>
      <c r="L168" s="281">
        <v>200000</v>
      </c>
      <c r="M168" s="281">
        <v>200000</v>
      </c>
      <c r="N168" s="281"/>
      <c r="O168" s="655">
        <f t="shared" si="108"/>
        <v>0</v>
      </c>
      <c r="P168" s="1"/>
    </row>
    <row r="169" spans="1:25" ht="15.75" thickBot="1" x14ac:dyDescent="0.3">
      <c r="A169" s="299" t="s">
        <v>131</v>
      </c>
      <c r="B169" s="659" t="s">
        <v>394</v>
      </c>
      <c r="C169" s="284">
        <v>0</v>
      </c>
      <c r="D169" s="284">
        <v>0</v>
      </c>
      <c r="E169" s="284">
        <v>0</v>
      </c>
      <c r="F169" s="284">
        <v>0</v>
      </c>
      <c r="G169" s="284">
        <v>0</v>
      </c>
      <c r="H169" s="284">
        <v>0</v>
      </c>
      <c r="I169" s="284">
        <v>0</v>
      </c>
      <c r="J169" s="284">
        <v>0</v>
      </c>
      <c r="K169" s="284">
        <v>0</v>
      </c>
      <c r="L169" s="284">
        <v>0</v>
      </c>
      <c r="M169" s="284">
        <v>0</v>
      </c>
      <c r="N169" s="284"/>
      <c r="O169" s="655">
        <v>0</v>
      </c>
      <c r="P169" s="1"/>
    </row>
    <row r="170" spans="1:25" x14ac:dyDescent="0.25">
      <c r="A170" s="308" t="s">
        <v>136</v>
      </c>
      <c r="B170" s="275" t="s">
        <v>269</v>
      </c>
      <c r="C170" s="287">
        <v>381000</v>
      </c>
      <c r="D170" s="287">
        <v>381000</v>
      </c>
      <c r="E170" s="287">
        <v>381000</v>
      </c>
      <c r="F170" s="287">
        <v>381000</v>
      </c>
      <c r="G170" s="287">
        <v>381000</v>
      </c>
      <c r="H170" s="287">
        <v>381000</v>
      </c>
      <c r="I170" s="287">
        <v>381000</v>
      </c>
      <c r="J170" s="287">
        <v>381000</v>
      </c>
      <c r="K170" s="287">
        <v>381000</v>
      </c>
      <c r="L170" s="287">
        <v>381000</v>
      </c>
      <c r="M170" s="287">
        <v>381000</v>
      </c>
      <c r="N170" s="287"/>
      <c r="O170" s="655">
        <f t="shared" si="108"/>
        <v>0</v>
      </c>
      <c r="P170" s="1"/>
    </row>
    <row r="171" spans="1:25" ht="15.75" thickBot="1" x14ac:dyDescent="0.3">
      <c r="A171" s="310" t="s">
        <v>152</v>
      </c>
      <c r="B171" s="446" t="s">
        <v>386</v>
      </c>
      <c r="C171" s="284">
        <f>186800-94000</f>
        <v>92800</v>
      </c>
      <c r="D171" s="284">
        <f>186800-94000</f>
        <v>92800</v>
      </c>
      <c r="E171" s="284">
        <f>186800-94000</f>
        <v>92800</v>
      </c>
      <c r="F171" s="284">
        <f>186800-94000</f>
        <v>92800</v>
      </c>
      <c r="G171" s="632">
        <f>186800-94000+18000</f>
        <v>110800</v>
      </c>
      <c r="H171" s="284">
        <f>186800-94000+18000</f>
        <v>110800</v>
      </c>
      <c r="I171" s="632">
        <f>186800-94000+18000+2500</f>
        <v>113300</v>
      </c>
      <c r="J171" s="284">
        <f>186800-94000+18000+2500</f>
        <v>113300</v>
      </c>
      <c r="K171" s="284">
        <f>186800-94000+18000+2500</f>
        <v>113300</v>
      </c>
      <c r="L171" s="284">
        <f t="shared" ref="L171:M171" si="138">186800-94000+18000+2500</f>
        <v>113300</v>
      </c>
      <c r="M171" s="284">
        <f t="shared" si="138"/>
        <v>113300</v>
      </c>
      <c r="N171" s="284">
        <v>77787</v>
      </c>
      <c r="O171" s="655">
        <f t="shared" si="108"/>
        <v>0.68655781112091796</v>
      </c>
      <c r="P171" s="1"/>
    </row>
    <row r="172" spans="1:25" x14ac:dyDescent="0.25">
      <c r="A172" s="311"/>
      <c r="B172" s="312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655"/>
      <c r="P172" s="313"/>
    </row>
    <row r="173" spans="1:25" x14ac:dyDescent="0.25">
      <c r="A173" s="314"/>
      <c r="B173" s="315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655"/>
      <c r="P173" s="316"/>
    </row>
    <row r="174" spans="1:25" ht="18.75" thickBot="1" x14ac:dyDescent="0.3">
      <c r="A174" s="834" t="s">
        <v>197</v>
      </c>
      <c r="B174" s="835"/>
      <c r="C174" s="835"/>
      <c r="D174" s="835"/>
      <c r="E174" s="835"/>
      <c r="F174" s="835"/>
      <c r="G174" s="835"/>
      <c r="H174" s="835"/>
      <c r="I174" s="835"/>
      <c r="J174" s="835"/>
      <c r="K174" s="835"/>
      <c r="L174" s="835"/>
      <c r="M174" s="835"/>
      <c r="N174" s="835"/>
      <c r="O174" s="655"/>
      <c r="P174" s="1"/>
    </row>
    <row r="175" spans="1:25" ht="46.5" customHeight="1" thickBot="1" x14ac:dyDescent="0.3">
      <c r="A175" s="819" t="s">
        <v>1</v>
      </c>
      <c r="B175" s="831"/>
      <c r="C175" s="416" t="s">
        <v>376</v>
      </c>
      <c r="D175" s="416" t="s">
        <v>509</v>
      </c>
      <c r="E175" s="416" t="s">
        <v>511</v>
      </c>
      <c r="F175" s="416" t="s">
        <v>512</v>
      </c>
      <c r="G175" s="416" t="s">
        <v>377</v>
      </c>
      <c r="H175" s="416" t="s">
        <v>541</v>
      </c>
      <c r="I175" s="416" t="s">
        <v>497</v>
      </c>
      <c r="J175" s="416" t="s">
        <v>556</v>
      </c>
      <c r="K175" s="416" t="s">
        <v>561</v>
      </c>
      <c r="L175" s="416" t="s">
        <v>605</v>
      </c>
      <c r="M175" s="416" t="s">
        <v>606</v>
      </c>
      <c r="N175" s="416" t="s">
        <v>646</v>
      </c>
      <c r="O175" s="655"/>
      <c r="P175" s="1"/>
    </row>
    <row r="176" spans="1:25" ht="16.5" thickBot="1" x14ac:dyDescent="0.3">
      <c r="A176" s="447" t="s">
        <v>198</v>
      </c>
      <c r="B176" s="448"/>
      <c r="C176" s="449">
        <f t="shared" ref="C176:N176" si="139">SUM(C177:C185)</f>
        <v>586880</v>
      </c>
      <c r="D176" s="449">
        <f t="shared" si="139"/>
        <v>586880</v>
      </c>
      <c r="E176" s="449">
        <f t="shared" si="139"/>
        <v>586880</v>
      </c>
      <c r="F176" s="449">
        <f t="shared" si="139"/>
        <v>589615</v>
      </c>
      <c r="G176" s="449">
        <f t="shared" si="139"/>
        <v>589635</v>
      </c>
      <c r="H176" s="449">
        <f t="shared" si="139"/>
        <v>589635</v>
      </c>
      <c r="I176" s="449">
        <f t="shared" si="139"/>
        <v>589635</v>
      </c>
      <c r="J176" s="449">
        <f t="shared" ref="J176:K176" si="140">SUM(J177:J185)</f>
        <v>589635</v>
      </c>
      <c r="K176" s="449">
        <f t="shared" si="140"/>
        <v>589635</v>
      </c>
      <c r="L176" s="449">
        <f t="shared" ref="L176:M176" si="141">SUM(L177:L185)</f>
        <v>589635</v>
      </c>
      <c r="M176" s="449">
        <f t="shared" si="141"/>
        <v>590521</v>
      </c>
      <c r="N176" s="449">
        <f t="shared" si="139"/>
        <v>124153</v>
      </c>
      <c r="O176" s="655">
        <f t="shared" si="108"/>
        <v>0.21024315816033637</v>
      </c>
      <c r="P176" s="27">
        <f t="shared" ref="P176:W176" si="142">D176-C176</f>
        <v>0</v>
      </c>
      <c r="Q176" s="27">
        <f t="shared" si="142"/>
        <v>0</v>
      </c>
      <c r="R176" s="27">
        <f t="shared" si="142"/>
        <v>2735</v>
      </c>
      <c r="S176" s="27">
        <f t="shared" si="142"/>
        <v>20</v>
      </c>
      <c r="T176" s="27">
        <f t="shared" si="142"/>
        <v>0</v>
      </c>
      <c r="U176" s="27">
        <f t="shared" si="142"/>
        <v>0</v>
      </c>
      <c r="V176" s="27">
        <f t="shared" si="142"/>
        <v>0</v>
      </c>
      <c r="W176" s="27">
        <f t="shared" si="142"/>
        <v>0</v>
      </c>
      <c r="X176" s="27">
        <f t="shared" ref="X176" si="143">L176-K176</f>
        <v>0</v>
      </c>
      <c r="Y176" s="27">
        <f t="shared" ref="Y176" si="144">M176-L176</f>
        <v>886</v>
      </c>
    </row>
    <row r="177" spans="1:27" x14ac:dyDescent="0.25">
      <c r="A177" s="317">
        <v>453</v>
      </c>
      <c r="B177" s="318" t="s">
        <v>401</v>
      </c>
      <c r="C177" s="319">
        <v>1500</v>
      </c>
      <c r="D177" s="319">
        <v>1500</v>
      </c>
      <c r="E177" s="319">
        <v>1500</v>
      </c>
      <c r="F177" s="319">
        <v>1500</v>
      </c>
      <c r="G177" s="319">
        <v>1500</v>
      </c>
      <c r="H177" s="319">
        <v>1500</v>
      </c>
      <c r="I177" s="319">
        <v>1500</v>
      </c>
      <c r="J177" s="319">
        <v>1500</v>
      </c>
      <c r="K177" s="319">
        <v>1500</v>
      </c>
      <c r="L177" s="319">
        <v>1500</v>
      </c>
      <c r="M177" s="319">
        <v>1500</v>
      </c>
      <c r="N177" s="319">
        <v>0</v>
      </c>
      <c r="O177" s="655">
        <f t="shared" si="108"/>
        <v>0</v>
      </c>
      <c r="P177" s="1"/>
    </row>
    <row r="178" spans="1:27" x14ac:dyDescent="0.25">
      <c r="A178" s="317">
        <v>453</v>
      </c>
      <c r="B178" s="318" t="s">
        <v>402</v>
      </c>
      <c r="C178" s="319">
        <v>0</v>
      </c>
      <c r="D178" s="319">
        <v>0</v>
      </c>
      <c r="E178" s="319">
        <v>0</v>
      </c>
      <c r="F178" s="319">
        <v>0</v>
      </c>
      <c r="G178" s="319">
        <v>0</v>
      </c>
      <c r="H178" s="319">
        <v>0</v>
      </c>
      <c r="I178" s="319">
        <v>0</v>
      </c>
      <c r="J178" s="319">
        <v>0</v>
      </c>
      <c r="K178" s="319">
        <v>0</v>
      </c>
      <c r="L178" s="319">
        <v>0</v>
      </c>
      <c r="M178" s="742">
        <v>886</v>
      </c>
      <c r="N178" s="319">
        <v>0</v>
      </c>
      <c r="O178" s="655">
        <f t="shared" si="108"/>
        <v>0</v>
      </c>
      <c r="P178" s="663"/>
    </row>
    <row r="179" spans="1:27" x14ac:dyDescent="0.25">
      <c r="A179" s="435">
        <v>453</v>
      </c>
      <c r="B179" s="436" t="s">
        <v>318</v>
      </c>
      <c r="C179" s="64">
        <f>3000+19000</f>
        <v>22000</v>
      </c>
      <c r="D179" s="64">
        <f>3000+19000</f>
        <v>22000</v>
      </c>
      <c r="E179" s="64">
        <f>3000+19000</f>
        <v>22000</v>
      </c>
      <c r="F179" s="619">
        <f t="shared" ref="F179:M179" si="145">3000+19000+2155+580</f>
        <v>24735</v>
      </c>
      <c r="G179" s="64">
        <f t="shared" si="145"/>
        <v>24735</v>
      </c>
      <c r="H179" s="64">
        <f t="shared" si="145"/>
        <v>24735</v>
      </c>
      <c r="I179" s="64">
        <f t="shared" si="145"/>
        <v>24735</v>
      </c>
      <c r="J179" s="64">
        <f t="shared" si="145"/>
        <v>24735</v>
      </c>
      <c r="K179" s="64">
        <f t="shared" si="145"/>
        <v>24735</v>
      </c>
      <c r="L179" s="64">
        <f t="shared" si="145"/>
        <v>24735</v>
      </c>
      <c r="M179" s="64">
        <f t="shared" si="145"/>
        <v>24735</v>
      </c>
      <c r="N179" s="64">
        <f>3000+19571</f>
        <v>22571</v>
      </c>
      <c r="O179" s="655">
        <f t="shared" si="108"/>
        <v>0.91251263391954718</v>
      </c>
      <c r="P179" s="27">
        <f>E179-C179</f>
        <v>0</v>
      </c>
    </row>
    <row r="180" spans="1:27" x14ac:dyDescent="0.25">
      <c r="A180" s="317">
        <v>453</v>
      </c>
      <c r="B180" s="436" t="s">
        <v>324</v>
      </c>
      <c r="C180" s="319">
        <v>64300</v>
      </c>
      <c r="D180" s="319">
        <v>64300</v>
      </c>
      <c r="E180" s="319">
        <v>64300</v>
      </c>
      <c r="F180" s="319">
        <v>64300</v>
      </c>
      <c r="G180" s="319">
        <v>64300</v>
      </c>
      <c r="H180" s="319">
        <v>64300</v>
      </c>
      <c r="I180" s="319">
        <v>64300</v>
      </c>
      <c r="J180" s="319">
        <v>64300</v>
      </c>
      <c r="K180" s="319">
        <v>64300</v>
      </c>
      <c r="L180" s="319">
        <v>64300</v>
      </c>
      <c r="M180" s="319">
        <v>64300</v>
      </c>
      <c r="N180" s="319">
        <v>37251</v>
      </c>
      <c r="O180" s="655">
        <f t="shared" si="108"/>
        <v>0.57933125972006216</v>
      </c>
      <c r="P180" s="27"/>
    </row>
    <row r="181" spans="1:27" ht="15.75" thickBot="1" x14ac:dyDescent="0.3">
      <c r="A181" s="320">
        <v>453</v>
      </c>
      <c r="B181" s="321" t="s">
        <v>317</v>
      </c>
      <c r="C181" s="322">
        <v>6000</v>
      </c>
      <c r="D181" s="322">
        <v>6000</v>
      </c>
      <c r="E181" s="322">
        <v>6000</v>
      </c>
      <c r="F181" s="322">
        <v>6000</v>
      </c>
      <c r="G181" s="322">
        <v>6000</v>
      </c>
      <c r="H181" s="322">
        <v>6000</v>
      </c>
      <c r="I181" s="322">
        <v>6000</v>
      </c>
      <c r="J181" s="322">
        <v>6000</v>
      </c>
      <c r="K181" s="322">
        <v>6000</v>
      </c>
      <c r="L181" s="322">
        <v>6000</v>
      </c>
      <c r="M181" s="322">
        <v>6000</v>
      </c>
      <c r="N181" s="322">
        <v>6000</v>
      </c>
      <c r="O181" s="655">
        <f t="shared" si="108"/>
        <v>1</v>
      </c>
      <c r="P181" s="27">
        <f>SUM(C177:C181)</f>
        <v>93800</v>
      </c>
      <c r="R181" s="27"/>
      <c r="Z181" s="464"/>
      <c r="AA181" s="464"/>
    </row>
    <row r="182" spans="1:27" x14ac:dyDescent="0.25">
      <c r="A182" s="402">
        <v>454</v>
      </c>
      <c r="B182" s="401" t="s">
        <v>200</v>
      </c>
      <c r="C182" s="403">
        <v>492980</v>
      </c>
      <c r="D182" s="403">
        <v>492980</v>
      </c>
      <c r="E182" s="403">
        <v>492980</v>
      </c>
      <c r="F182" s="403">
        <v>492980</v>
      </c>
      <c r="G182" s="403">
        <v>492980</v>
      </c>
      <c r="H182" s="403">
        <v>492980</v>
      </c>
      <c r="I182" s="403">
        <v>492980</v>
      </c>
      <c r="J182" s="403">
        <v>492980</v>
      </c>
      <c r="K182" s="403">
        <v>492980</v>
      </c>
      <c r="L182" s="403">
        <v>492980</v>
      </c>
      <c r="M182" s="403">
        <v>492980</v>
      </c>
      <c r="N182" s="403">
        <v>58317</v>
      </c>
      <c r="O182" s="655">
        <f t="shared" si="108"/>
        <v>0.11829485983204187</v>
      </c>
      <c r="P182" s="1"/>
    </row>
    <row r="183" spans="1:27" x14ac:dyDescent="0.25">
      <c r="A183" s="435">
        <v>456</v>
      </c>
      <c r="B183" s="436" t="s">
        <v>201</v>
      </c>
      <c r="C183" s="64">
        <v>100</v>
      </c>
      <c r="D183" s="64">
        <v>100</v>
      </c>
      <c r="E183" s="64">
        <v>100</v>
      </c>
      <c r="F183" s="64">
        <v>100</v>
      </c>
      <c r="G183" s="64">
        <v>100</v>
      </c>
      <c r="H183" s="64">
        <v>100</v>
      </c>
      <c r="I183" s="64">
        <v>100</v>
      </c>
      <c r="J183" s="64">
        <v>100</v>
      </c>
      <c r="K183" s="64">
        <v>100</v>
      </c>
      <c r="L183" s="64">
        <v>100</v>
      </c>
      <c r="M183" s="64">
        <v>100</v>
      </c>
      <c r="N183" s="64">
        <v>14</v>
      </c>
      <c r="O183" s="655">
        <f t="shared" si="108"/>
        <v>0.14000000000000001</v>
      </c>
      <c r="P183" s="27"/>
      <c r="Q183" s="464"/>
      <c r="R183" s="464"/>
      <c r="S183" s="464"/>
    </row>
    <row r="184" spans="1:27" ht="15.75" thickBot="1" x14ac:dyDescent="0.3">
      <c r="A184" s="402">
        <v>456</v>
      </c>
      <c r="B184" s="401" t="s">
        <v>380</v>
      </c>
      <c r="C184" s="322">
        <v>0</v>
      </c>
      <c r="D184" s="322">
        <v>0</v>
      </c>
      <c r="E184" s="322">
        <v>0</v>
      </c>
      <c r="F184" s="322">
        <v>0</v>
      </c>
      <c r="G184" s="624">
        <v>20</v>
      </c>
      <c r="H184" s="322">
        <v>20</v>
      </c>
      <c r="I184" s="322">
        <v>20</v>
      </c>
      <c r="J184" s="322">
        <v>20</v>
      </c>
      <c r="K184" s="322">
        <v>20</v>
      </c>
      <c r="L184" s="322">
        <v>20</v>
      </c>
      <c r="M184" s="322">
        <v>20</v>
      </c>
      <c r="N184" s="322">
        <v>0</v>
      </c>
      <c r="O184" s="655">
        <f t="shared" si="108"/>
        <v>0</v>
      </c>
      <c r="P184" s="27"/>
      <c r="Q184" s="27"/>
      <c r="R184" s="27"/>
    </row>
    <row r="185" spans="1:27" ht="15.75" thickBot="1" x14ac:dyDescent="0.3">
      <c r="A185" s="404">
        <v>513</v>
      </c>
      <c r="B185" s="405" t="s">
        <v>202</v>
      </c>
      <c r="C185" s="618">
        <v>0</v>
      </c>
      <c r="D185" s="618">
        <v>0</v>
      </c>
      <c r="E185" s="618">
        <v>0</v>
      </c>
      <c r="F185" s="618">
        <v>0</v>
      </c>
      <c r="G185" s="618">
        <v>0</v>
      </c>
      <c r="H185" s="618">
        <v>0</v>
      </c>
      <c r="I185" s="618">
        <v>0</v>
      </c>
      <c r="J185" s="618">
        <v>0</v>
      </c>
      <c r="K185" s="618">
        <v>0</v>
      </c>
      <c r="L185" s="618">
        <v>0</v>
      </c>
      <c r="M185" s="618">
        <v>0</v>
      </c>
      <c r="N185" s="618">
        <v>0</v>
      </c>
      <c r="O185" s="655">
        <v>0</v>
      </c>
      <c r="P185" s="27"/>
    </row>
    <row r="186" spans="1:27" ht="16.5" thickBot="1" x14ac:dyDescent="0.3">
      <c r="A186" s="447" t="s">
        <v>203</v>
      </c>
      <c r="B186" s="448"/>
      <c r="C186" s="449">
        <f t="shared" ref="C186:N186" si="146">SUM(C187:C189)</f>
        <v>1070</v>
      </c>
      <c r="D186" s="449">
        <f t="shared" si="146"/>
        <v>1070</v>
      </c>
      <c r="E186" s="449">
        <f t="shared" si="146"/>
        <v>1070</v>
      </c>
      <c r="F186" s="449">
        <f t="shared" si="146"/>
        <v>1070</v>
      </c>
      <c r="G186" s="449">
        <f t="shared" si="146"/>
        <v>1090</v>
      </c>
      <c r="H186" s="449">
        <f t="shared" si="146"/>
        <v>1090</v>
      </c>
      <c r="I186" s="449">
        <f t="shared" si="146"/>
        <v>1090</v>
      </c>
      <c r="J186" s="449">
        <f t="shared" si="146"/>
        <v>1090</v>
      </c>
      <c r="K186" s="449">
        <f t="shared" si="146"/>
        <v>1090</v>
      </c>
      <c r="L186" s="449">
        <f t="shared" ref="L186:M186" si="147">SUM(L187:L189)</f>
        <v>1090</v>
      </c>
      <c r="M186" s="449">
        <f t="shared" si="147"/>
        <v>1090</v>
      </c>
      <c r="N186" s="449">
        <f t="shared" si="146"/>
        <v>498</v>
      </c>
      <c r="O186" s="655">
        <f t="shared" si="108"/>
        <v>0.45688073394495415</v>
      </c>
      <c r="P186" s="464">
        <f t="shared" ref="P186:W186" si="148">D186-C186</f>
        <v>0</v>
      </c>
      <c r="Q186" s="464">
        <f t="shared" si="148"/>
        <v>0</v>
      </c>
      <c r="R186" s="464">
        <f t="shared" si="148"/>
        <v>0</v>
      </c>
      <c r="S186" s="464">
        <f t="shared" si="148"/>
        <v>20</v>
      </c>
      <c r="T186" s="464">
        <f t="shared" si="148"/>
        <v>0</v>
      </c>
      <c r="U186" s="464">
        <f t="shared" si="148"/>
        <v>0</v>
      </c>
      <c r="V186" s="464">
        <f t="shared" si="148"/>
        <v>0</v>
      </c>
      <c r="W186" s="464">
        <f t="shared" si="148"/>
        <v>0</v>
      </c>
      <c r="X186" s="464">
        <f t="shared" ref="X186" si="149">L186-K186</f>
        <v>0</v>
      </c>
      <c r="Y186" s="464">
        <f t="shared" ref="Y186" si="150">M186-L186</f>
        <v>0</v>
      </c>
    </row>
    <row r="187" spans="1:27" ht="15" customHeight="1" x14ac:dyDescent="0.25">
      <c r="A187" s="323">
        <v>819</v>
      </c>
      <c r="B187" s="324" t="s">
        <v>204</v>
      </c>
      <c r="C187" s="205">
        <v>100</v>
      </c>
      <c r="D187" s="205">
        <v>100</v>
      </c>
      <c r="E187" s="205">
        <v>100</v>
      </c>
      <c r="F187" s="205">
        <v>100</v>
      </c>
      <c r="G187" s="205">
        <v>100</v>
      </c>
      <c r="H187" s="205">
        <v>100</v>
      </c>
      <c r="I187" s="205">
        <v>100</v>
      </c>
      <c r="J187" s="205">
        <v>100</v>
      </c>
      <c r="K187" s="205">
        <v>100</v>
      </c>
      <c r="L187" s="205">
        <v>100</v>
      </c>
      <c r="M187" s="205">
        <v>100</v>
      </c>
      <c r="N187" s="205">
        <v>14</v>
      </c>
      <c r="O187" s="655">
        <f t="shared" si="108"/>
        <v>0.14000000000000001</v>
      </c>
      <c r="P187" s="1"/>
    </row>
    <row r="188" spans="1:27" x14ac:dyDescent="0.25">
      <c r="A188" s="325">
        <v>819</v>
      </c>
      <c r="B188" s="326" t="s">
        <v>379</v>
      </c>
      <c r="C188" s="56">
        <v>0</v>
      </c>
      <c r="D188" s="56">
        <v>0</v>
      </c>
      <c r="E188" s="56">
        <v>0</v>
      </c>
      <c r="F188" s="56">
        <v>0</v>
      </c>
      <c r="G188" s="623">
        <v>20</v>
      </c>
      <c r="H188" s="56">
        <v>20</v>
      </c>
      <c r="I188" s="56">
        <v>20</v>
      </c>
      <c r="J188" s="56">
        <v>20</v>
      </c>
      <c r="K188" s="56">
        <v>20</v>
      </c>
      <c r="L188" s="56">
        <v>20</v>
      </c>
      <c r="M188" s="56">
        <v>20</v>
      </c>
      <c r="N188" s="56">
        <v>8</v>
      </c>
      <c r="O188" s="655">
        <f t="shared" si="108"/>
        <v>0.4</v>
      </c>
      <c r="P188" s="1"/>
    </row>
    <row r="189" spans="1:27" ht="15.75" thickBot="1" x14ac:dyDescent="0.3">
      <c r="A189" s="327">
        <v>821</v>
      </c>
      <c r="B189" s="328" t="s">
        <v>205</v>
      </c>
      <c r="C189" s="128">
        <v>970</v>
      </c>
      <c r="D189" s="128">
        <v>970</v>
      </c>
      <c r="E189" s="128">
        <v>970</v>
      </c>
      <c r="F189" s="128">
        <v>970</v>
      </c>
      <c r="G189" s="128">
        <v>970</v>
      </c>
      <c r="H189" s="128">
        <v>970</v>
      </c>
      <c r="I189" s="128">
        <v>970</v>
      </c>
      <c r="J189" s="128">
        <v>970</v>
      </c>
      <c r="K189" s="128">
        <v>970</v>
      </c>
      <c r="L189" s="128">
        <v>970</v>
      </c>
      <c r="M189" s="128">
        <v>970</v>
      </c>
      <c r="N189" s="128">
        <v>476</v>
      </c>
      <c r="O189" s="655">
        <f t="shared" si="108"/>
        <v>0.49072164948453606</v>
      </c>
      <c r="P189" s="1"/>
    </row>
    <row r="190" spans="1:27" x14ac:dyDescent="0.25">
      <c r="A190" s="314"/>
      <c r="B190" s="329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407"/>
      <c r="P190" s="161"/>
    </row>
    <row r="191" spans="1:27" ht="15.75" x14ac:dyDescent="0.25">
      <c r="A191" s="105"/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312"/>
      <c r="P191" s="312"/>
    </row>
    <row r="192" spans="1:27" ht="18.75" thickBot="1" x14ac:dyDescent="0.3">
      <c r="A192" s="836" t="s">
        <v>206</v>
      </c>
      <c r="B192" s="837"/>
      <c r="C192" s="837"/>
      <c r="D192" s="837"/>
      <c r="E192" s="837"/>
      <c r="F192" s="837"/>
      <c r="G192" s="837"/>
      <c r="H192" s="837"/>
      <c r="I192" s="837"/>
      <c r="J192" s="837"/>
      <c r="K192" s="837"/>
      <c r="L192" s="837"/>
      <c r="M192" s="837"/>
      <c r="N192" s="837"/>
      <c r="O192" s="104"/>
    </row>
    <row r="193" spans="1:25" ht="40.5" customHeight="1" thickBot="1" x14ac:dyDescent="0.3">
      <c r="A193" s="838" t="s">
        <v>1</v>
      </c>
      <c r="B193" s="839"/>
      <c r="C193" s="416" t="s">
        <v>376</v>
      </c>
      <c r="D193" s="416" t="s">
        <v>509</v>
      </c>
      <c r="E193" s="416" t="s">
        <v>511</v>
      </c>
      <c r="F193" s="416" t="s">
        <v>512</v>
      </c>
      <c r="G193" s="416" t="s">
        <v>377</v>
      </c>
      <c r="H193" s="416" t="s">
        <v>541</v>
      </c>
      <c r="I193" s="416" t="s">
        <v>497</v>
      </c>
      <c r="J193" s="416" t="s">
        <v>556</v>
      </c>
      <c r="K193" s="416" t="s">
        <v>561</v>
      </c>
      <c r="L193" s="416" t="s">
        <v>605</v>
      </c>
      <c r="M193" s="416" t="s">
        <v>606</v>
      </c>
      <c r="N193" s="416" t="s">
        <v>646</v>
      </c>
      <c r="O193" s="104"/>
    </row>
    <row r="194" spans="1:25" ht="15.75" x14ac:dyDescent="0.25">
      <c r="A194" s="330" t="s">
        <v>207</v>
      </c>
      <c r="B194" s="29"/>
      <c r="C194" s="331">
        <f t="shared" ref="C194:N194" si="151">C74</f>
        <v>2247848</v>
      </c>
      <c r="D194" s="331">
        <f t="shared" si="151"/>
        <v>2247848</v>
      </c>
      <c r="E194" s="331">
        <f t="shared" si="151"/>
        <v>2274078</v>
      </c>
      <c r="F194" s="331">
        <f t="shared" si="151"/>
        <v>2280478</v>
      </c>
      <c r="G194" s="331">
        <f t="shared" si="151"/>
        <v>2286478</v>
      </c>
      <c r="H194" s="331">
        <f t="shared" si="151"/>
        <v>2290416</v>
      </c>
      <c r="I194" s="331">
        <f t="shared" si="151"/>
        <v>2301316</v>
      </c>
      <c r="J194" s="331">
        <f t="shared" si="151"/>
        <v>2307537</v>
      </c>
      <c r="K194" s="331">
        <f t="shared" si="151"/>
        <v>2307880</v>
      </c>
      <c r="L194" s="331">
        <f t="shared" ref="L194:M194" si="152">L74</f>
        <v>2309330</v>
      </c>
      <c r="M194" s="331">
        <f t="shared" si="152"/>
        <v>2315530</v>
      </c>
      <c r="N194" s="331">
        <f t="shared" si="151"/>
        <v>1115149</v>
      </c>
      <c r="O194" s="104"/>
    </row>
    <row r="195" spans="1:25" ht="15.75" x14ac:dyDescent="0.25">
      <c r="A195" s="332" t="s">
        <v>208</v>
      </c>
      <c r="B195" s="333"/>
      <c r="C195" s="334">
        <f t="shared" ref="C195:N195" si="153">C139</f>
        <v>2340678</v>
      </c>
      <c r="D195" s="334">
        <f t="shared" si="153"/>
        <v>2340678</v>
      </c>
      <c r="E195" s="334">
        <f t="shared" si="153"/>
        <v>2366908</v>
      </c>
      <c r="F195" s="334">
        <f t="shared" si="153"/>
        <v>2376043</v>
      </c>
      <c r="G195" s="334">
        <f t="shared" si="153"/>
        <v>2382043</v>
      </c>
      <c r="H195" s="334">
        <f t="shared" si="153"/>
        <v>2385981</v>
      </c>
      <c r="I195" s="334">
        <f t="shared" si="153"/>
        <v>2396881</v>
      </c>
      <c r="J195" s="334">
        <f t="shared" si="153"/>
        <v>2403102</v>
      </c>
      <c r="K195" s="334">
        <f t="shared" si="153"/>
        <v>2403445</v>
      </c>
      <c r="L195" s="334">
        <f t="shared" ref="L195:M195" si="154">L139</f>
        <v>2404895</v>
      </c>
      <c r="M195" s="334">
        <f t="shared" si="154"/>
        <v>2411095</v>
      </c>
      <c r="N195" s="334">
        <f t="shared" si="153"/>
        <v>1048275</v>
      </c>
      <c r="O195" s="104"/>
    </row>
    <row r="196" spans="1:25" ht="15.75" x14ac:dyDescent="0.25">
      <c r="A196" s="840" t="s">
        <v>209</v>
      </c>
      <c r="B196" s="841"/>
      <c r="C196" s="335">
        <f t="shared" ref="C196:N196" si="155">C194-C195</f>
        <v>-92830</v>
      </c>
      <c r="D196" s="335">
        <f t="shared" si="155"/>
        <v>-92830</v>
      </c>
      <c r="E196" s="335">
        <f t="shared" si="155"/>
        <v>-92830</v>
      </c>
      <c r="F196" s="335">
        <f t="shared" si="155"/>
        <v>-95565</v>
      </c>
      <c r="G196" s="335">
        <f t="shared" si="155"/>
        <v>-95565</v>
      </c>
      <c r="H196" s="335">
        <f t="shared" si="155"/>
        <v>-95565</v>
      </c>
      <c r="I196" s="335">
        <f t="shared" si="155"/>
        <v>-95565</v>
      </c>
      <c r="J196" s="335">
        <f t="shared" si="155"/>
        <v>-95565</v>
      </c>
      <c r="K196" s="335">
        <f t="shared" si="155"/>
        <v>-95565</v>
      </c>
      <c r="L196" s="335">
        <f t="shared" ref="L196:M196" si="156">L194-L195</f>
        <v>-95565</v>
      </c>
      <c r="M196" s="335">
        <f t="shared" si="156"/>
        <v>-95565</v>
      </c>
      <c r="N196" s="335">
        <f t="shared" si="155"/>
        <v>66874</v>
      </c>
      <c r="O196" s="104"/>
    </row>
    <row r="197" spans="1:25" ht="15.75" x14ac:dyDescent="0.25">
      <c r="A197" s="332" t="s">
        <v>210</v>
      </c>
      <c r="B197" s="18"/>
      <c r="C197" s="334">
        <f t="shared" ref="C197:N197" si="157">C144</f>
        <v>774720</v>
      </c>
      <c r="D197" s="334">
        <f t="shared" si="157"/>
        <v>774720</v>
      </c>
      <c r="E197" s="334">
        <f t="shared" si="157"/>
        <v>774720</v>
      </c>
      <c r="F197" s="334">
        <f t="shared" si="157"/>
        <v>774720</v>
      </c>
      <c r="G197" s="334">
        <f t="shared" si="157"/>
        <v>778710</v>
      </c>
      <c r="H197" s="334">
        <f t="shared" si="157"/>
        <v>778710</v>
      </c>
      <c r="I197" s="334">
        <f t="shared" si="157"/>
        <v>781210</v>
      </c>
      <c r="J197" s="334">
        <f t="shared" si="157"/>
        <v>781210</v>
      </c>
      <c r="K197" s="334">
        <f t="shared" si="157"/>
        <v>781210</v>
      </c>
      <c r="L197" s="334">
        <f t="shared" ref="L197:M197" si="158">L144</f>
        <v>781210</v>
      </c>
      <c r="M197" s="334">
        <f t="shared" si="158"/>
        <v>781210</v>
      </c>
      <c r="N197" s="334">
        <f t="shared" si="157"/>
        <v>49456</v>
      </c>
      <c r="O197" s="104"/>
    </row>
    <row r="198" spans="1:25" ht="15.75" x14ac:dyDescent="0.25">
      <c r="A198" s="332" t="s">
        <v>211</v>
      </c>
      <c r="B198" s="18"/>
      <c r="C198" s="20">
        <f t="shared" ref="C198:N198" si="159">C154</f>
        <v>1267700</v>
      </c>
      <c r="D198" s="20">
        <f t="shared" si="159"/>
        <v>1267700</v>
      </c>
      <c r="E198" s="20">
        <f t="shared" si="159"/>
        <v>1267700</v>
      </c>
      <c r="F198" s="20">
        <f t="shared" si="159"/>
        <v>1267700</v>
      </c>
      <c r="G198" s="20">
        <f t="shared" si="159"/>
        <v>1267700</v>
      </c>
      <c r="H198" s="20">
        <f t="shared" si="159"/>
        <v>1267700</v>
      </c>
      <c r="I198" s="20">
        <f t="shared" si="159"/>
        <v>1270200</v>
      </c>
      <c r="J198" s="20">
        <f t="shared" si="159"/>
        <v>1270200</v>
      </c>
      <c r="K198" s="20">
        <f t="shared" si="159"/>
        <v>1274190</v>
      </c>
      <c r="L198" s="20">
        <f t="shared" ref="L198:M198" si="160">L154</f>
        <v>1274190</v>
      </c>
      <c r="M198" s="20">
        <f t="shared" si="160"/>
        <v>1275076</v>
      </c>
      <c r="N198" s="20">
        <f t="shared" si="159"/>
        <v>103663</v>
      </c>
      <c r="O198" s="104"/>
    </row>
    <row r="199" spans="1:25" ht="15.75" x14ac:dyDescent="0.25">
      <c r="A199" s="840" t="s">
        <v>212</v>
      </c>
      <c r="B199" s="841"/>
      <c r="C199" s="335">
        <f t="shared" ref="C199:N199" si="161">C197-C198</f>
        <v>-492980</v>
      </c>
      <c r="D199" s="335">
        <f t="shared" si="161"/>
        <v>-492980</v>
      </c>
      <c r="E199" s="335">
        <f t="shared" si="161"/>
        <v>-492980</v>
      </c>
      <c r="F199" s="335">
        <f t="shared" si="161"/>
        <v>-492980</v>
      </c>
      <c r="G199" s="335">
        <f t="shared" si="161"/>
        <v>-488990</v>
      </c>
      <c r="H199" s="335">
        <f t="shared" si="161"/>
        <v>-488990</v>
      </c>
      <c r="I199" s="335">
        <f t="shared" si="161"/>
        <v>-488990</v>
      </c>
      <c r="J199" s="335">
        <f t="shared" si="161"/>
        <v>-488990</v>
      </c>
      <c r="K199" s="335">
        <f t="shared" si="161"/>
        <v>-492980</v>
      </c>
      <c r="L199" s="335">
        <f t="shared" ref="L199:M199" si="162">L197-L198</f>
        <v>-492980</v>
      </c>
      <c r="M199" s="335">
        <f t="shared" si="162"/>
        <v>-493866</v>
      </c>
      <c r="N199" s="335">
        <f t="shared" si="161"/>
        <v>-54207</v>
      </c>
      <c r="O199" s="104"/>
    </row>
    <row r="200" spans="1:25" ht="15.75" x14ac:dyDescent="0.25">
      <c r="A200" s="336" t="s">
        <v>213</v>
      </c>
      <c r="B200" s="337"/>
      <c r="C200" s="338">
        <f t="shared" ref="C200:N200" si="163">C176</f>
        <v>586880</v>
      </c>
      <c r="D200" s="338">
        <f t="shared" si="163"/>
        <v>586880</v>
      </c>
      <c r="E200" s="338">
        <f t="shared" si="163"/>
        <v>586880</v>
      </c>
      <c r="F200" s="338">
        <f t="shared" si="163"/>
        <v>589615</v>
      </c>
      <c r="G200" s="338">
        <f t="shared" si="163"/>
        <v>589635</v>
      </c>
      <c r="H200" s="338">
        <f t="shared" si="163"/>
        <v>589635</v>
      </c>
      <c r="I200" s="338">
        <f t="shared" si="163"/>
        <v>589635</v>
      </c>
      <c r="J200" s="338">
        <f t="shared" si="163"/>
        <v>589635</v>
      </c>
      <c r="K200" s="338">
        <f t="shared" si="163"/>
        <v>589635</v>
      </c>
      <c r="L200" s="338">
        <f t="shared" ref="L200:M200" si="164">L176</f>
        <v>589635</v>
      </c>
      <c r="M200" s="338">
        <f t="shared" si="164"/>
        <v>590521</v>
      </c>
      <c r="N200" s="338">
        <f t="shared" si="163"/>
        <v>124153</v>
      </c>
      <c r="O200" s="104"/>
    </row>
    <row r="201" spans="1:25" ht="15.75" x14ac:dyDescent="0.25">
      <c r="A201" s="336" t="s">
        <v>214</v>
      </c>
      <c r="B201" s="337"/>
      <c r="C201" s="338">
        <f t="shared" ref="C201:N201" si="165">C186</f>
        <v>1070</v>
      </c>
      <c r="D201" s="338">
        <f t="shared" si="165"/>
        <v>1070</v>
      </c>
      <c r="E201" s="338">
        <f t="shared" si="165"/>
        <v>1070</v>
      </c>
      <c r="F201" s="338">
        <f t="shared" si="165"/>
        <v>1070</v>
      </c>
      <c r="G201" s="338">
        <f t="shared" si="165"/>
        <v>1090</v>
      </c>
      <c r="H201" s="338">
        <f t="shared" si="165"/>
        <v>1090</v>
      </c>
      <c r="I201" s="338">
        <f t="shared" si="165"/>
        <v>1090</v>
      </c>
      <c r="J201" s="338">
        <f t="shared" si="165"/>
        <v>1090</v>
      </c>
      <c r="K201" s="338">
        <f t="shared" si="165"/>
        <v>1090</v>
      </c>
      <c r="L201" s="338">
        <f t="shared" ref="L201:M201" si="166">L186</f>
        <v>1090</v>
      </c>
      <c r="M201" s="338">
        <f t="shared" si="166"/>
        <v>1090</v>
      </c>
      <c r="N201" s="338">
        <f t="shared" si="165"/>
        <v>498</v>
      </c>
      <c r="O201" s="104"/>
    </row>
    <row r="202" spans="1:25" ht="16.5" thickBot="1" x14ac:dyDescent="0.3">
      <c r="A202" s="825" t="s">
        <v>215</v>
      </c>
      <c r="B202" s="826"/>
      <c r="C202" s="339">
        <f t="shared" ref="C202:N202" si="167">C200-C201</f>
        <v>585810</v>
      </c>
      <c r="D202" s="339">
        <f t="shared" si="167"/>
        <v>585810</v>
      </c>
      <c r="E202" s="339">
        <f t="shared" si="167"/>
        <v>585810</v>
      </c>
      <c r="F202" s="339">
        <f t="shared" si="167"/>
        <v>588545</v>
      </c>
      <c r="G202" s="339">
        <f t="shared" si="167"/>
        <v>588545</v>
      </c>
      <c r="H202" s="339">
        <f t="shared" si="167"/>
        <v>588545</v>
      </c>
      <c r="I202" s="339">
        <f t="shared" si="167"/>
        <v>588545</v>
      </c>
      <c r="J202" s="339">
        <f t="shared" si="167"/>
        <v>588545</v>
      </c>
      <c r="K202" s="339">
        <f t="shared" si="167"/>
        <v>588545</v>
      </c>
      <c r="L202" s="339">
        <f t="shared" ref="L202:M202" si="168">L200-L201</f>
        <v>588545</v>
      </c>
      <c r="M202" s="339">
        <f t="shared" si="168"/>
        <v>589431</v>
      </c>
      <c r="N202" s="339">
        <f t="shared" si="167"/>
        <v>123655</v>
      </c>
      <c r="O202" s="104"/>
    </row>
    <row r="203" spans="1:25" ht="16.5" thickBot="1" x14ac:dyDescent="0.3">
      <c r="A203" s="340" t="s">
        <v>216</v>
      </c>
      <c r="B203" s="341"/>
      <c r="C203" s="342">
        <f t="shared" ref="C203:N203" si="169">C196+C199+C202</f>
        <v>0</v>
      </c>
      <c r="D203" s="342">
        <f t="shared" si="169"/>
        <v>0</v>
      </c>
      <c r="E203" s="342">
        <f t="shared" si="169"/>
        <v>0</v>
      </c>
      <c r="F203" s="342">
        <f t="shared" si="169"/>
        <v>0</v>
      </c>
      <c r="G203" s="342">
        <f t="shared" si="169"/>
        <v>3990</v>
      </c>
      <c r="H203" s="342">
        <f t="shared" si="169"/>
        <v>3990</v>
      </c>
      <c r="I203" s="342">
        <f t="shared" si="169"/>
        <v>3990</v>
      </c>
      <c r="J203" s="342">
        <f t="shared" si="169"/>
        <v>3990</v>
      </c>
      <c r="K203" s="342">
        <f t="shared" si="169"/>
        <v>0</v>
      </c>
      <c r="L203" s="342">
        <f t="shared" ref="L203:M203" si="170">L196+L199+L202</f>
        <v>0</v>
      </c>
      <c r="M203" s="342">
        <f t="shared" si="170"/>
        <v>0</v>
      </c>
      <c r="N203" s="342">
        <f t="shared" si="169"/>
        <v>136322</v>
      </c>
      <c r="O203" s="104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04"/>
    </row>
    <row r="205" spans="1:25" x14ac:dyDescent="0.25">
      <c r="A205" s="1"/>
      <c r="B205" s="343" t="s">
        <v>332</v>
      </c>
      <c r="C205" s="27">
        <f t="shared" ref="C205:N206" si="171">C194+C197+C200</f>
        <v>3609448</v>
      </c>
      <c r="D205" s="27">
        <f t="shared" si="171"/>
        <v>3609448</v>
      </c>
      <c r="E205" s="27">
        <f t="shared" si="171"/>
        <v>3635678</v>
      </c>
      <c r="F205" s="27">
        <f t="shared" si="171"/>
        <v>3644813</v>
      </c>
      <c r="G205" s="27">
        <f t="shared" si="171"/>
        <v>3654823</v>
      </c>
      <c r="H205" s="27">
        <f t="shared" si="171"/>
        <v>3658761</v>
      </c>
      <c r="I205" s="27">
        <f t="shared" si="171"/>
        <v>3672161</v>
      </c>
      <c r="J205" s="27">
        <f t="shared" si="171"/>
        <v>3678382</v>
      </c>
      <c r="K205" s="27">
        <f t="shared" si="171"/>
        <v>3678725</v>
      </c>
      <c r="L205" s="27">
        <f t="shared" ref="L205:M205" si="172">L194+L197+L200</f>
        <v>3680175</v>
      </c>
      <c r="M205" s="27">
        <f t="shared" si="172"/>
        <v>3687261</v>
      </c>
      <c r="N205" s="27">
        <f t="shared" si="171"/>
        <v>1288758</v>
      </c>
      <c r="O205" s="104"/>
      <c r="P205" s="663">
        <f t="shared" ref="P205:W206" si="173">D205-C205</f>
        <v>0</v>
      </c>
      <c r="Q205" s="663">
        <f t="shared" si="173"/>
        <v>26230</v>
      </c>
      <c r="R205" s="663">
        <f t="shared" si="173"/>
        <v>9135</v>
      </c>
      <c r="S205" s="663">
        <f t="shared" si="173"/>
        <v>10010</v>
      </c>
      <c r="T205" s="663">
        <f t="shared" si="173"/>
        <v>3938</v>
      </c>
      <c r="U205" s="663">
        <f t="shared" si="173"/>
        <v>13400</v>
      </c>
      <c r="V205" s="663">
        <f t="shared" si="173"/>
        <v>6221</v>
      </c>
      <c r="W205" s="663">
        <f t="shared" si="173"/>
        <v>343</v>
      </c>
      <c r="X205" s="663">
        <f t="shared" ref="X205:Y206" si="174">L205-K205</f>
        <v>1450</v>
      </c>
      <c r="Y205" s="663">
        <f t="shared" si="174"/>
        <v>7086</v>
      </c>
    </row>
    <row r="206" spans="1:25" x14ac:dyDescent="0.25">
      <c r="A206" s="1"/>
      <c r="B206" s="343" t="s">
        <v>333</v>
      </c>
      <c r="C206" s="27">
        <f t="shared" si="171"/>
        <v>3609448</v>
      </c>
      <c r="D206" s="27">
        <f t="shared" si="171"/>
        <v>3609448</v>
      </c>
      <c r="E206" s="27">
        <f t="shared" si="171"/>
        <v>3635678</v>
      </c>
      <c r="F206" s="27">
        <f t="shared" si="171"/>
        <v>3644813</v>
      </c>
      <c r="G206" s="27">
        <f t="shared" si="171"/>
        <v>3650833</v>
      </c>
      <c r="H206" s="27">
        <f t="shared" si="171"/>
        <v>3654771</v>
      </c>
      <c r="I206" s="27">
        <f t="shared" si="171"/>
        <v>3668171</v>
      </c>
      <c r="J206" s="27">
        <f t="shared" si="171"/>
        <v>3674392</v>
      </c>
      <c r="K206" s="27">
        <f t="shared" si="171"/>
        <v>3678725</v>
      </c>
      <c r="L206" s="27">
        <f t="shared" ref="L206:M206" si="175">L195+L198+L201</f>
        <v>3680175</v>
      </c>
      <c r="M206" s="27">
        <f t="shared" si="175"/>
        <v>3687261</v>
      </c>
      <c r="N206" s="27">
        <f t="shared" si="171"/>
        <v>1152436</v>
      </c>
      <c r="O206" s="104"/>
      <c r="P206" s="663">
        <f t="shared" si="173"/>
        <v>0</v>
      </c>
      <c r="Q206" s="663">
        <f t="shared" si="173"/>
        <v>26230</v>
      </c>
      <c r="R206" s="663">
        <f t="shared" si="173"/>
        <v>9135</v>
      </c>
      <c r="S206" s="663">
        <f t="shared" si="173"/>
        <v>6020</v>
      </c>
      <c r="T206" s="663">
        <f t="shared" si="173"/>
        <v>3938</v>
      </c>
      <c r="U206" s="663">
        <f t="shared" si="173"/>
        <v>13400</v>
      </c>
      <c r="V206" s="663">
        <f t="shared" si="173"/>
        <v>6221</v>
      </c>
      <c r="W206" s="663">
        <f t="shared" si="173"/>
        <v>4333</v>
      </c>
      <c r="X206" s="663">
        <f t="shared" si="174"/>
        <v>1450</v>
      </c>
      <c r="Y206" s="663">
        <f t="shared" si="174"/>
        <v>7086</v>
      </c>
    </row>
    <row r="207" spans="1:25" x14ac:dyDescent="0.25">
      <c r="A207" s="1"/>
      <c r="B207" s="343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104"/>
      <c r="P207" s="663"/>
      <c r="Q207" s="663"/>
      <c r="R207" s="663"/>
      <c r="S207" s="663"/>
      <c r="T207" s="663"/>
      <c r="U207" s="663"/>
      <c r="V207" s="663"/>
      <c r="W207" s="663"/>
      <c r="X207" s="663"/>
      <c r="Y207" s="663"/>
    </row>
    <row r="208" spans="1:25" x14ac:dyDescent="0.25">
      <c r="A208" s="1"/>
      <c r="B208" s="343" t="s">
        <v>403</v>
      </c>
      <c r="C208" s="27">
        <f t="shared" ref="C208:N208" si="176">C205-C73</f>
        <v>3593528</v>
      </c>
      <c r="D208" s="27">
        <f t="shared" si="176"/>
        <v>3593528</v>
      </c>
      <c r="E208" s="27">
        <f t="shared" si="176"/>
        <v>3619758</v>
      </c>
      <c r="F208" s="27">
        <f t="shared" si="176"/>
        <v>3628893</v>
      </c>
      <c r="G208" s="27">
        <f t="shared" si="176"/>
        <v>3638903</v>
      </c>
      <c r="H208" s="27">
        <f t="shared" si="176"/>
        <v>3642841</v>
      </c>
      <c r="I208" s="27">
        <f t="shared" si="176"/>
        <v>3656241</v>
      </c>
      <c r="J208" s="27">
        <f t="shared" si="176"/>
        <v>3662462</v>
      </c>
      <c r="K208" s="27">
        <f t="shared" si="176"/>
        <v>3662805</v>
      </c>
      <c r="L208" s="27">
        <f t="shared" ref="L208:M208" si="177">L205-L73</f>
        <v>3664255</v>
      </c>
      <c r="M208" s="27">
        <f t="shared" si="177"/>
        <v>3671341</v>
      </c>
      <c r="N208" s="27">
        <f t="shared" si="176"/>
        <v>1282267</v>
      </c>
      <c r="O208" s="104"/>
      <c r="P208" s="663">
        <f t="shared" ref="P208:W209" si="178">D208-C208</f>
        <v>0</v>
      </c>
      <c r="Q208" s="663">
        <f t="shared" si="178"/>
        <v>26230</v>
      </c>
      <c r="R208" s="663">
        <f t="shared" si="178"/>
        <v>9135</v>
      </c>
      <c r="S208" s="663">
        <f t="shared" si="178"/>
        <v>10010</v>
      </c>
      <c r="T208" s="663">
        <f t="shared" si="178"/>
        <v>3938</v>
      </c>
      <c r="U208" s="663">
        <f t="shared" si="178"/>
        <v>13400</v>
      </c>
      <c r="V208" s="663">
        <f t="shared" si="178"/>
        <v>6221</v>
      </c>
      <c r="W208" s="663">
        <f t="shared" si="178"/>
        <v>343</v>
      </c>
      <c r="X208" s="663">
        <f t="shared" ref="X208:Y209" si="179">L208-K208</f>
        <v>1450</v>
      </c>
      <c r="Y208" s="663">
        <f t="shared" si="179"/>
        <v>7086</v>
      </c>
    </row>
    <row r="209" spans="1:25" x14ac:dyDescent="0.25">
      <c r="A209" s="1"/>
      <c r="B209" s="343" t="s">
        <v>404</v>
      </c>
      <c r="C209" s="27">
        <f t="shared" ref="C209:N209" si="180">C206-C138</f>
        <v>2773338</v>
      </c>
      <c r="D209" s="27">
        <f t="shared" si="180"/>
        <v>2773338</v>
      </c>
      <c r="E209" s="27">
        <f t="shared" si="180"/>
        <v>2777749</v>
      </c>
      <c r="F209" s="27">
        <f t="shared" si="180"/>
        <v>2785484</v>
      </c>
      <c r="G209" s="27">
        <f t="shared" si="180"/>
        <v>2791504</v>
      </c>
      <c r="H209" s="27">
        <f t="shared" si="180"/>
        <v>2794704</v>
      </c>
      <c r="I209" s="27">
        <f t="shared" si="180"/>
        <v>2808104</v>
      </c>
      <c r="J209" s="27">
        <f t="shared" si="180"/>
        <v>2811104</v>
      </c>
      <c r="K209" s="27">
        <f t="shared" si="180"/>
        <v>2815437</v>
      </c>
      <c r="L209" s="27">
        <f t="shared" ref="L209:M209" si="181">L206-L138</f>
        <v>2816637</v>
      </c>
      <c r="M209" s="27">
        <f t="shared" si="181"/>
        <v>2823723</v>
      </c>
      <c r="N209" s="27">
        <f t="shared" si="180"/>
        <v>716019</v>
      </c>
      <c r="O209" s="104"/>
      <c r="P209" s="663">
        <f t="shared" si="178"/>
        <v>0</v>
      </c>
      <c r="Q209" s="663">
        <f t="shared" si="178"/>
        <v>4411</v>
      </c>
      <c r="R209" s="663">
        <f t="shared" si="178"/>
        <v>7735</v>
      </c>
      <c r="S209" s="663">
        <f t="shared" si="178"/>
        <v>6020</v>
      </c>
      <c r="T209" s="663">
        <f t="shared" si="178"/>
        <v>3200</v>
      </c>
      <c r="U209" s="663">
        <f t="shared" si="178"/>
        <v>13400</v>
      </c>
      <c r="V209" s="663">
        <f t="shared" si="178"/>
        <v>3000</v>
      </c>
      <c r="W209" s="663">
        <f t="shared" si="178"/>
        <v>4333</v>
      </c>
      <c r="X209" s="663">
        <f t="shared" si="179"/>
        <v>1200</v>
      </c>
      <c r="Y209" s="663">
        <f t="shared" si="179"/>
        <v>7086</v>
      </c>
    </row>
    <row r="210" spans="1:25" x14ac:dyDescent="0.25">
      <c r="A210" s="1"/>
      <c r="B210" s="343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104"/>
      <c r="P210" s="663"/>
      <c r="Q210" s="663"/>
      <c r="R210" s="663"/>
      <c r="S210" s="663"/>
      <c r="T210" s="663"/>
      <c r="U210" s="663"/>
      <c r="V210" s="663"/>
      <c r="W210" s="663"/>
      <c r="X210" s="663"/>
      <c r="Y210" s="663"/>
    </row>
    <row r="211" spans="1:25" x14ac:dyDescent="0.25">
      <c r="A211" s="104"/>
      <c r="B211" s="530" t="s">
        <v>330</v>
      </c>
      <c r="C211" s="532">
        <f t="shared" ref="C211:N212" si="182">C205-C208</f>
        <v>15920</v>
      </c>
      <c r="D211" s="532">
        <f t="shared" si="182"/>
        <v>15920</v>
      </c>
      <c r="E211" s="532">
        <f t="shared" si="182"/>
        <v>15920</v>
      </c>
      <c r="F211" s="532">
        <f t="shared" si="182"/>
        <v>15920</v>
      </c>
      <c r="G211" s="532">
        <f t="shared" si="182"/>
        <v>15920</v>
      </c>
      <c r="H211" s="532">
        <f t="shared" si="182"/>
        <v>15920</v>
      </c>
      <c r="I211" s="532">
        <f t="shared" si="182"/>
        <v>15920</v>
      </c>
      <c r="J211" s="532">
        <f t="shared" si="182"/>
        <v>15920</v>
      </c>
      <c r="K211" s="532">
        <f t="shared" si="182"/>
        <v>15920</v>
      </c>
      <c r="L211" s="532">
        <f t="shared" ref="L211:M211" si="183">L205-L208</f>
        <v>15920</v>
      </c>
      <c r="M211" s="532">
        <f t="shared" si="183"/>
        <v>15920</v>
      </c>
      <c r="N211" s="532">
        <f t="shared" si="182"/>
        <v>6491</v>
      </c>
      <c r="O211" s="104"/>
      <c r="P211" s="663">
        <f t="shared" ref="P211:W212" si="184">D211-C211</f>
        <v>0</v>
      </c>
      <c r="Q211" s="663">
        <f t="shared" si="184"/>
        <v>0</v>
      </c>
      <c r="R211" s="663">
        <f t="shared" si="184"/>
        <v>0</v>
      </c>
      <c r="S211" s="663">
        <f t="shared" si="184"/>
        <v>0</v>
      </c>
      <c r="T211" s="663">
        <f t="shared" si="184"/>
        <v>0</v>
      </c>
      <c r="U211" s="663">
        <f t="shared" si="184"/>
        <v>0</v>
      </c>
      <c r="V211" s="663">
        <f t="shared" si="184"/>
        <v>0</v>
      </c>
      <c r="W211" s="663">
        <f t="shared" si="184"/>
        <v>0</v>
      </c>
      <c r="X211" s="663">
        <f t="shared" ref="X211:Y212" si="185">L211-K211</f>
        <v>0</v>
      </c>
      <c r="Y211" s="663">
        <f t="shared" si="185"/>
        <v>0</v>
      </c>
    </row>
    <row r="212" spans="1:25" x14ac:dyDescent="0.25">
      <c r="A212" s="1"/>
      <c r="B212" s="531" t="s">
        <v>331</v>
      </c>
      <c r="C212" s="617">
        <f t="shared" si="182"/>
        <v>836110</v>
      </c>
      <c r="D212" s="617">
        <f t="shared" si="182"/>
        <v>836110</v>
      </c>
      <c r="E212" s="617">
        <f t="shared" si="182"/>
        <v>857929</v>
      </c>
      <c r="F212" s="617">
        <f t="shared" si="182"/>
        <v>859329</v>
      </c>
      <c r="G212" s="617">
        <f t="shared" si="182"/>
        <v>859329</v>
      </c>
      <c r="H212" s="617">
        <f t="shared" si="182"/>
        <v>860067</v>
      </c>
      <c r="I212" s="617">
        <f t="shared" si="182"/>
        <v>860067</v>
      </c>
      <c r="J212" s="617">
        <f t="shared" si="182"/>
        <v>863288</v>
      </c>
      <c r="K212" s="617">
        <f t="shared" si="182"/>
        <v>863288</v>
      </c>
      <c r="L212" s="617">
        <f t="shared" ref="L212:M212" si="186">L206-L209</f>
        <v>863538</v>
      </c>
      <c r="M212" s="617">
        <f t="shared" si="186"/>
        <v>863538</v>
      </c>
      <c r="N212" s="617">
        <f t="shared" si="182"/>
        <v>436417</v>
      </c>
      <c r="O212" s="104"/>
      <c r="P212" s="663">
        <f t="shared" si="184"/>
        <v>0</v>
      </c>
      <c r="Q212" s="663">
        <f t="shared" si="184"/>
        <v>21819</v>
      </c>
      <c r="R212" s="663">
        <f t="shared" si="184"/>
        <v>1400</v>
      </c>
      <c r="S212" s="663">
        <f t="shared" si="184"/>
        <v>0</v>
      </c>
      <c r="T212" s="663">
        <f t="shared" si="184"/>
        <v>738</v>
      </c>
      <c r="U212" s="663">
        <f t="shared" si="184"/>
        <v>0</v>
      </c>
      <c r="V212" s="663">
        <f t="shared" si="184"/>
        <v>3221</v>
      </c>
      <c r="W212" s="663">
        <f t="shared" si="184"/>
        <v>0</v>
      </c>
      <c r="X212" s="663">
        <f t="shared" si="185"/>
        <v>250</v>
      </c>
      <c r="Y212" s="663">
        <f t="shared" si="185"/>
        <v>0</v>
      </c>
    </row>
    <row r="213" spans="1:25" x14ac:dyDescent="0.25">
      <c r="A213" s="1"/>
      <c r="B213" s="1"/>
      <c r="C213" s="617">
        <f>C212-C211+C203</f>
        <v>820190</v>
      </c>
      <c r="D213" s="617">
        <f t="shared" ref="D213:N213" si="187">D212-D211+D203</f>
        <v>820190</v>
      </c>
      <c r="E213" s="617">
        <f t="shared" si="187"/>
        <v>842009</v>
      </c>
      <c r="F213" s="617">
        <f t="shared" si="187"/>
        <v>843409</v>
      </c>
      <c r="G213" s="617">
        <f t="shared" si="187"/>
        <v>847399</v>
      </c>
      <c r="H213" s="617">
        <f t="shared" si="187"/>
        <v>848137</v>
      </c>
      <c r="I213" s="617">
        <f t="shared" si="187"/>
        <v>848137</v>
      </c>
      <c r="J213" s="617">
        <f t="shared" si="187"/>
        <v>851358</v>
      </c>
      <c r="K213" s="617">
        <f t="shared" si="187"/>
        <v>847368</v>
      </c>
      <c r="L213" s="617">
        <f t="shared" ref="L213:M213" si="188">L212-L211+L203</f>
        <v>847618</v>
      </c>
      <c r="M213" s="617">
        <f t="shared" si="188"/>
        <v>847618</v>
      </c>
      <c r="N213" s="617">
        <f t="shared" si="187"/>
        <v>566248</v>
      </c>
      <c r="O213" s="104"/>
      <c r="P213" s="104"/>
      <c r="Q213" s="104"/>
      <c r="R213" s="104"/>
    </row>
    <row r="214" spans="1:25" x14ac:dyDescent="0.25">
      <c r="A214" s="1"/>
      <c r="B214" s="346" t="s">
        <v>217</v>
      </c>
      <c r="C214" s="346"/>
      <c r="D214" s="346"/>
      <c r="E214" s="346"/>
      <c r="F214" s="346"/>
      <c r="G214" s="346"/>
      <c r="H214" s="346"/>
      <c r="I214" s="346"/>
      <c r="J214" s="346"/>
      <c r="K214" s="346"/>
      <c r="L214" s="346"/>
      <c r="M214" s="346"/>
      <c r="N214" s="346"/>
      <c r="O214" s="104"/>
    </row>
    <row r="215" spans="1:25" x14ac:dyDescent="0.25">
      <c r="A215" s="1"/>
      <c r="B215" s="346" t="s">
        <v>218</v>
      </c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6"/>
      <c r="O215" s="104"/>
    </row>
    <row r="216" spans="1:25" x14ac:dyDescent="0.25">
      <c r="A216" s="1"/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104"/>
    </row>
    <row r="217" spans="1:25" x14ac:dyDescent="0.25">
      <c r="A217" s="1"/>
      <c r="B217" s="346"/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104"/>
    </row>
    <row r="218" spans="1:25" x14ac:dyDescent="0.25">
      <c r="A218" s="1"/>
      <c r="B218" s="348" t="s">
        <v>327</v>
      </c>
      <c r="C218" s="346"/>
      <c r="D218" s="346"/>
      <c r="E218" s="346"/>
      <c r="F218" s="346"/>
      <c r="G218" s="346"/>
      <c r="H218" s="346"/>
      <c r="I218" s="346"/>
      <c r="J218" s="346"/>
      <c r="K218" s="346"/>
      <c r="L218" s="346"/>
      <c r="M218" s="346"/>
      <c r="N218" s="346"/>
      <c r="O218" s="104"/>
    </row>
    <row r="219" spans="1:25" x14ac:dyDescent="0.25">
      <c r="A219" s="1"/>
      <c r="B219" s="348"/>
      <c r="C219" s="346"/>
      <c r="D219" s="346"/>
      <c r="E219" s="346"/>
      <c r="F219" s="346"/>
      <c r="G219" s="346"/>
      <c r="H219" s="346"/>
      <c r="I219" s="346"/>
      <c r="J219" s="346"/>
      <c r="K219" s="346"/>
      <c r="L219" s="346"/>
      <c r="M219" s="346"/>
      <c r="N219" s="346"/>
      <c r="O219" s="104"/>
    </row>
    <row r="220" spans="1:25" x14ac:dyDescent="0.25">
      <c r="A220" s="1"/>
      <c r="B220" s="347" t="s">
        <v>604</v>
      </c>
      <c r="C220" s="346"/>
      <c r="D220" s="346"/>
      <c r="E220" s="346"/>
      <c r="F220" s="346"/>
      <c r="G220" s="346"/>
      <c r="H220" s="346"/>
      <c r="I220" s="346"/>
      <c r="J220" s="346"/>
      <c r="K220" s="346"/>
      <c r="L220" s="346"/>
      <c r="M220" s="346"/>
      <c r="N220" s="346"/>
      <c r="O220" s="1"/>
    </row>
    <row r="221" spans="1:25" x14ac:dyDescent="0.25">
      <c r="A221" s="1"/>
      <c r="B221" s="346" t="s">
        <v>638</v>
      </c>
      <c r="C221" s="346"/>
      <c r="D221" s="346"/>
      <c r="E221" s="346"/>
      <c r="F221" s="346"/>
      <c r="G221" s="346"/>
      <c r="H221" s="346"/>
      <c r="I221" s="346"/>
      <c r="J221" s="346"/>
      <c r="K221" s="346"/>
      <c r="L221" s="346"/>
      <c r="M221" s="346"/>
      <c r="N221" s="346"/>
      <c r="O221" s="1"/>
    </row>
    <row r="222" spans="1:25" x14ac:dyDescent="0.25">
      <c r="A222" s="1"/>
      <c r="B222" s="346" t="s">
        <v>639</v>
      </c>
      <c r="C222" s="346"/>
      <c r="D222" s="346"/>
      <c r="E222" s="346"/>
      <c r="F222" s="346"/>
      <c r="G222" s="346"/>
      <c r="H222" s="346"/>
      <c r="I222" s="346"/>
      <c r="J222" s="346"/>
      <c r="K222" s="346"/>
      <c r="L222" s="346"/>
      <c r="M222" s="346"/>
      <c r="N222" s="346"/>
      <c r="O222" s="1"/>
    </row>
    <row r="223" spans="1:25" x14ac:dyDescent="0.25">
      <c r="A223" s="1"/>
      <c r="B223" s="346"/>
      <c r="C223" s="346"/>
      <c r="D223" s="346"/>
      <c r="E223" s="346"/>
      <c r="F223" s="346"/>
      <c r="G223" s="346"/>
      <c r="H223" s="346"/>
      <c r="I223" s="346"/>
      <c r="J223" s="346"/>
      <c r="K223" s="346"/>
      <c r="L223" s="346"/>
      <c r="M223" s="346"/>
      <c r="N223" s="346"/>
      <c r="O223" s="1"/>
    </row>
    <row r="224" spans="1:25" x14ac:dyDescent="0.25">
      <c r="A224" s="1"/>
      <c r="B224" s="348" t="s">
        <v>485</v>
      </c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1"/>
    </row>
    <row r="225" spans="1:15" x14ac:dyDescent="0.25">
      <c r="A225" s="1"/>
      <c r="B225" s="348" t="s">
        <v>550</v>
      </c>
      <c r="C225" s="346"/>
      <c r="D225" s="346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1"/>
    </row>
    <row r="226" spans="1:15" x14ac:dyDescent="0.25">
      <c r="A226" s="1"/>
      <c r="B226" s="348" t="s">
        <v>630</v>
      </c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1"/>
    </row>
    <row r="227" spans="1:15" x14ac:dyDescent="0.25">
      <c r="A227" s="1"/>
      <c r="B227" s="348" t="s">
        <v>640</v>
      </c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346"/>
      <c r="N227" s="346"/>
      <c r="O227" s="1"/>
    </row>
    <row r="228" spans="1:15" x14ac:dyDescent="0.25">
      <c r="A228" s="1"/>
      <c r="B228" s="346" t="s">
        <v>641</v>
      </c>
      <c r="C228" s="346"/>
      <c r="D228" s="346"/>
      <c r="E228" s="346"/>
      <c r="F228" s="346"/>
      <c r="G228" s="346"/>
      <c r="H228" s="346"/>
      <c r="I228" s="346"/>
      <c r="J228" s="346"/>
      <c r="K228" s="346"/>
      <c r="L228" s="346"/>
      <c r="M228" s="346"/>
      <c r="N228" s="346"/>
    </row>
    <row r="229" spans="1:15" x14ac:dyDescent="0.25">
      <c r="A229" s="1"/>
      <c r="B229" s="34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B230" s="34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B231" s="34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34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</sheetData>
  <mergeCells count="24">
    <mergeCell ref="A137:B137"/>
    <mergeCell ref="A1:N1"/>
    <mergeCell ref="A2:B2"/>
    <mergeCell ref="A3:B3"/>
    <mergeCell ref="A11:B11"/>
    <mergeCell ref="A70:B70"/>
    <mergeCell ref="A72:B72"/>
    <mergeCell ref="A73:B73"/>
    <mergeCell ref="A77:N77"/>
    <mergeCell ref="A78:B78"/>
    <mergeCell ref="A94:B94"/>
    <mergeCell ref="A134:B134"/>
    <mergeCell ref="A202:B202"/>
    <mergeCell ref="A138:B138"/>
    <mergeCell ref="A142:N142"/>
    <mergeCell ref="A143:B143"/>
    <mergeCell ref="A144:B144"/>
    <mergeCell ref="A154:B154"/>
    <mergeCell ref="A174:N174"/>
    <mergeCell ref="A175:B175"/>
    <mergeCell ref="A192:N192"/>
    <mergeCell ref="A193:B193"/>
    <mergeCell ref="A196:B196"/>
    <mergeCell ref="A199:B199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 xml:space="preserve">&amp;CRozpočet na rok 2022
4.zmena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2"/>
  <sheetViews>
    <sheetView zoomScaleNormal="100" workbookViewId="0">
      <selection sqref="A1:L1"/>
    </sheetView>
  </sheetViews>
  <sheetFormatPr defaultRowHeight="15" x14ac:dyDescent="0.25"/>
  <cols>
    <col min="1" max="1" width="6.42578125" customWidth="1"/>
    <col min="2" max="2" width="64.140625" customWidth="1"/>
    <col min="3" max="11" width="13" customWidth="1"/>
    <col min="12" max="12" width="12.85546875" customWidth="1"/>
    <col min="13" max="13" width="6.5703125" customWidth="1"/>
    <col min="15" max="15" width="8.7109375" customWidth="1"/>
    <col min="16" max="16" width="10.28515625" customWidth="1"/>
    <col min="17" max="17" width="9.85546875" customWidth="1"/>
    <col min="19" max="19" width="9.7109375" customWidth="1"/>
    <col min="22" max="22" width="12.28515625" customWidth="1"/>
  </cols>
  <sheetData>
    <row r="1" spans="1:25" ht="18.75" thickBot="1" x14ac:dyDescent="0.3">
      <c r="A1" s="807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1"/>
    </row>
    <row r="2" spans="1:25" ht="39.75" customHeight="1" thickBot="1" x14ac:dyDescent="0.3">
      <c r="A2" s="809" t="s">
        <v>1</v>
      </c>
      <c r="B2" s="810"/>
      <c r="C2" s="416" t="s">
        <v>376</v>
      </c>
      <c r="D2" s="416" t="s">
        <v>509</v>
      </c>
      <c r="E2" s="416" t="s">
        <v>511</v>
      </c>
      <c r="F2" s="416" t="s">
        <v>512</v>
      </c>
      <c r="G2" s="416" t="s">
        <v>453</v>
      </c>
      <c r="H2" s="416" t="s">
        <v>541</v>
      </c>
      <c r="I2" s="416" t="s">
        <v>497</v>
      </c>
      <c r="J2" s="416" t="s">
        <v>556</v>
      </c>
      <c r="K2" s="416" t="s">
        <v>561</v>
      </c>
      <c r="L2" s="416" t="s">
        <v>588</v>
      </c>
      <c r="M2" s="1" t="s">
        <v>407</v>
      </c>
    </row>
    <row r="3" spans="1:25" ht="15.75" thickBot="1" x14ac:dyDescent="0.3">
      <c r="A3" s="811" t="s">
        <v>4</v>
      </c>
      <c r="B3" s="812"/>
      <c r="C3" s="2">
        <f t="shared" ref="C3:L3" si="0">SUM(C4:C10)</f>
        <v>1289980</v>
      </c>
      <c r="D3" s="2">
        <f t="shared" si="0"/>
        <v>1289980</v>
      </c>
      <c r="E3" s="2">
        <f t="shared" si="0"/>
        <v>1289980</v>
      </c>
      <c r="F3" s="2">
        <f t="shared" si="0"/>
        <v>1289980</v>
      </c>
      <c r="G3" s="2">
        <f t="shared" si="0"/>
        <v>1289980</v>
      </c>
      <c r="H3" s="2">
        <f t="shared" si="0"/>
        <v>1289980</v>
      </c>
      <c r="I3" s="2">
        <f t="shared" si="0"/>
        <v>1294880</v>
      </c>
      <c r="J3" s="2">
        <f t="shared" ref="J3:K3" si="1">SUM(J4:J10)</f>
        <v>1294880</v>
      </c>
      <c r="K3" s="2">
        <f t="shared" si="1"/>
        <v>1295223</v>
      </c>
      <c r="L3" s="2">
        <f t="shared" si="0"/>
        <v>492240</v>
      </c>
      <c r="M3" s="655">
        <f>L3/K3</f>
        <v>0.38004266446781754</v>
      </c>
    </row>
    <row r="4" spans="1:25" ht="15.75" thickBot="1" x14ac:dyDescent="0.3">
      <c r="A4" s="3">
        <v>111</v>
      </c>
      <c r="B4" s="124" t="s">
        <v>5</v>
      </c>
      <c r="C4" s="6">
        <v>1214000</v>
      </c>
      <c r="D4" s="6">
        <v>1214000</v>
      </c>
      <c r="E4" s="6">
        <v>1214000</v>
      </c>
      <c r="F4" s="6">
        <v>1214000</v>
      </c>
      <c r="G4" s="6">
        <v>1214000</v>
      </c>
      <c r="H4" s="6">
        <v>1214000</v>
      </c>
      <c r="I4" s="719">
        <f>1214000+4900</f>
        <v>1218900</v>
      </c>
      <c r="J4" s="6">
        <f>1214000+4900</f>
        <v>1218900</v>
      </c>
      <c r="K4" s="719">
        <f>1214000+4900+343</f>
        <v>1219243</v>
      </c>
      <c r="L4" s="6">
        <v>460419</v>
      </c>
      <c r="M4" s="655">
        <f t="shared" ref="M4:M67" si="2">L4/K4</f>
        <v>0.37762693737015507</v>
      </c>
    </row>
    <row r="5" spans="1:25" ht="15.75" thickBot="1" x14ac:dyDescent="0.3">
      <c r="A5" s="7">
        <v>121</v>
      </c>
      <c r="B5" s="351" t="s">
        <v>6</v>
      </c>
      <c r="C5" s="11">
        <v>40080</v>
      </c>
      <c r="D5" s="11">
        <v>40080</v>
      </c>
      <c r="E5" s="11">
        <v>40080</v>
      </c>
      <c r="F5" s="11">
        <v>40080</v>
      </c>
      <c r="G5" s="11">
        <v>40080</v>
      </c>
      <c r="H5" s="11">
        <v>40080</v>
      </c>
      <c r="I5" s="11">
        <v>40080</v>
      </c>
      <c r="J5" s="11">
        <v>40080</v>
      </c>
      <c r="K5" s="11">
        <v>40080</v>
      </c>
      <c r="L5" s="11">
        <v>17140</v>
      </c>
      <c r="M5" s="655">
        <f t="shared" si="2"/>
        <v>0.42764471057884229</v>
      </c>
    </row>
    <row r="6" spans="1:25" x14ac:dyDescent="0.25">
      <c r="A6" s="12">
        <v>133</v>
      </c>
      <c r="B6" s="352" t="s">
        <v>7</v>
      </c>
      <c r="C6" s="16">
        <v>1000</v>
      </c>
      <c r="D6" s="16">
        <v>1000</v>
      </c>
      <c r="E6" s="16">
        <v>1000</v>
      </c>
      <c r="F6" s="16">
        <v>1000</v>
      </c>
      <c r="G6" s="16">
        <v>1000</v>
      </c>
      <c r="H6" s="16">
        <v>1000</v>
      </c>
      <c r="I6" s="16">
        <v>1000</v>
      </c>
      <c r="J6" s="16">
        <v>1000</v>
      </c>
      <c r="K6" s="16">
        <v>1000</v>
      </c>
      <c r="L6" s="16">
        <v>885</v>
      </c>
      <c r="M6" s="655">
        <f t="shared" si="2"/>
        <v>0.88500000000000001</v>
      </c>
    </row>
    <row r="7" spans="1:25" x14ac:dyDescent="0.25">
      <c r="A7" s="17">
        <v>133</v>
      </c>
      <c r="B7" s="353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400</v>
      </c>
      <c r="I7" s="21">
        <v>400</v>
      </c>
      <c r="J7" s="21">
        <v>400</v>
      </c>
      <c r="K7" s="21">
        <v>400</v>
      </c>
      <c r="L7" s="21">
        <v>0</v>
      </c>
      <c r="M7" s="655">
        <f t="shared" si="2"/>
        <v>0</v>
      </c>
    </row>
    <row r="8" spans="1:25" x14ac:dyDescent="0.25">
      <c r="A8" s="17">
        <v>133</v>
      </c>
      <c r="B8" s="353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2000</v>
      </c>
      <c r="K8" s="21">
        <v>2000</v>
      </c>
      <c r="L8" s="21">
        <v>499</v>
      </c>
      <c r="M8" s="655">
        <f t="shared" si="2"/>
        <v>0.2495</v>
      </c>
    </row>
    <row r="9" spans="1:25" x14ac:dyDescent="0.25">
      <c r="A9" s="17">
        <v>133</v>
      </c>
      <c r="B9" s="353" t="s">
        <v>10</v>
      </c>
      <c r="C9" s="21">
        <v>2500</v>
      </c>
      <c r="D9" s="21">
        <v>2500</v>
      </c>
      <c r="E9" s="21">
        <v>2500</v>
      </c>
      <c r="F9" s="21">
        <v>2500</v>
      </c>
      <c r="G9" s="21">
        <v>2500</v>
      </c>
      <c r="H9" s="21">
        <v>2500</v>
      </c>
      <c r="I9" s="21">
        <v>2500</v>
      </c>
      <c r="J9" s="21">
        <v>2500</v>
      </c>
      <c r="K9" s="21">
        <v>2500</v>
      </c>
      <c r="L9" s="21">
        <v>348</v>
      </c>
      <c r="M9" s="655">
        <f t="shared" si="2"/>
        <v>0.13919999999999999</v>
      </c>
    </row>
    <row r="10" spans="1:25" ht="15.75" thickBot="1" x14ac:dyDescent="0.3">
      <c r="A10" s="22">
        <v>133</v>
      </c>
      <c r="B10" s="354" t="s">
        <v>11</v>
      </c>
      <c r="C10" s="26">
        <v>30000</v>
      </c>
      <c r="D10" s="26">
        <v>30000</v>
      </c>
      <c r="E10" s="26">
        <v>30000</v>
      </c>
      <c r="F10" s="26">
        <v>30000</v>
      </c>
      <c r="G10" s="26">
        <v>30000</v>
      </c>
      <c r="H10" s="26">
        <v>30000</v>
      </c>
      <c r="I10" s="26">
        <v>30000</v>
      </c>
      <c r="J10" s="26">
        <v>30000</v>
      </c>
      <c r="K10" s="26">
        <v>30000</v>
      </c>
      <c r="L10" s="26">
        <v>12949</v>
      </c>
      <c r="M10" s="655">
        <f t="shared" si="2"/>
        <v>0.43163333333333331</v>
      </c>
      <c r="N10" s="464">
        <f>SUM(C6:C10)</f>
        <v>35900</v>
      </c>
      <c r="O10" s="464">
        <f t="shared" ref="O10:U10" si="3">SUM(D6:D10)</f>
        <v>35900</v>
      </c>
      <c r="P10" s="464">
        <f t="shared" si="3"/>
        <v>35900</v>
      </c>
      <c r="Q10" s="464">
        <f t="shared" si="3"/>
        <v>35900</v>
      </c>
      <c r="R10" s="464">
        <f t="shared" si="3"/>
        <v>35900</v>
      </c>
      <c r="S10" s="464">
        <f t="shared" si="3"/>
        <v>35900</v>
      </c>
      <c r="T10" s="464">
        <f t="shared" si="3"/>
        <v>35900</v>
      </c>
      <c r="U10" s="464">
        <f t="shared" si="3"/>
        <v>35900</v>
      </c>
      <c r="V10" s="464">
        <f>SUM(K6:K10)</f>
        <v>35900</v>
      </c>
      <c r="W10" s="464">
        <f t="shared" ref="W10" si="4">SUM(L6:L10)</f>
        <v>14681</v>
      </c>
      <c r="X10" s="464"/>
      <c r="Y10" s="464"/>
    </row>
    <row r="11" spans="1:25" ht="15.75" thickBot="1" x14ac:dyDescent="0.3">
      <c r="A11" s="811" t="s">
        <v>12</v>
      </c>
      <c r="B11" s="812"/>
      <c r="C11" s="355">
        <f t="shared" ref="C11:L11" si="5">SUM(C12:C31)</f>
        <v>208158</v>
      </c>
      <c r="D11" s="355">
        <f t="shared" si="5"/>
        <v>208158</v>
      </c>
      <c r="E11" s="355">
        <f t="shared" si="5"/>
        <v>208158</v>
      </c>
      <c r="F11" s="355">
        <f t="shared" si="5"/>
        <v>208158</v>
      </c>
      <c r="G11" s="355">
        <f t="shared" si="5"/>
        <v>208158</v>
      </c>
      <c r="H11" s="355">
        <f t="shared" si="5"/>
        <v>208158</v>
      </c>
      <c r="I11" s="355">
        <f t="shared" si="5"/>
        <v>208158</v>
      </c>
      <c r="J11" s="355">
        <f t="shared" ref="J11:K11" si="6">SUM(J12:J31)</f>
        <v>208158</v>
      </c>
      <c r="K11" s="355">
        <f t="shared" si="6"/>
        <v>208158</v>
      </c>
      <c r="L11" s="355">
        <f t="shared" si="5"/>
        <v>61926</v>
      </c>
      <c r="M11" s="655">
        <f t="shared" si="2"/>
        <v>0.29749517193670194</v>
      </c>
    </row>
    <row r="12" spans="1:25" x14ac:dyDescent="0.25">
      <c r="A12" s="28">
        <v>212</v>
      </c>
      <c r="B12" s="29" t="s">
        <v>13</v>
      </c>
      <c r="C12" s="32">
        <v>1893</v>
      </c>
      <c r="D12" s="32">
        <v>1893</v>
      </c>
      <c r="E12" s="32">
        <v>1893</v>
      </c>
      <c r="F12" s="32">
        <v>1893</v>
      </c>
      <c r="G12" s="32">
        <v>1893</v>
      </c>
      <c r="H12" s="32">
        <v>1893</v>
      </c>
      <c r="I12" s="32">
        <v>1893</v>
      </c>
      <c r="J12" s="32">
        <v>1893</v>
      </c>
      <c r="K12" s="32">
        <v>1893</v>
      </c>
      <c r="L12" s="32">
        <v>528</v>
      </c>
      <c r="M12" s="655">
        <f t="shared" si="2"/>
        <v>0.27892234548335976</v>
      </c>
    </row>
    <row r="13" spans="1:25" x14ac:dyDescent="0.25">
      <c r="A13" s="12">
        <v>212</v>
      </c>
      <c r="B13" s="13" t="s">
        <v>14</v>
      </c>
      <c r="C13" s="16">
        <v>500</v>
      </c>
      <c r="D13" s="16">
        <v>500</v>
      </c>
      <c r="E13" s="16">
        <v>500</v>
      </c>
      <c r="F13" s="16">
        <v>500</v>
      </c>
      <c r="G13" s="16">
        <v>500</v>
      </c>
      <c r="H13" s="16">
        <v>500</v>
      </c>
      <c r="I13" s="16">
        <v>500</v>
      </c>
      <c r="J13" s="16">
        <v>500</v>
      </c>
      <c r="K13" s="16">
        <v>500</v>
      </c>
      <c r="L13" s="16">
        <v>130</v>
      </c>
      <c r="M13" s="655">
        <f t="shared" si="2"/>
        <v>0.26</v>
      </c>
    </row>
    <row r="14" spans="1:25" x14ac:dyDescent="0.25">
      <c r="A14" s="17">
        <v>212</v>
      </c>
      <c r="B14" s="18" t="s">
        <v>15</v>
      </c>
      <c r="C14" s="33">
        <v>3712</v>
      </c>
      <c r="D14" s="33">
        <v>3712</v>
      </c>
      <c r="E14" s="33">
        <v>3712</v>
      </c>
      <c r="F14" s="33">
        <v>3712</v>
      </c>
      <c r="G14" s="33">
        <v>3712</v>
      </c>
      <c r="H14" s="33">
        <v>3712</v>
      </c>
      <c r="I14" s="33">
        <v>3712</v>
      </c>
      <c r="J14" s="33">
        <v>3712</v>
      </c>
      <c r="K14" s="33">
        <v>3712</v>
      </c>
      <c r="L14" s="33">
        <v>1182</v>
      </c>
      <c r="M14" s="655">
        <f t="shared" si="2"/>
        <v>0.31842672413793105</v>
      </c>
    </row>
    <row r="15" spans="1:25" x14ac:dyDescent="0.25">
      <c r="A15" s="17">
        <v>212</v>
      </c>
      <c r="B15" s="18" t="s">
        <v>16</v>
      </c>
      <c r="C15" s="21">
        <v>21393</v>
      </c>
      <c r="D15" s="21">
        <v>21393</v>
      </c>
      <c r="E15" s="21">
        <v>21393</v>
      </c>
      <c r="F15" s="21">
        <v>21393</v>
      </c>
      <c r="G15" s="21">
        <v>21393</v>
      </c>
      <c r="H15" s="21">
        <v>21393</v>
      </c>
      <c r="I15" s="21">
        <v>21393</v>
      </c>
      <c r="J15" s="21">
        <v>21393</v>
      </c>
      <c r="K15" s="21">
        <v>21393</v>
      </c>
      <c r="L15" s="21">
        <v>5778</v>
      </c>
      <c r="M15" s="655">
        <f t="shared" si="2"/>
        <v>0.27008834665544806</v>
      </c>
    </row>
    <row r="16" spans="1:25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655">
        <v>0</v>
      </c>
      <c r="N16" s="464">
        <f>SUM(C12:C16)</f>
        <v>27498</v>
      </c>
      <c r="O16" s="464">
        <f t="shared" ref="O16:R16" si="7">SUM(D12:D16)</f>
        <v>27498</v>
      </c>
      <c r="P16" s="464">
        <f t="shared" si="7"/>
        <v>27498</v>
      </c>
      <c r="Q16" s="464">
        <f t="shared" si="7"/>
        <v>27498</v>
      </c>
      <c r="R16" s="464">
        <f t="shared" si="7"/>
        <v>27498</v>
      </c>
      <c r="S16" s="464">
        <f>SUM(H12:H16)</f>
        <v>27498</v>
      </c>
      <c r="T16" s="464">
        <f t="shared" ref="T16" si="8">SUM(I12:I16)</f>
        <v>27498</v>
      </c>
      <c r="U16" s="464">
        <f t="shared" ref="U16" si="9">SUM(J12:J16)</f>
        <v>27498</v>
      </c>
      <c r="V16" s="464">
        <f t="shared" ref="V16" si="10">SUM(K12:K16)</f>
        <v>27498</v>
      </c>
      <c r="W16" s="464">
        <f t="shared" ref="W16" si="11">SUM(L12:L16)</f>
        <v>7618</v>
      </c>
    </row>
    <row r="17" spans="1:23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5100</v>
      </c>
      <c r="J17" s="41">
        <v>5100</v>
      </c>
      <c r="K17" s="41">
        <v>5100</v>
      </c>
      <c r="L17" s="41">
        <v>1277</v>
      </c>
      <c r="M17" s="655">
        <f t="shared" si="2"/>
        <v>0.25039215686274507</v>
      </c>
    </row>
    <row r="18" spans="1:23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655">
        <v>0</v>
      </c>
    </row>
    <row r="19" spans="1:23" x14ac:dyDescent="0.25">
      <c r="A19" s="12">
        <v>223</v>
      </c>
      <c r="B19" s="13" t="s">
        <v>398</v>
      </c>
      <c r="C19" s="16">
        <v>650</v>
      </c>
      <c r="D19" s="16">
        <v>650</v>
      </c>
      <c r="E19" s="16">
        <v>650</v>
      </c>
      <c r="F19" s="16">
        <v>650</v>
      </c>
      <c r="G19" s="16">
        <v>650</v>
      </c>
      <c r="H19" s="16">
        <v>650</v>
      </c>
      <c r="I19" s="16">
        <v>650</v>
      </c>
      <c r="J19" s="16">
        <v>650</v>
      </c>
      <c r="K19" s="16">
        <v>650</v>
      </c>
      <c r="L19" s="16">
        <v>47</v>
      </c>
      <c r="M19" s="655">
        <f t="shared" si="2"/>
        <v>7.2307692307692309E-2</v>
      </c>
    </row>
    <row r="20" spans="1:23" x14ac:dyDescent="0.25">
      <c r="A20" s="17">
        <v>223</v>
      </c>
      <c r="B20" s="18" t="s">
        <v>21</v>
      </c>
      <c r="C20" s="21">
        <f t="shared" ref="C20:K20" si="12">19000+3000</f>
        <v>22000</v>
      </c>
      <c r="D20" s="21">
        <f t="shared" si="12"/>
        <v>22000</v>
      </c>
      <c r="E20" s="21">
        <f t="shared" si="12"/>
        <v>22000</v>
      </c>
      <c r="F20" s="21">
        <f t="shared" si="12"/>
        <v>22000</v>
      </c>
      <c r="G20" s="21">
        <f t="shared" si="12"/>
        <v>22000</v>
      </c>
      <c r="H20" s="21">
        <f t="shared" si="12"/>
        <v>22000</v>
      </c>
      <c r="I20" s="21">
        <f t="shared" si="12"/>
        <v>22000</v>
      </c>
      <c r="J20" s="21">
        <f t="shared" si="12"/>
        <v>22000</v>
      </c>
      <c r="K20" s="21">
        <f t="shared" si="12"/>
        <v>22000</v>
      </c>
      <c r="L20" s="21">
        <v>5730</v>
      </c>
      <c r="M20" s="655">
        <f t="shared" si="2"/>
        <v>0.26045454545454544</v>
      </c>
    </row>
    <row r="21" spans="1:23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50</v>
      </c>
      <c r="K21" s="21">
        <v>50</v>
      </c>
      <c r="L21" s="21">
        <v>0</v>
      </c>
      <c r="M21" s="655">
        <f t="shared" si="2"/>
        <v>0</v>
      </c>
    </row>
    <row r="22" spans="1:23" x14ac:dyDescent="0.25">
      <c r="A22" s="17">
        <v>223</v>
      </c>
      <c r="B22" s="18" t="s">
        <v>23</v>
      </c>
      <c r="C22" s="21">
        <v>1500</v>
      </c>
      <c r="D22" s="21">
        <v>1500</v>
      </c>
      <c r="E22" s="21">
        <v>1500</v>
      </c>
      <c r="F22" s="21">
        <v>1500</v>
      </c>
      <c r="G22" s="21">
        <v>1500</v>
      </c>
      <c r="H22" s="21">
        <v>1500</v>
      </c>
      <c r="I22" s="21">
        <v>1500</v>
      </c>
      <c r="J22" s="21">
        <v>1500</v>
      </c>
      <c r="K22" s="21">
        <v>1500</v>
      </c>
      <c r="L22" s="21">
        <v>0</v>
      </c>
      <c r="M22" s="655">
        <f t="shared" si="2"/>
        <v>0</v>
      </c>
    </row>
    <row r="23" spans="1:23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1000</v>
      </c>
      <c r="K23" s="21">
        <v>1000</v>
      </c>
      <c r="L23" s="21">
        <v>114</v>
      </c>
      <c r="M23" s="655">
        <f t="shared" si="2"/>
        <v>0.114</v>
      </c>
    </row>
    <row r="24" spans="1:23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1000</v>
      </c>
      <c r="K24" s="21">
        <v>1000</v>
      </c>
      <c r="L24" s="21">
        <v>120</v>
      </c>
      <c r="M24" s="655">
        <f t="shared" si="2"/>
        <v>0.12</v>
      </c>
    </row>
    <row r="25" spans="1:23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40000</v>
      </c>
      <c r="J25" s="21">
        <v>40000</v>
      </c>
      <c r="K25" s="21">
        <v>40000</v>
      </c>
      <c r="L25" s="21">
        <v>16209</v>
      </c>
      <c r="M25" s="655">
        <f t="shared" si="2"/>
        <v>0.405225</v>
      </c>
    </row>
    <row r="26" spans="1:23" x14ac:dyDescent="0.25">
      <c r="A26" s="17">
        <v>223</v>
      </c>
      <c r="B26" s="18" t="s">
        <v>29</v>
      </c>
      <c r="C26" s="21">
        <v>44100</v>
      </c>
      <c r="D26" s="21">
        <v>44100</v>
      </c>
      <c r="E26" s="21">
        <v>44100</v>
      </c>
      <c r="F26" s="21">
        <v>44100</v>
      </c>
      <c r="G26" s="21">
        <v>44100</v>
      </c>
      <c r="H26" s="21">
        <v>44100</v>
      </c>
      <c r="I26" s="21">
        <v>44100</v>
      </c>
      <c r="J26" s="21">
        <v>44100</v>
      </c>
      <c r="K26" s="21">
        <v>44100</v>
      </c>
      <c r="L26" s="21">
        <v>12228</v>
      </c>
      <c r="M26" s="655">
        <f t="shared" si="2"/>
        <v>0.27727891156462586</v>
      </c>
    </row>
    <row r="27" spans="1:23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60</v>
      </c>
      <c r="K27" s="21">
        <v>60</v>
      </c>
      <c r="L27" s="21">
        <v>10</v>
      </c>
      <c r="M27" s="655">
        <f t="shared" si="2"/>
        <v>0.16666666666666666</v>
      </c>
    </row>
    <row r="28" spans="1:23" x14ac:dyDescent="0.25">
      <c r="A28" s="17">
        <v>223</v>
      </c>
      <c r="B28" s="18" t="s">
        <v>32</v>
      </c>
      <c r="C28" s="21">
        <v>2100</v>
      </c>
      <c r="D28" s="21">
        <v>2100</v>
      </c>
      <c r="E28" s="21">
        <v>2100</v>
      </c>
      <c r="F28" s="21">
        <v>2100</v>
      </c>
      <c r="G28" s="21">
        <v>2100</v>
      </c>
      <c r="H28" s="21">
        <v>2100</v>
      </c>
      <c r="I28" s="21">
        <v>2100</v>
      </c>
      <c r="J28" s="21">
        <v>2100</v>
      </c>
      <c r="K28" s="21">
        <v>2100</v>
      </c>
      <c r="L28" s="21">
        <v>684</v>
      </c>
      <c r="M28" s="655">
        <f t="shared" si="2"/>
        <v>0.32571428571428573</v>
      </c>
    </row>
    <row r="29" spans="1:23" x14ac:dyDescent="0.25">
      <c r="A29" s="17">
        <v>223</v>
      </c>
      <c r="B29" s="18" t="s">
        <v>271</v>
      </c>
      <c r="C29" s="21">
        <v>2000</v>
      </c>
      <c r="D29" s="21">
        <v>2000</v>
      </c>
      <c r="E29" s="21">
        <v>2000</v>
      </c>
      <c r="F29" s="21">
        <v>2000</v>
      </c>
      <c r="G29" s="21">
        <v>2000</v>
      </c>
      <c r="H29" s="21">
        <v>2000</v>
      </c>
      <c r="I29" s="21">
        <v>2000</v>
      </c>
      <c r="J29" s="21">
        <v>2000</v>
      </c>
      <c r="K29" s="21">
        <v>2000</v>
      </c>
      <c r="L29" s="21">
        <v>450</v>
      </c>
      <c r="M29" s="655">
        <f t="shared" si="2"/>
        <v>0.22500000000000001</v>
      </c>
    </row>
    <row r="30" spans="1:23" x14ac:dyDescent="0.25">
      <c r="A30" s="43">
        <v>223</v>
      </c>
      <c r="B30" s="44" t="s">
        <v>33</v>
      </c>
      <c r="C30" s="46">
        <v>61000</v>
      </c>
      <c r="D30" s="46">
        <v>61000</v>
      </c>
      <c r="E30" s="46">
        <v>61000</v>
      </c>
      <c r="F30" s="46">
        <v>61000</v>
      </c>
      <c r="G30" s="46">
        <v>61000</v>
      </c>
      <c r="H30" s="46">
        <v>61000</v>
      </c>
      <c r="I30" s="46">
        <v>61000</v>
      </c>
      <c r="J30" s="46">
        <v>61000</v>
      </c>
      <c r="K30" s="46">
        <v>61000</v>
      </c>
      <c r="L30" s="46">
        <v>17439</v>
      </c>
      <c r="M30" s="655">
        <f t="shared" si="2"/>
        <v>0.28588524590163933</v>
      </c>
    </row>
    <row r="31" spans="1:23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100</v>
      </c>
      <c r="J31" s="48">
        <v>100</v>
      </c>
      <c r="K31" s="48">
        <v>100</v>
      </c>
      <c r="L31" s="48">
        <v>0</v>
      </c>
      <c r="M31" s="655">
        <f t="shared" si="2"/>
        <v>0</v>
      </c>
      <c r="N31" s="27">
        <f>SUM(C19:C31)</f>
        <v>175560</v>
      </c>
      <c r="O31" s="27">
        <f t="shared" ref="O31:W31" si="13">SUM(D19:D31)</f>
        <v>175560</v>
      </c>
      <c r="P31" s="27">
        <f t="shared" si="13"/>
        <v>175560</v>
      </c>
      <c r="Q31" s="27">
        <f t="shared" si="13"/>
        <v>175560</v>
      </c>
      <c r="R31" s="27">
        <f t="shared" si="13"/>
        <v>175560</v>
      </c>
      <c r="S31" s="27">
        <f t="shared" si="13"/>
        <v>175560</v>
      </c>
      <c r="T31" s="27">
        <f t="shared" si="13"/>
        <v>175560</v>
      </c>
      <c r="U31" s="27">
        <f t="shared" si="13"/>
        <v>175560</v>
      </c>
      <c r="V31" s="27">
        <f t="shared" si="13"/>
        <v>175560</v>
      </c>
      <c r="W31" s="27">
        <f t="shared" si="13"/>
        <v>53031</v>
      </c>
    </row>
    <row r="32" spans="1:23" ht="15.75" thickBot="1" x14ac:dyDescent="0.3">
      <c r="A32" s="731" t="s">
        <v>35</v>
      </c>
      <c r="B32" s="732"/>
      <c r="C32" s="2">
        <f t="shared" ref="C32:L32" si="14">SUM(C33)</f>
        <v>50</v>
      </c>
      <c r="D32" s="2">
        <f t="shared" si="14"/>
        <v>50</v>
      </c>
      <c r="E32" s="2">
        <f t="shared" si="14"/>
        <v>50</v>
      </c>
      <c r="F32" s="2">
        <f t="shared" si="14"/>
        <v>50</v>
      </c>
      <c r="G32" s="2">
        <f t="shared" si="14"/>
        <v>50</v>
      </c>
      <c r="H32" s="2">
        <f t="shared" si="14"/>
        <v>50</v>
      </c>
      <c r="I32" s="2">
        <f t="shared" si="14"/>
        <v>50</v>
      </c>
      <c r="J32" s="2">
        <f t="shared" si="14"/>
        <v>50</v>
      </c>
      <c r="K32" s="2">
        <f t="shared" si="14"/>
        <v>50</v>
      </c>
      <c r="L32" s="2">
        <f t="shared" si="14"/>
        <v>3</v>
      </c>
      <c r="M32" s="655">
        <f t="shared" si="2"/>
        <v>0.06</v>
      </c>
    </row>
    <row r="33" spans="1:14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50</v>
      </c>
      <c r="K33" s="38">
        <v>50</v>
      </c>
      <c r="L33" s="38">
        <v>3</v>
      </c>
      <c r="M33" s="655">
        <f t="shared" si="2"/>
        <v>0.06</v>
      </c>
    </row>
    <row r="34" spans="1:14" ht="15.75" thickBot="1" x14ac:dyDescent="0.3">
      <c r="A34" s="731" t="s">
        <v>37</v>
      </c>
      <c r="B34" s="732"/>
      <c r="C34" s="355">
        <f>SUM(C35:C40)</f>
        <v>47400</v>
      </c>
      <c r="D34" s="355">
        <f>SUM(D35:D40)</f>
        <v>47400</v>
      </c>
      <c r="E34" s="355">
        <f t="shared" ref="E34:L34" si="15">SUM(E35:E40)</f>
        <v>47405</v>
      </c>
      <c r="F34" s="355">
        <f t="shared" si="15"/>
        <v>47405</v>
      </c>
      <c r="G34" s="355">
        <f t="shared" si="15"/>
        <v>47405</v>
      </c>
      <c r="H34" s="355">
        <f t="shared" si="15"/>
        <v>47405</v>
      </c>
      <c r="I34" s="355">
        <f t="shared" si="15"/>
        <v>53405</v>
      </c>
      <c r="J34" s="355">
        <f t="shared" ref="J34:K34" si="16">SUM(J35:J40)</f>
        <v>53405</v>
      </c>
      <c r="K34" s="355">
        <f t="shared" si="16"/>
        <v>53405</v>
      </c>
      <c r="L34" s="355">
        <f t="shared" si="15"/>
        <v>9173</v>
      </c>
      <c r="M34" s="655">
        <f t="shared" si="2"/>
        <v>0.17176294354461194</v>
      </c>
    </row>
    <row r="35" spans="1:14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655">
        <v>0</v>
      </c>
    </row>
    <row r="36" spans="1:14" x14ac:dyDescent="0.25">
      <c r="A36" s="52">
        <v>292</v>
      </c>
      <c r="B36" s="53" t="s">
        <v>39</v>
      </c>
      <c r="C36" s="55">
        <v>300</v>
      </c>
      <c r="D36" s="55">
        <v>300</v>
      </c>
      <c r="E36" s="55">
        <v>300</v>
      </c>
      <c r="F36" s="55">
        <v>300</v>
      </c>
      <c r="G36" s="55">
        <v>300</v>
      </c>
      <c r="H36" s="55">
        <v>300</v>
      </c>
      <c r="I36" s="55">
        <v>300</v>
      </c>
      <c r="J36" s="55">
        <v>300</v>
      </c>
      <c r="K36" s="55">
        <v>300</v>
      </c>
      <c r="L36" s="55">
        <v>24</v>
      </c>
      <c r="M36" s="655">
        <f t="shared" si="2"/>
        <v>0.08</v>
      </c>
    </row>
    <row r="37" spans="1:14" x14ac:dyDescent="0.25">
      <c r="A37" s="57">
        <v>292</v>
      </c>
      <c r="B37" s="58" t="s">
        <v>40</v>
      </c>
      <c r="C37" s="61">
        <v>5000</v>
      </c>
      <c r="D37" s="61">
        <v>5000</v>
      </c>
      <c r="E37" s="61">
        <v>5000</v>
      </c>
      <c r="F37" s="61">
        <v>5000</v>
      </c>
      <c r="G37" s="61">
        <v>5000</v>
      </c>
      <c r="H37" s="61">
        <v>5000</v>
      </c>
      <c r="I37" s="61">
        <v>5000</v>
      </c>
      <c r="J37" s="61">
        <v>5000</v>
      </c>
      <c r="K37" s="61">
        <v>5000</v>
      </c>
      <c r="L37" s="61">
        <v>414</v>
      </c>
      <c r="M37" s="655">
        <f t="shared" si="2"/>
        <v>8.2799999999999999E-2</v>
      </c>
    </row>
    <row r="38" spans="1:14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500</v>
      </c>
      <c r="J38" s="60">
        <v>500</v>
      </c>
      <c r="K38" s="60">
        <v>500</v>
      </c>
      <c r="L38" s="60">
        <v>6</v>
      </c>
      <c r="M38" s="655">
        <f t="shared" si="2"/>
        <v>1.2E-2</v>
      </c>
    </row>
    <row r="39" spans="1:14" x14ac:dyDescent="0.25">
      <c r="A39" s="57">
        <v>292</v>
      </c>
      <c r="B39" s="18" t="s">
        <v>42</v>
      </c>
      <c r="C39" s="64">
        <v>310</v>
      </c>
      <c r="D39" s="64">
        <v>310</v>
      </c>
      <c r="E39" s="619">
        <f t="shared" ref="E39:K39" si="17">310+5</f>
        <v>315</v>
      </c>
      <c r="F39" s="64">
        <f t="shared" si="17"/>
        <v>315</v>
      </c>
      <c r="G39" s="64">
        <f t="shared" si="17"/>
        <v>315</v>
      </c>
      <c r="H39" s="64">
        <f t="shared" si="17"/>
        <v>315</v>
      </c>
      <c r="I39" s="64">
        <f t="shared" si="17"/>
        <v>315</v>
      </c>
      <c r="J39" s="64">
        <f t="shared" si="17"/>
        <v>315</v>
      </c>
      <c r="K39" s="64">
        <f t="shared" si="17"/>
        <v>315</v>
      </c>
      <c r="L39" s="64">
        <v>0</v>
      </c>
      <c r="M39" s="655">
        <f t="shared" si="2"/>
        <v>0</v>
      </c>
    </row>
    <row r="40" spans="1:14" ht="15.75" thickBot="1" x14ac:dyDescent="0.3">
      <c r="A40" s="57">
        <v>292</v>
      </c>
      <c r="B40" s="58" t="s">
        <v>221</v>
      </c>
      <c r="C40" s="60">
        <f>41600-C39</f>
        <v>41290</v>
      </c>
      <c r="D40" s="60">
        <f>41600-D39</f>
        <v>41290</v>
      </c>
      <c r="E40" s="60">
        <f>41290</f>
        <v>41290</v>
      </c>
      <c r="F40" s="60">
        <f>41290</f>
        <v>41290</v>
      </c>
      <c r="G40" s="60">
        <v>41290</v>
      </c>
      <c r="H40" s="60">
        <v>41290</v>
      </c>
      <c r="I40" s="622">
        <f>41290+6000</f>
        <v>47290</v>
      </c>
      <c r="J40" s="60">
        <f>41290+6000</f>
        <v>47290</v>
      </c>
      <c r="K40" s="60">
        <f>41290+6000</f>
        <v>47290</v>
      </c>
      <c r="L40" s="60">
        <v>8729</v>
      </c>
      <c r="M40" s="655">
        <f t="shared" si="2"/>
        <v>0.18458447874814971</v>
      </c>
    </row>
    <row r="41" spans="1:14" ht="15.75" thickBot="1" x14ac:dyDescent="0.3">
      <c r="A41" s="65" t="s">
        <v>44</v>
      </c>
      <c r="B41" s="359"/>
      <c r="C41" s="355">
        <f t="shared" ref="C41:L41" si="18">SUM(C42:C66)</f>
        <v>686340</v>
      </c>
      <c r="D41" s="355">
        <f t="shared" si="18"/>
        <v>686340</v>
      </c>
      <c r="E41" s="355">
        <f t="shared" si="18"/>
        <v>712565</v>
      </c>
      <c r="F41" s="355">
        <f t="shared" si="18"/>
        <v>718965</v>
      </c>
      <c r="G41" s="355">
        <f t="shared" si="18"/>
        <v>724965</v>
      </c>
      <c r="H41" s="355">
        <f t="shared" si="18"/>
        <v>728903</v>
      </c>
      <c r="I41" s="355">
        <f t="shared" si="18"/>
        <v>728903</v>
      </c>
      <c r="J41" s="355">
        <f t="shared" ref="J41:K41" si="19">SUM(J42:J66)</f>
        <v>735124</v>
      </c>
      <c r="K41" s="355">
        <f t="shared" si="19"/>
        <v>735124</v>
      </c>
      <c r="L41" s="355">
        <f t="shared" si="18"/>
        <v>228487</v>
      </c>
      <c r="M41" s="655">
        <f t="shared" si="2"/>
        <v>0.31081422998024821</v>
      </c>
      <c r="N41" s="464"/>
    </row>
    <row r="42" spans="1:14" x14ac:dyDescent="0.25">
      <c r="A42" s="67">
        <v>311</v>
      </c>
      <c r="B42" s="360" t="s">
        <v>45</v>
      </c>
      <c r="C42" s="68">
        <v>0</v>
      </c>
      <c r="D42" s="68">
        <v>0</v>
      </c>
      <c r="E42" s="68">
        <v>0</v>
      </c>
      <c r="F42" s="696">
        <v>5000</v>
      </c>
      <c r="G42" s="68">
        <f>5000</f>
        <v>5000</v>
      </c>
      <c r="H42" s="68">
        <f>5000</f>
        <v>5000</v>
      </c>
      <c r="I42" s="68">
        <f>5000</f>
        <v>5000</v>
      </c>
      <c r="J42" s="696">
        <f>5000+3000</f>
        <v>8000</v>
      </c>
      <c r="K42" s="68">
        <f>5000+3000</f>
        <v>8000</v>
      </c>
      <c r="L42" s="68">
        <v>0</v>
      </c>
      <c r="M42" s="655">
        <f t="shared" si="2"/>
        <v>0</v>
      </c>
    </row>
    <row r="43" spans="1:14" x14ac:dyDescent="0.25">
      <c r="A43" s="71">
        <v>312</v>
      </c>
      <c r="B43" s="76" t="s">
        <v>252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655">
        <v>0</v>
      </c>
    </row>
    <row r="44" spans="1:14" x14ac:dyDescent="0.25">
      <c r="A44" s="67">
        <v>312</v>
      </c>
      <c r="B44" s="360" t="s">
        <v>279</v>
      </c>
      <c r="C44" s="68">
        <v>4000</v>
      </c>
      <c r="D44" s="68">
        <v>4000</v>
      </c>
      <c r="E44" s="68">
        <v>4000</v>
      </c>
      <c r="F44" s="68">
        <v>4000</v>
      </c>
      <c r="G44" s="68">
        <v>4000</v>
      </c>
      <c r="H44" s="68">
        <v>4000</v>
      </c>
      <c r="I44" s="68">
        <v>4000</v>
      </c>
      <c r="J44" s="68">
        <v>4000</v>
      </c>
      <c r="K44" s="68">
        <v>4000</v>
      </c>
      <c r="L44" s="68">
        <v>0</v>
      </c>
      <c r="M44" s="655">
        <f t="shared" si="2"/>
        <v>0</v>
      </c>
    </row>
    <row r="45" spans="1:14" x14ac:dyDescent="0.25">
      <c r="A45" s="67">
        <v>312</v>
      </c>
      <c r="B45" s="360" t="s">
        <v>272</v>
      </c>
      <c r="C45" s="70">
        <v>4750</v>
      </c>
      <c r="D45" s="70">
        <v>4750</v>
      </c>
      <c r="E45" s="70">
        <v>4750</v>
      </c>
      <c r="F45" s="70">
        <v>4750</v>
      </c>
      <c r="G45" s="70">
        <v>4750</v>
      </c>
      <c r="H45" s="70">
        <v>4750</v>
      </c>
      <c r="I45" s="70">
        <v>4750</v>
      </c>
      <c r="J45" s="70">
        <v>4750</v>
      </c>
      <c r="K45" s="70">
        <v>4750</v>
      </c>
      <c r="L45" s="70">
        <v>3080</v>
      </c>
      <c r="M45" s="655">
        <f t="shared" si="2"/>
        <v>0.6484210526315789</v>
      </c>
    </row>
    <row r="46" spans="1:14" x14ac:dyDescent="0.25">
      <c r="A46" s="69">
        <v>312</v>
      </c>
      <c r="B46" s="450" t="s">
        <v>273</v>
      </c>
      <c r="C46" s="70">
        <v>2000</v>
      </c>
      <c r="D46" s="70">
        <v>2000</v>
      </c>
      <c r="E46" s="70">
        <v>2000</v>
      </c>
      <c r="F46" s="70">
        <v>2000</v>
      </c>
      <c r="G46" s="70">
        <v>2000</v>
      </c>
      <c r="H46" s="70">
        <v>2000</v>
      </c>
      <c r="I46" s="70">
        <v>2000</v>
      </c>
      <c r="J46" s="70">
        <v>2000</v>
      </c>
      <c r="K46" s="70">
        <v>2000</v>
      </c>
      <c r="L46" s="70">
        <v>0</v>
      </c>
      <c r="M46" s="655">
        <f t="shared" si="2"/>
        <v>0</v>
      </c>
    </row>
    <row r="47" spans="1:14" x14ac:dyDescent="0.25">
      <c r="A47" s="71">
        <v>312</v>
      </c>
      <c r="B47" s="353" t="s">
        <v>231</v>
      </c>
      <c r="C47" s="16">
        <v>7900</v>
      </c>
      <c r="D47" s="16">
        <v>7900</v>
      </c>
      <c r="E47" s="16">
        <v>7900</v>
      </c>
      <c r="F47" s="16">
        <v>7900</v>
      </c>
      <c r="G47" s="16">
        <v>7900</v>
      </c>
      <c r="H47" s="16">
        <v>7900</v>
      </c>
      <c r="I47" s="16">
        <v>7900</v>
      </c>
      <c r="J47" s="16">
        <v>7900</v>
      </c>
      <c r="K47" s="16">
        <v>7900</v>
      </c>
      <c r="L47" s="16">
        <v>4735</v>
      </c>
      <c r="M47" s="655">
        <f t="shared" si="2"/>
        <v>0.59936708860759491</v>
      </c>
    </row>
    <row r="48" spans="1:14" x14ac:dyDescent="0.25">
      <c r="A48" s="71">
        <v>312</v>
      </c>
      <c r="B48" s="353" t="s">
        <v>232</v>
      </c>
      <c r="C48" s="16">
        <v>150</v>
      </c>
      <c r="D48" s="16">
        <v>150</v>
      </c>
      <c r="E48" s="16">
        <v>150</v>
      </c>
      <c r="F48" s="16">
        <v>150</v>
      </c>
      <c r="G48" s="16">
        <v>150</v>
      </c>
      <c r="H48" s="16">
        <v>150</v>
      </c>
      <c r="I48" s="16">
        <v>150</v>
      </c>
      <c r="J48" s="16">
        <v>150</v>
      </c>
      <c r="K48" s="16">
        <v>150</v>
      </c>
      <c r="L48" s="16">
        <v>0</v>
      </c>
      <c r="M48" s="655">
        <f t="shared" si="2"/>
        <v>0</v>
      </c>
    </row>
    <row r="49" spans="1:14" x14ac:dyDescent="0.25">
      <c r="A49" s="71">
        <v>312</v>
      </c>
      <c r="B49" s="118" t="s">
        <v>51</v>
      </c>
      <c r="C49" s="73">
        <v>2950</v>
      </c>
      <c r="D49" s="73">
        <v>2950</v>
      </c>
      <c r="E49" s="73">
        <v>2950</v>
      </c>
      <c r="F49" s="73">
        <v>2950</v>
      </c>
      <c r="G49" s="73">
        <v>2950</v>
      </c>
      <c r="H49" s="73">
        <v>2950</v>
      </c>
      <c r="I49" s="73">
        <v>2950</v>
      </c>
      <c r="J49" s="73">
        <v>2950</v>
      </c>
      <c r="K49" s="73">
        <v>2950</v>
      </c>
      <c r="L49" s="73">
        <v>0</v>
      </c>
      <c r="M49" s="655">
        <f t="shared" si="2"/>
        <v>0</v>
      </c>
    </row>
    <row r="50" spans="1:14" x14ac:dyDescent="0.25">
      <c r="A50" s="71">
        <v>312</v>
      </c>
      <c r="B50" s="76" t="s">
        <v>480</v>
      </c>
      <c r="C50" s="73">
        <v>0</v>
      </c>
      <c r="D50" s="73">
        <v>0</v>
      </c>
      <c r="E50" s="73">
        <v>0</v>
      </c>
      <c r="F50" s="73">
        <v>0</v>
      </c>
      <c r="G50" s="697">
        <f>6000</f>
        <v>6000</v>
      </c>
      <c r="H50" s="73">
        <f>6000</f>
        <v>6000</v>
      </c>
      <c r="I50" s="73">
        <f>6000</f>
        <v>6000</v>
      </c>
      <c r="J50" s="73">
        <f>6000</f>
        <v>6000</v>
      </c>
      <c r="K50" s="73">
        <f>6000</f>
        <v>6000</v>
      </c>
      <c r="L50" s="73">
        <v>0</v>
      </c>
      <c r="M50" s="655">
        <f t="shared" si="2"/>
        <v>0</v>
      </c>
    </row>
    <row r="51" spans="1:14" ht="15.75" thickBot="1" x14ac:dyDescent="0.3">
      <c r="A51" s="74">
        <v>312</v>
      </c>
      <c r="B51" s="82" t="s">
        <v>54</v>
      </c>
      <c r="C51" s="75">
        <v>40</v>
      </c>
      <c r="D51" s="75">
        <v>40</v>
      </c>
      <c r="E51" s="75">
        <v>40</v>
      </c>
      <c r="F51" s="75">
        <v>40</v>
      </c>
      <c r="G51" s="75">
        <v>40</v>
      </c>
      <c r="H51" s="75">
        <v>40</v>
      </c>
      <c r="I51" s="75">
        <v>40</v>
      </c>
      <c r="J51" s="75">
        <v>40</v>
      </c>
      <c r="K51" s="75">
        <v>40</v>
      </c>
      <c r="L51" s="75">
        <v>37</v>
      </c>
      <c r="M51" s="655">
        <f t="shared" si="2"/>
        <v>0.92500000000000004</v>
      </c>
    </row>
    <row r="52" spans="1:14" ht="15.75" thickBot="1" x14ac:dyDescent="0.3">
      <c r="A52" s="349">
        <v>312</v>
      </c>
      <c r="B52" s="361" t="s">
        <v>399</v>
      </c>
      <c r="C52" s="350">
        <v>4100</v>
      </c>
      <c r="D52" s="350">
        <v>4100</v>
      </c>
      <c r="E52" s="350">
        <v>4100</v>
      </c>
      <c r="F52" s="350">
        <v>4100</v>
      </c>
      <c r="G52" s="350">
        <v>4100</v>
      </c>
      <c r="H52" s="350">
        <v>4100</v>
      </c>
      <c r="I52" s="350">
        <v>4100</v>
      </c>
      <c r="J52" s="350">
        <v>4100</v>
      </c>
      <c r="K52" s="350">
        <v>4100</v>
      </c>
      <c r="L52" s="350">
        <v>0</v>
      </c>
      <c r="M52" s="655">
        <f t="shared" si="2"/>
        <v>0</v>
      </c>
    </row>
    <row r="53" spans="1:14" x14ac:dyDescent="0.25">
      <c r="A53" s="71">
        <v>312</v>
      </c>
      <c r="B53" s="85" t="s">
        <v>55</v>
      </c>
      <c r="C53" s="16">
        <v>19100</v>
      </c>
      <c r="D53" s="16">
        <v>19100</v>
      </c>
      <c r="E53" s="16">
        <v>19100</v>
      </c>
      <c r="F53" s="16">
        <v>19100</v>
      </c>
      <c r="G53" s="16">
        <v>19100</v>
      </c>
      <c r="H53" s="16">
        <v>19100</v>
      </c>
      <c r="I53" s="16">
        <v>19100</v>
      </c>
      <c r="J53" s="16">
        <v>19100</v>
      </c>
      <c r="K53" s="16">
        <v>19100</v>
      </c>
      <c r="L53" s="16">
        <v>4901</v>
      </c>
      <c r="M53" s="655">
        <f t="shared" si="2"/>
        <v>0.25659685863874343</v>
      </c>
    </row>
    <row r="54" spans="1:14" x14ac:dyDescent="0.25">
      <c r="A54" s="71">
        <v>312</v>
      </c>
      <c r="B54" s="118" t="s">
        <v>56</v>
      </c>
      <c r="C54" s="16">
        <v>11000</v>
      </c>
      <c r="D54" s="16">
        <v>11000</v>
      </c>
      <c r="E54" s="16">
        <v>11000</v>
      </c>
      <c r="F54" s="16">
        <v>11000</v>
      </c>
      <c r="G54" s="16">
        <v>11000</v>
      </c>
      <c r="H54" s="16">
        <v>11000</v>
      </c>
      <c r="I54" s="16">
        <v>11000</v>
      </c>
      <c r="J54" s="16">
        <v>11000</v>
      </c>
      <c r="K54" s="16">
        <v>11000</v>
      </c>
      <c r="L54" s="16">
        <v>2750</v>
      </c>
      <c r="M54" s="655">
        <f t="shared" si="2"/>
        <v>0.25</v>
      </c>
    </row>
    <row r="55" spans="1:14" ht="15.75" thickBot="1" x14ac:dyDescent="0.3">
      <c r="A55" s="77">
        <v>312</v>
      </c>
      <c r="B55" s="165" t="s">
        <v>57</v>
      </c>
      <c r="C55" s="79">
        <v>8600</v>
      </c>
      <c r="D55" s="79">
        <v>8600</v>
      </c>
      <c r="E55" s="79">
        <v>8600</v>
      </c>
      <c r="F55" s="79">
        <v>8600</v>
      </c>
      <c r="G55" s="79">
        <v>8600</v>
      </c>
      <c r="H55" s="79">
        <v>8600</v>
      </c>
      <c r="I55" s="79">
        <v>8600</v>
      </c>
      <c r="J55" s="79">
        <v>8600</v>
      </c>
      <c r="K55" s="79">
        <v>8600</v>
      </c>
      <c r="L55" s="79">
        <v>1400</v>
      </c>
      <c r="M55" s="655">
        <f t="shared" si="2"/>
        <v>0.16279069767441862</v>
      </c>
      <c r="N55" s="464"/>
    </row>
    <row r="56" spans="1:14" ht="15.75" thickBot="1" x14ac:dyDescent="0.3">
      <c r="A56" s="77">
        <v>312</v>
      </c>
      <c r="B56" s="165" t="s">
        <v>540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20">
        <v>3200</v>
      </c>
      <c r="I56" s="79">
        <v>3200</v>
      </c>
      <c r="J56" s="79">
        <v>3200</v>
      </c>
      <c r="K56" s="79">
        <v>3200</v>
      </c>
      <c r="L56" s="79"/>
      <c r="M56" s="655">
        <f t="shared" si="2"/>
        <v>0</v>
      </c>
      <c r="N56" s="464"/>
    </row>
    <row r="57" spans="1:14" ht="15.75" thickBot="1" x14ac:dyDescent="0.3">
      <c r="A57" s="74">
        <v>312</v>
      </c>
      <c r="B57" s="82" t="s">
        <v>60</v>
      </c>
      <c r="C57" s="75">
        <v>0</v>
      </c>
      <c r="D57" s="75">
        <v>0</v>
      </c>
      <c r="E57" s="633">
        <f>2000</f>
        <v>2000</v>
      </c>
      <c r="F57" s="75">
        <f>2000</f>
        <v>2000</v>
      </c>
      <c r="G57" s="75">
        <f>2000</f>
        <v>2000</v>
      </c>
      <c r="H57" s="75">
        <f>2000</f>
        <v>2000</v>
      </c>
      <c r="I57" s="75">
        <f>2000</f>
        <v>2000</v>
      </c>
      <c r="J57" s="75">
        <f>2000</f>
        <v>2000</v>
      </c>
      <c r="K57" s="75">
        <f>2000</f>
        <v>2000</v>
      </c>
      <c r="L57" s="75">
        <v>2000</v>
      </c>
      <c r="M57" s="655">
        <f t="shared" si="2"/>
        <v>1</v>
      </c>
    </row>
    <row r="58" spans="1:14" x14ac:dyDescent="0.25">
      <c r="A58" s="71">
        <v>312</v>
      </c>
      <c r="B58" s="352" t="s">
        <v>61</v>
      </c>
      <c r="C58" s="83">
        <v>5000</v>
      </c>
      <c r="D58" s="83">
        <v>5000</v>
      </c>
      <c r="E58" s="83">
        <v>5000</v>
      </c>
      <c r="F58" s="83">
        <v>5000</v>
      </c>
      <c r="G58" s="83">
        <v>5000</v>
      </c>
      <c r="H58" s="83">
        <v>5000</v>
      </c>
      <c r="I58" s="83">
        <v>5000</v>
      </c>
      <c r="J58" s="83">
        <v>5000</v>
      </c>
      <c r="K58" s="83">
        <v>5000</v>
      </c>
      <c r="L58" s="83">
        <v>4838</v>
      </c>
      <c r="M58" s="655">
        <f t="shared" si="2"/>
        <v>0.96760000000000002</v>
      </c>
    </row>
    <row r="59" spans="1:14" x14ac:dyDescent="0.25">
      <c r="A59" s="84">
        <v>312</v>
      </c>
      <c r="B59" s="362" t="s">
        <v>62</v>
      </c>
      <c r="C59" s="21">
        <v>3700</v>
      </c>
      <c r="D59" s="21">
        <v>3700</v>
      </c>
      <c r="E59" s="21">
        <v>3700</v>
      </c>
      <c r="F59" s="21">
        <v>3700</v>
      </c>
      <c r="G59" s="21">
        <v>3700</v>
      </c>
      <c r="H59" s="21">
        <v>3700</v>
      </c>
      <c r="I59" s="21">
        <v>3700</v>
      </c>
      <c r="J59" s="21">
        <v>3700</v>
      </c>
      <c r="K59" s="21">
        <v>3700</v>
      </c>
      <c r="L59" s="21">
        <v>3343</v>
      </c>
      <c r="M59" s="655">
        <f t="shared" si="2"/>
        <v>0.9035135135135135</v>
      </c>
    </row>
    <row r="60" spans="1:14" x14ac:dyDescent="0.25">
      <c r="A60" s="84">
        <v>312</v>
      </c>
      <c r="B60" s="363" t="s">
        <v>320</v>
      </c>
      <c r="C60" s="33">
        <v>3000</v>
      </c>
      <c r="D60" s="33">
        <v>3000</v>
      </c>
      <c r="E60" s="651">
        <f t="shared" ref="E60:K60" si="20">3000+2406</f>
        <v>5406</v>
      </c>
      <c r="F60" s="33">
        <f t="shared" si="20"/>
        <v>5406</v>
      </c>
      <c r="G60" s="33">
        <f t="shared" si="20"/>
        <v>5406</v>
      </c>
      <c r="H60" s="33">
        <f t="shared" si="20"/>
        <v>5406</v>
      </c>
      <c r="I60" s="33">
        <f t="shared" si="20"/>
        <v>5406</v>
      </c>
      <c r="J60" s="33">
        <f t="shared" si="20"/>
        <v>5406</v>
      </c>
      <c r="K60" s="33">
        <f t="shared" si="20"/>
        <v>5406</v>
      </c>
      <c r="L60" s="33">
        <v>5406</v>
      </c>
      <c r="M60" s="655">
        <f t="shared" si="2"/>
        <v>1</v>
      </c>
    </row>
    <row r="61" spans="1:14" x14ac:dyDescent="0.25">
      <c r="A61" s="71">
        <v>312</v>
      </c>
      <c r="B61" s="118" t="s">
        <v>400</v>
      </c>
      <c r="C61" s="16">
        <f t="shared" ref="C61:K61" si="21">89800-64300</f>
        <v>25500</v>
      </c>
      <c r="D61" s="16">
        <f t="shared" si="21"/>
        <v>25500</v>
      </c>
      <c r="E61" s="16">
        <f t="shared" si="21"/>
        <v>25500</v>
      </c>
      <c r="F61" s="16">
        <f t="shared" si="21"/>
        <v>25500</v>
      </c>
      <c r="G61" s="16">
        <f t="shared" si="21"/>
        <v>25500</v>
      </c>
      <c r="H61" s="16">
        <f t="shared" si="21"/>
        <v>25500</v>
      </c>
      <c r="I61" s="16">
        <f t="shared" si="21"/>
        <v>25500</v>
      </c>
      <c r="J61" s="16">
        <f t="shared" si="21"/>
        <v>25500</v>
      </c>
      <c r="K61" s="16">
        <f t="shared" si="21"/>
        <v>25500</v>
      </c>
      <c r="L61" s="16">
        <v>0</v>
      </c>
      <c r="M61" s="655">
        <f t="shared" si="2"/>
        <v>0</v>
      </c>
    </row>
    <row r="62" spans="1:14" ht="15.75" thickBot="1" x14ac:dyDescent="0.3">
      <c r="A62" s="77">
        <v>312</v>
      </c>
      <c r="B62" s="165" t="s">
        <v>64</v>
      </c>
      <c r="C62" s="79">
        <v>46400</v>
      </c>
      <c r="D62" s="79">
        <v>46400</v>
      </c>
      <c r="E62" s="79">
        <v>46400</v>
      </c>
      <c r="F62" s="79">
        <v>46400</v>
      </c>
      <c r="G62" s="79">
        <v>46400</v>
      </c>
      <c r="H62" s="79">
        <v>46400</v>
      </c>
      <c r="I62" s="79">
        <v>46400</v>
      </c>
      <c r="J62" s="79">
        <v>46400</v>
      </c>
      <c r="K62" s="79">
        <v>46400</v>
      </c>
      <c r="L62" s="79">
        <v>0</v>
      </c>
      <c r="M62" s="655">
        <f t="shared" si="2"/>
        <v>0</v>
      </c>
    </row>
    <row r="63" spans="1:14" x14ac:dyDescent="0.25">
      <c r="A63" s="71">
        <v>315</v>
      </c>
      <c r="B63" s="76" t="s">
        <v>59</v>
      </c>
      <c r="C63" s="16">
        <v>3000</v>
      </c>
      <c r="D63" s="16">
        <v>3000</v>
      </c>
      <c r="E63" s="16">
        <v>3000</v>
      </c>
      <c r="F63" s="16">
        <v>3000</v>
      </c>
      <c r="G63" s="16">
        <v>3000</v>
      </c>
      <c r="H63" s="16">
        <v>3000</v>
      </c>
      <c r="I63" s="16">
        <v>3000</v>
      </c>
      <c r="J63" s="16">
        <v>3000</v>
      </c>
      <c r="K63" s="16">
        <v>3000</v>
      </c>
      <c r="L63" s="16">
        <v>0</v>
      </c>
      <c r="M63" s="655">
        <f t="shared" si="2"/>
        <v>0</v>
      </c>
    </row>
    <row r="64" spans="1:14" ht="15.75" thickBot="1" x14ac:dyDescent="0.3">
      <c r="A64" s="77">
        <v>315</v>
      </c>
      <c r="B64" s="78" t="s">
        <v>319</v>
      </c>
      <c r="C64" s="79">
        <v>200</v>
      </c>
      <c r="D64" s="79">
        <v>200</v>
      </c>
      <c r="E64" s="79">
        <v>200</v>
      </c>
      <c r="F64" s="79">
        <v>200</v>
      </c>
      <c r="G64" s="79">
        <v>200</v>
      </c>
      <c r="H64" s="79">
        <v>200</v>
      </c>
      <c r="I64" s="79">
        <v>200</v>
      </c>
      <c r="J64" s="79">
        <v>200</v>
      </c>
      <c r="K64" s="79">
        <v>200</v>
      </c>
      <c r="L64" s="79">
        <v>0</v>
      </c>
      <c r="M64" s="655">
        <f t="shared" si="2"/>
        <v>0</v>
      </c>
    </row>
    <row r="65" spans="1:21" ht="15.75" x14ac:dyDescent="0.25">
      <c r="A65" s="521">
        <v>312</v>
      </c>
      <c r="B65" s="522" t="s">
        <v>254</v>
      </c>
      <c r="C65" s="526">
        <v>0</v>
      </c>
      <c r="D65" s="526">
        <v>0</v>
      </c>
      <c r="E65" s="526">
        <v>0</v>
      </c>
      <c r="F65" s="526">
        <v>0</v>
      </c>
      <c r="G65" s="526">
        <v>0</v>
      </c>
      <c r="H65" s="526">
        <v>0</v>
      </c>
      <c r="I65" s="526">
        <v>0</v>
      </c>
      <c r="J65" s="526">
        <v>0</v>
      </c>
      <c r="K65" s="526">
        <v>0</v>
      </c>
      <c r="L65" s="526">
        <v>0</v>
      </c>
      <c r="M65" s="655">
        <v>0</v>
      </c>
    </row>
    <row r="66" spans="1:21" ht="16.5" thickBot="1" x14ac:dyDescent="0.3">
      <c r="A66" s="86">
        <v>312</v>
      </c>
      <c r="B66" s="87" t="s">
        <v>65</v>
      </c>
      <c r="C66" s="88">
        <v>534950</v>
      </c>
      <c r="D66" s="88">
        <v>534950</v>
      </c>
      <c r="E66" s="620">
        <f>534950+21819</f>
        <v>556769</v>
      </c>
      <c r="F66" s="620">
        <f>534950+21819+1400</f>
        <v>558169</v>
      </c>
      <c r="G66" s="695">
        <f>534950+21819+1400</f>
        <v>558169</v>
      </c>
      <c r="H66" s="620">
        <f>534950+21819+1400+600+138</f>
        <v>558907</v>
      </c>
      <c r="I66" s="695">
        <f>534950+21819+1400+600+138</f>
        <v>558907</v>
      </c>
      <c r="J66" s="620">
        <f>534950+21819+1400+600+138+337+2884</f>
        <v>562128</v>
      </c>
      <c r="K66" s="695">
        <f>534950+21819+1400+600+138+3221</f>
        <v>562128</v>
      </c>
      <c r="L66" s="88">
        <v>195997</v>
      </c>
      <c r="M66" s="655">
        <f t="shared" si="2"/>
        <v>0.34866969800472492</v>
      </c>
      <c r="N66" s="464">
        <f t="shared" ref="N66:U66" si="22">D66-C66</f>
        <v>0</v>
      </c>
      <c r="O66" s="464">
        <f t="shared" si="22"/>
        <v>21819</v>
      </c>
      <c r="P66" s="464">
        <f t="shared" si="22"/>
        <v>1400</v>
      </c>
      <c r="Q66" s="464">
        <f t="shared" si="22"/>
        <v>0</v>
      </c>
      <c r="R66" s="464">
        <f t="shared" si="22"/>
        <v>738</v>
      </c>
      <c r="S66" s="464">
        <f t="shared" si="22"/>
        <v>0</v>
      </c>
      <c r="T66" s="464">
        <f t="shared" si="22"/>
        <v>3221</v>
      </c>
      <c r="U66" s="464">
        <f t="shared" si="22"/>
        <v>0</v>
      </c>
    </row>
    <row r="67" spans="1:21" ht="16.5" thickBot="1" x14ac:dyDescent="0.3">
      <c r="A67" s="89" t="s">
        <v>66</v>
      </c>
      <c r="B67" s="364"/>
      <c r="C67" s="90">
        <f t="shared" ref="C67:L67" si="23">SUM(C3+C11+C32+C34+C41)</f>
        <v>2231928</v>
      </c>
      <c r="D67" s="90">
        <f t="shared" si="23"/>
        <v>2231928</v>
      </c>
      <c r="E67" s="90">
        <f t="shared" si="23"/>
        <v>2258158</v>
      </c>
      <c r="F67" s="90">
        <f t="shared" si="23"/>
        <v>2264558</v>
      </c>
      <c r="G67" s="90">
        <f t="shared" si="23"/>
        <v>2270558</v>
      </c>
      <c r="H67" s="90">
        <f t="shared" si="23"/>
        <v>2274496</v>
      </c>
      <c r="I67" s="90">
        <f t="shared" si="23"/>
        <v>2285396</v>
      </c>
      <c r="J67" s="90">
        <f t="shared" ref="J67:K67" si="24">SUM(J3+J11+J32+J34+J41)</f>
        <v>2291617</v>
      </c>
      <c r="K67" s="90">
        <f t="shared" si="24"/>
        <v>2291960</v>
      </c>
      <c r="L67" s="90">
        <f t="shared" si="23"/>
        <v>791829</v>
      </c>
      <c r="M67" s="655">
        <f t="shared" si="2"/>
        <v>0.3454811602296724</v>
      </c>
      <c r="N67" s="464">
        <f t="shared" ref="N67:N74" si="25">D67-C67</f>
        <v>0</v>
      </c>
      <c r="O67" s="464">
        <f t="shared" ref="O67:U74" si="26">E67-D67</f>
        <v>26230</v>
      </c>
      <c r="P67" s="464">
        <f t="shared" si="26"/>
        <v>6400</v>
      </c>
      <c r="Q67" s="464">
        <f t="shared" si="26"/>
        <v>6000</v>
      </c>
      <c r="R67" s="464">
        <f t="shared" si="26"/>
        <v>3938</v>
      </c>
      <c r="S67" s="464">
        <f t="shared" si="26"/>
        <v>10900</v>
      </c>
      <c r="T67" s="464">
        <f t="shared" si="26"/>
        <v>6221</v>
      </c>
      <c r="U67" s="464">
        <f t="shared" si="26"/>
        <v>343</v>
      </c>
    </row>
    <row r="68" spans="1:21" x14ac:dyDescent="0.25">
      <c r="A68" s="91" t="s">
        <v>67</v>
      </c>
      <c r="B68" s="92" t="s">
        <v>68</v>
      </c>
      <c r="C68" s="93">
        <v>2450</v>
      </c>
      <c r="D68" s="93">
        <v>2450</v>
      </c>
      <c r="E68" s="93">
        <v>2450</v>
      </c>
      <c r="F68" s="93">
        <v>2450</v>
      </c>
      <c r="G68" s="93">
        <v>2450</v>
      </c>
      <c r="H68" s="93">
        <v>2450</v>
      </c>
      <c r="I68" s="93">
        <v>2450</v>
      </c>
      <c r="J68" s="93">
        <v>2450</v>
      </c>
      <c r="K68" s="93">
        <v>2450</v>
      </c>
      <c r="L68" s="93">
        <v>0</v>
      </c>
      <c r="M68" s="655">
        <f t="shared" ref="M68:M130" si="27">L68/K68</f>
        <v>0</v>
      </c>
      <c r="N68" s="464">
        <f t="shared" si="25"/>
        <v>0</v>
      </c>
      <c r="O68" s="464">
        <f t="shared" si="26"/>
        <v>0</v>
      </c>
      <c r="P68" s="464">
        <f t="shared" si="26"/>
        <v>0</v>
      </c>
      <c r="Q68" s="464">
        <f t="shared" si="26"/>
        <v>0</v>
      </c>
      <c r="R68" s="464">
        <f t="shared" si="26"/>
        <v>0</v>
      </c>
      <c r="S68" s="464">
        <f t="shared" si="26"/>
        <v>0</v>
      </c>
      <c r="T68" s="464">
        <f t="shared" si="26"/>
        <v>0</v>
      </c>
      <c r="U68" s="464">
        <f t="shared" si="26"/>
        <v>0</v>
      </c>
    </row>
    <row r="69" spans="1:21" ht="15.75" thickBot="1" x14ac:dyDescent="0.3">
      <c r="A69" s="94" t="s">
        <v>67</v>
      </c>
      <c r="B69" s="92" t="s">
        <v>69</v>
      </c>
      <c r="C69" s="95">
        <v>2000</v>
      </c>
      <c r="D69" s="95">
        <v>2000</v>
      </c>
      <c r="E69" s="95">
        <v>2000</v>
      </c>
      <c r="F69" s="95">
        <v>2000</v>
      </c>
      <c r="G69" s="95">
        <v>2000</v>
      </c>
      <c r="H69" s="95">
        <v>2000</v>
      </c>
      <c r="I69" s="95">
        <v>2000</v>
      </c>
      <c r="J69" s="95">
        <v>2000</v>
      </c>
      <c r="K69" s="95">
        <v>2000</v>
      </c>
      <c r="L69" s="95">
        <v>456</v>
      </c>
      <c r="M69" s="655">
        <f t="shared" si="27"/>
        <v>0.22800000000000001</v>
      </c>
      <c r="N69" s="464">
        <f t="shared" si="25"/>
        <v>0</v>
      </c>
      <c r="O69" s="464">
        <f t="shared" si="26"/>
        <v>0</v>
      </c>
      <c r="P69" s="464">
        <f t="shared" si="26"/>
        <v>0</v>
      </c>
      <c r="Q69" s="464">
        <f t="shared" si="26"/>
        <v>0</v>
      </c>
      <c r="R69" s="464">
        <f t="shared" si="26"/>
        <v>0</v>
      </c>
      <c r="S69" s="464">
        <f t="shared" si="26"/>
        <v>0</v>
      </c>
      <c r="T69" s="464">
        <f t="shared" si="26"/>
        <v>0</v>
      </c>
      <c r="U69" s="464">
        <f t="shared" si="26"/>
        <v>0</v>
      </c>
    </row>
    <row r="70" spans="1:21" ht="15.75" thickBot="1" x14ac:dyDescent="0.3">
      <c r="A70" s="813" t="s">
        <v>71</v>
      </c>
      <c r="B70" s="814"/>
      <c r="C70" s="99">
        <f t="shared" ref="C70:L70" si="28">SUM(C68:C69)</f>
        <v>4450</v>
      </c>
      <c r="D70" s="99">
        <f t="shared" si="28"/>
        <v>4450</v>
      </c>
      <c r="E70" s="99">
        <f t="shared" si="28"/>
        <v>4450</v>
      </c>
      <c r="F70" s="99">
        <f t="shared" si="28"/>
        <v>4450</v>
      </c>
      <c r="G70" s="99">
        <f t="shared" si="28"/>
        <v>4450</v>
      </c>
      <c r="H70" s="99">
        <f t="shared" si="28"/>
        <v>4450</v>
      </c>
      <c r="I70" s="99">
        <f t="shared" si="28"/>
        <v>4450</v>
      </c>
      <c r="J70" s="99">
        <f t="shared" ref="J70:K70" si="29">SUM(J68:J69)</f>
        <v>4450</v>
      </c>
      <c r="K70" s="99">
        <f t="shared" si="29"/>
        <v>4450</v>
      </c>
      <c r="L70" s="99">
        <f t="shared" si="28"/>
        <v>456</v>
      </c>
      <c r="M70" s="655">
        <f t="shared" si="27"/>
        <v>0.10247191011235955</v>
      </c>
      <c r="N70" s="464">
        <f t="shared" si="25"/>
        <v>0</v>
      </c>
      <c r="O70" s="464">
        <f t="shared" si="26"/>
        <v>0</v>
      </c>
      <c r="P70" s="464">
        <f t="shared" si="26"/>
        <v>0</v>
      </c>
      <c r="Q70" s="464">
        <f t="shared" si="26"/>
        <v>0</v>
      </c>
      <c r="R70" s="464">
        <f t="shared" si="26"/>
        <v>0</v>
      </c>
      <c r="S70" s="464">
        <f t="shared" si="26"/>
        <v>0</v>
      </c>
      <c r="T70" s="464">
        <f t="shared" si="26"/>
        <v>0</v>
      </c>
      <c r="U70" s="464">
        <f t="shared" si="26"/>
        <v>0</v>
      </c>
    </row>
    <row r="71" spans="1:21" ht="15.75" thickBot="1" x14ac:dyDescent="0.3">
      <c r="A71" s="100" t="s">
        <v>67</v>
      </c>
      <c r="B71" s="101" t="s">
        <v>72</v>
      </c>
      <c r="C71" s="455">
        <v>11470</v>
      </c>
      <c r="D71" s="455">
        <v>11470</v>
      </c>
      <c r="E71" s="455">
        <v>11470</v>
      </c>
      <c r="F71" s="455">
        <v>11470</v>
      </c>
      <c r="G71" s="455">
        <v>11470</v>
      </c>
      <c r="H71" s="455">
        <v>11470</v>
      </c>
      <c r="I71" s="455">
        <v>11470</v>
      </c>
      <c r="J71" s="455">
        <v>11470</v>
      </c>
      <c r="K71" s="455">
        <v>11470</v>
      </c>
      <c r="L71" s="455">
        <v>4205</v>
      </c>
      <c r="M71" s="655">
        <f t="shared" si="27"/>
        <v>0.36660854402789889</v>
      </c>
      <c r="N71" s="464">
        <f t="shared" si="25"/>
        <v>0</v>
      </c>
      <c r="O71" s="464">
        <f t="shared" si="26"/>
        <v>0</v>
      </c>
      <c r="P71" s="464">
        <f t="shared" si="26"/>
        <v>0</v>
      </c>
      <c r="Q71" s="464">
        <f t="shared" si="26"/>
        <v>0</v>
      </c>
      <c r="R71" s="464">
        <f t="shared" si="26"/>
        <v>0</v>
      </c>
      <c r="S71" s="464">
        <f t="shared" si="26"/>
        <v>0</v>
      </c>
      <c r="T71" s="464">
        <f t="shared" si="26"/>
        <v>0</v>
      </c>
      <c r="U71" s="464">
        <f t="shared" si="26"/>
        <v>0</v>
      </c>
    </row>
    <row r="72" spans="1:21" ht="15.75" thickBot="1" x14ac:dyDescent="0.3">
      <c r="A72" s="813" t="s">
        <v>275</v>
      </c>
      <c r="B72" s="814"/>
      <c r="C72" s="451">
        <f t="shared" ref="C72:L72" si="30">SUM(C71:C71)</f>
        <v>11470</v>
      </c>
      <c r="D72" s="451">
        <f t="shared" si="30"/>
        <v>11470</v>
      </c>
      <c r="E72" s="451">
        <f t="shared" si="30"/>
        <v>11470</v>
      </c>
      <c r="F72" s="451">
        <f t="shared" si="30"/>
        <v>11470</v>
      </c>
      <c r="G72" s="451">
        <f t="shared" si="30"/>
        <v>11470</v>
      </c>
      <c r="H72" s="451">
        <f t="shared" si="30"/>
        <v>11470</v>
      </c>
      <c r="I72" s="451">
        <f t="shared" si="30"/>
        <v>11470</v>
      </c>
      <c r="J72" s="451">
        <f t="shared" ref="J72:K72" si="31">SUM(J71:J71)</f>
        <v>11470</v>
      </c>
      <c r="K72" s="451">
        <f t="shared" si="31"/>
        <v>11470</v>
      </c>
      <c r="L72" s="451">
        <f t="shared" si="30"/>
        <v>4205</v>
      </c>
      <c r="M72" s="655">
        <f t="shared" si="27"/>
        <v>0.36660854402789889</v>
      </c>
      <c r="N72" s="464">
        <f t="shared" si="25"/>
        <v>0</v>
      </c>
      <c r="O72" s="464">
        <f t="shared" si="26"/>
        <v>0</v>
      </c>
      <c r="P72" s="464">
        <f t="shared" si="26"/>
        <v>0</v>
      </c>
      <c r="Q72" s="464">
        <f t="shared" si="26"/>
        <v>0</v>
      </c>
      <c r="R72" s="464">
        <f t="shared" si="26"/>
        <v>0</v>
      </c>
      <c r="S72" s="464">
        <f t="shared" si="26"/>
        <v>0</v>
      </c>
      <c r="T72" s="464">
        <f t="shared" si="26"/>
        <v>0</v>
      </c>
      <c r="U72" s="464">
        <f t="shared" si="26"/>
        <v>0</v>
      </c>
    </row>
    <row r="73" spans="1:21" ht="16.5" thickBot="1" x14ac:dyDescent="0.3">
      <c r="A73" s="815" t="s">
        <v>73</v>
      </c>
      <c r="B73" s="816"/>
      <c r="C73" s="103">
        <f t="shared" ref="C73:L73" si="32">C70+C72</f>
        <v>15920</v>
      </c>
      <c r="D73" s="103">
        <f t="shared" si="32"/>
        <v>15920</v>
      </c>
      <c r="E73" s="103">
        <f t="shared" si="32"/>
        <v>15920</v>
      </c>
      <c r="F73" s="103">
        <f t="shared" si="32"/>
        <v>15920</v>
      </c>
      <c r="G73" s="103">
        <f t="shared" si="32"/>
        <v>15920</v>
      </c>
      <c r="H73" s="103">
        <f t="shared" si="32"/>
        <v>15920</v>
      </c>
      <c r="I73" s="103">
        <f t="shared" si="32"/>
        <v>15920</v>
      </c>
      <c r="J73" s="103">
        <f t="shared" ref="J73:K73" si="33">J70+J72</f>
        <v>15920</v>
      </c>
      <c r="K73" s="103">
        <f t="shared" si="33"/>
        <v>15920</v>
      </c>
      <c r="L73" s="103">
        <f t="shared" si="32"/>
        <v>4661</v>
      </c>
      <c r="M73" s="655">
        <f t="shared" si="27"/>
        <v>0.29277638190954774</v>
      </c>
      <c r="N73" s="464">
        <f t="shared" si="25"/>
        <v>0</v>
      </c>
      <c r="O73" s="464">
        <f t="shared" si="26"/>
        <v>0</v>
      </c>
      <c r="P73" s="464">
        <f t="shared" si="26"/>
        <v>0</v>
      </c>
      <c r="Q73" s="464">
        <f t="shared" si="26"/>
        <v>0</v>
      </c>
      <c r="R73" s="464">
        <f t="shared" si="26"/>
        <v>0</v>
      </c>
      <c r="S73" s="464">
        <f t="shared" si="26"/>
        <v>0</v>
      </c>
      <c r="T73" s="464">
        <f t="shared" si="26"/>
        <v>0</v>
      </c>
      <c r="U73" s="464">
        <f t="shared" si="26"/>
        <v>0</v>
      </c>
    </row>
    <row r="74" spans="1:21" ht="16.5" thickBot="1" x14ac:dyDescent="0.3">
      <c r="A74" s="89" t="s">
        <v>74</v>
      </c>
      <c r="B74" s="66"/>
      <c r="C74" s="90">
        <f t="shared" ref="C74:L74" si="34">C67+C73</f>
        <v>2247848</v>
      </c>
      <c r="D74" s="90">
        <f t="shared" si="34"/>
        <v>2247848</v>
      </c>
      <c r="E74" s="90">
        <f t="shared" si="34"/>
        <v>2274078</v>
      </c>
      <c r="F74" s="90">
        <f t="shared" si="34"/>
        <v>2280478</v>
      </c>
      <c r="G74" s="90">
        <f t="shared" si="34"/>
        <v>2286478</v>
      </c>
      <c r="H74" s="90">
        <f t="shared" si="34"/>
        <v>2290416</v>
      </c>
      <c r="I74" s="90">
        <f t="shared" si="34"/>
        <v>2301316</v>
      </c>
      <c r="J74" s="90">
        <f t="shared" ref="J74:K74" si="35">J67+J73</f>
        <v>2307537</v>
      </c>
      <c r="K74" s="90">
        <f t="shared" si="35"/>
        <v>2307880</v>
      </c>
      <c r="L74" s="90">
        <f t="shared" si="34"/>
        <v>796490</v>
      </c>
      <c r="M74" s="655">
        <f t="shared" si="27"/>
        <v>0.34511759710210238</v>
      </c>
      <c r="N74" s="464">
        <f t="shared" si="25"/>
        <v>0</v>
      </c>
      <c r="O74" s="464">
        <f t="shared" si="26"/>
        <v>26230</v>
      </c>
      <c r="P74" s="464">
        <f t="shared" si="26"/>
        <v>6400</v>
      </c>
      <c r="Q74" s="464">
        <f t="shared" si="26"/>
        <v>6000</v>
      </c>
      <c r="R74" s="464">
        <f t="shared" si="26"/>
        <v>3938</v>
      </c>
      <c r="S74" s="464">
        <f t="shared" si="26"/>
        <v>10900</v>
      </c>
      <c r="T74" s="464">
        <f t="shared" si="26"/>
        <v>6221</v>
      </c>
      <c r="U74" s="464">
        <f t="shared" si="26"/>
        <v>343</v>
      </c>
    </row>
    <row r="75" spans="1:21" x14ac:dyDescent="0.25">
      <c r="A75" s="1"/>
      <c r="B75" s="1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655"/>
    </row>
    <row r="76" spans="1:21" ht="15.75" x14ac:dyDescent="0.25">
      <c r="A76" s="105"/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655"/>
    </row>
    <row r="77" spans="1:21" ht="18.75" thickBot="1" x14ac:dyDescent="0.3">
      <c r="A77" s="817" t="s">
        <v>75</v>
      </c>
      <c r="B77" s="818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655"/>
    </row>
    <row r="78" spans="1:21" ht="41.25" customHeight="1" thickBot="1" x14ac:dyDescent="0.3">
      <c r="A78" s="819" t="s">
        <v>1</v>
      </c>
      <c r="B78" s="820"/>
      <c r="C78" s="416" t="s">
        <v>376</v>
      </c>
      <c r="D78" s="416" t="s">
        <v>509</v>
      </c>
      <c r="E78" s="416" t="s">
        <v>511</v>
      </c>
      <c r="F78" s="416" t="s">
        <v>512</v>
      </c>
      <c r="G78" s="416" t="s">
        <v>377</v>
      </c>
      <c r="H78" s="416" t="s">
        <v>541</v>
      </c>
      <c r="I78" s="416" t="s">
        <v>497</v>
      </c>
      <c r="J78" s="416" t="s">
        <v>556</v>
      </c>
      <c r="K78" s="416" t="s">
        <v>561</v>
      </c>
      <c r="L78" s="416" t="s">
        <v>588</v>
      </c>
      <c r="M78" s="655"/>
    </row>
    <row r="79" spans="1:21" ht="15.75" thickBot="1" x14ac:dyDescent="0.3">
      <c r="A79" s="108" t="s">
        <v>76</v>
      </c>
      <c r="B79" s="109"/>
      <c r="C79" s="112">
        <f t="shared" ref="C79:L79" si="36">SUM(C80:C84)</f>
        <v>290310</v>
      </c>
      <c r="D79" s="112">
        <f t="shared" si="36"/>
        <v>290310</v>
      </c>
      <c r="E79" s="112">
        <f t="shared" si="36"/>
        <v>290310</v>
      </c>
      <c r="F79" s="112">
        <f t="shared" si="36"/>
        <v>290310</v>
      </c>
      <c r="G79" s="112">
        <f t="shared" si="36"/>
        <v>290310</v>
      </c>
      <c r="H79" s="112">
        <f t="shared" si="36"/>
        <v>290310</v>
      </c>
      <c r="I79" s="112">
        <f t="shared" si="36"/>
        <v>290910</v>
      </c>
      <c r="J79" s="112">
        <f t="shared" ref="J79:K79" si="37">SUM(J80:J84)</f>
        <v>290910</v>
      </c>
      <c r="K79" s="112">
        <f t="shared" si="37"/>
        <v>290910</v>
      </c>
      <c r="L79" s="112">
        <f t="shared" si="36"/>
        <v>78790</v>
      </c>
      <c r="M79" s="655">
        <f t="shared" si="27"/>
        <v>0.27083977862569181</v>
      </c>
    </row>
    <row r="80" spans="1:21" x14ac:dyDescent="0.25">
      <c r="A80" s="113" t="s">
        <v>77</v>
      </c>
      <c r="B80" s="85" t="s">
        <v>78</v>
      </c>
      <c r="C80" s="56">
        <f t="shared" ref="C80:H80" si="38">143650</f>
        <v>143650</v>
      </c>
      <c r="D80" s="56">
        <f t="shared" si="38"/>
        <v>143650</v>
      </c>
      <c r="E80" s="56">
        <f t="shared" si="38"/>
        <v>143650</v>
      </c>
      <c r="F80" s="56">
        <f t="shared" si="38"/>
        <v>143650</v>
      </c>
      <c r="G80" s="56">
        <f t="shared" si="38"/>
        <v>143650</v>
      </c>
      <c r="H80" s="56">
        <f t="shared" si="38"/>
        <v>143650</v>
      </c>
      <c r="I80" s="623">
        <f>143650+100</f>
        <v>143750</v>
      </c>
      <c r="J80" s="56">
        <f>143650+100</f>
        <v>143750</v>
      </c>
      <c r="K80" s="56">
        <f>143650+100</f>
        <v>143750</v>
      </c>
      <c r="L80" s="56">
        <v>33075</v>
      </c>
      <c r="M80" s="655">
        <f t="shared" si="27"/>
        <v>0.23008695652173913</v>
      </c>
    </row>
    <row r="81" spans="1:13" x14ac:dyDescent="0.25">
      <c r="A81" s="117" t="s">
        <v>79</v>
      </c>
      <c r="B81" s="118" t="s">
        <v>80</v>
      </c>
      <c r="C81" s="61">
        <v>83740</v>
      </c>
      <c r="D81" s="61">
        <v>83740</v>
      </c>
      <c r="E81" s="61">
        <v>83740</v>
      </c>
      <c r="F81" s="61">
        <v>83740</v>
      </c>
      <c r="G81" s="61">
        <v>83740</v>
      </c>
      <c r="H81" s="61">
        <v>83740</v>
      </c>
      <c r="I81" s="725">
        <f>83740+500</f>
        <v>84240</v>
      </c>
      <c r="J81" s="61">
        <f>83740+500</f>
        <v>84240</v>
      </c>
      <c r="K81" s="61">
        <f>83740+500</f>
        <v>84240</v>
      </c>
      <c r="L81" s="61">
        <v>26876</v>
      </c>
      <c r="M81" s="655">
        <f t="shared" si="27"/>
        <v>0.31904083570750236</v>
      </c>
    </row>
    <row r="82" spans="1:13" x14ac:dyDescent="0.25">
      <c r="A82" s="117" t="s">
        <v>81</v>
      </c>
      <c r="B82" s="118" t="s">
        <v>82</v>
      </c>
      <c r="C82" s="61">
        <f t="shared" ref="C82:K82" si="39">4000-1000</f>
        <v>3000</v>
      </c>
      <c r="D82" s="61">
        <f t="shared" si="39"/>
        <v>3000</v>
      </c>
      <c r="E82" s="61">
        <f t="shared" si="39"/>
        <v>3000</v>
      </c>
      <c r="F82" s="61">
        <f t="shared" si="39"/>
        <v>3000</v>
      </c>
      <c r="G82" s="61">
        <f t="shared" si="39"/>
        <v>3000</v>
      </c>
      <c r="H82" s="61">
        <f t="shared" si="39"/>
        <v>3000</v>
      </c>
      <c r="I82" s="61">
        <f t="shared" si="39"/>
        <v>3000</v>
      </c>
      <c r="J82" s="61">
        <f t="shared" si="39"/>
        <v>3000</v>
      </c>
      <c r="K82" s="61">
        <f t="shared" si="39"/>
        <v>3000</v>
      </c>
      <c r="L82" s="61">
        <v>1184</v>
      </c>
      <c r="M82" s="655">
        <f t="shared" si="27"/>
        <v>0.39466666666666667</v>
      </c>
    </row>
    <row r="83" spans="1:13" x14ac:dyDescent="0.25">
      <c r="A83" s="121" t="s">
        <v>83</v>
      </c>
      <c r="B83" s="118" t="s">
        <v>84</v>
      </c>
      <c r="C83" s="61">
        <v>55920</v>
      </c>
      <c r="D83" s="61">
        <v>55920</v>
      </c>
      <c r="E83" s="61">
        <v>55920</v>
      </c>
      <c r="F83" s="61">
        <v>55920</v>
      </c>
      <c r="G83" s="61">
        <v>55920</v>
      </c>
      <c r="H83" s="61">
        <v>55920</v>
      </c>
      <c r="I83" s="61">
        <v>55920</v>
      </c>
      <c r="J83" s="61">
        <v>55920</v>
      </c>
      <c r="K83" s="61">
        <v>55920</v>
      </c>
      <c r="L83" s="61">
        <v>17655</v>
      </c>
      <c r="M83" s="655">
        <f t="shared" si="27"/>
        <v>0.31571888412017168</v>
      </c>
    </row>
    <row r="84" spans="1:13" ht="15.75" thickBot="1" x14ac:dyDescent="0.3">
      <c r="A84" s="123" t="s">
        <v>85</v>
      </c>
      <c r="B84" s="124" t="s">
        <v>236</v>
      </c>
      <c r="C84" s="128">
        <v>4000</v>
      </c>
      <c r="D84" s="128">
        <v>4000</v>
      </c>
      <c r="E84" s="128">
        <v>4000</v>
      </c>
      <c r="F84" s="128">
        <v>4000</v>
      </c>
      <c r="G84" s="128">
        <v>4000</v>
      </c>
      <c r="H84" s="128">
        <v>4000</v>
      </c>
      <c r="I84" s="128">
        <v>4000</v>
      </c>
      <c r="J84" s="128">
        <v>4000</v>
      </c>
      <c r="K84" s="128">
        <v>4000</v>
      </c>
      <c r="L84" s="128">
        <v>0</v>
      </c>
      <c r="M84" s="655">
        <f t="shared" si="27"/>
        <v>0</v>
      </c>
    </row>
    <row r="85" spans="1:13" ht="15.75" thickBot="1" x14ac:dyDescent="0.3">
      <c r="A85" s="129" t="s">
        <v>86</v>
      </c>
      <c r="B85" s="130"/>
      <c r="C85" s="112">
        <f t="shared" ref="C85:L85" si="40">SUM(C86)</f>
        <v>14610</v>
      </c>
      <c r="D85" s="112">
        <f t="shared" si="40"/>
        <v>14610</v>
      </c>
      <c r="E85" s="112">
        <f t="shared" si="40"/>
        <v>14615</v>
      </c>
      <c r="F85" s="112">
        <f t="shared" si="40"/>
        <v>14615</v>
      </c>
      <c r="G85" s="112">
        <f t="shared" si="40"/>
        <v>12615</v>
      </c>
      <c r="H85" s="112">
        <f t="shared" si="40"/>
        <v>12615</v>
      </c>
      <c r="I85" s="112">
        <f t="shared" si="40"/>
        <v>12615</v>
      </c>
      <c r="J85" s="112">
        <f t="shared" si="40"/>
        <v>12615</v>
      </c>
      <c r="K85" s="112">
        <f t="shared" si="40"/>
        <v>12615</v>
      </c>
      <c r="L85" s="112">
        <f t="shared" si="40"/>
        <v>3381</v>
      </c>
      <c r="M85" s="655">
        <f t="shared" si="27"/>
        <v>0.26801426872770512</v>
      </c>
    </row>
    <row r="86" spans="1:13" ht="15.75" thickBot="1" x14ac:dyDescent="0.3">
      <c r="A86" s="131" t="s">
        <v>87</v>
      </c>
      <c r="B86" s="106" t="s">
        <v>281</v>
      </c>
      <c r="C86" s="134">
        <v>14610</v>
      </c>
      <c r="D86" s="134">
        <v>14610</v>
      </c>
      <c r="E86" s="621">
        <f>14610+5</f>
        <v>14615</v>
      </c>
      <c r="F86" s="134">
        <f>14610+5</f>
        <v>14615</v>
      </c>
      <c r="G86" s="621">
        <f>14610+5-2000</f>
        <v>12615</v>
      </c>
      <c r="H86" s="134">
        <f>14610+5-2000</f>
        <v>12615</v>
      </c>
      <c r="I86" s="134">
        <f>14610+5-2000</f>
        <v>12615</v>
      </c>
      <c r="J86" s="134">
        <f>14610+5-2000</f>
        <v>12615</v>
      </c>
      <c r="K86" s="134">
        <f>14610+5-2000</f>
        <v>12615</v>
      </c>
      <c r="L86" s="134">
        <v>3381</v>
      </c>
      <c r="M86" s="655">
        <f t="shared" si="27"/>
        <v>0.26801426872770512</v>
      </c>
    </row>
    <row r="87" spans="1:13" ht="15.75" thickBot="1" x14ac:dyDescent="0.3">
      <c r="A87" s="129" t="s">
        <v>88</v>
      </c>
      <c r="B87" s="130"/>
      <c r="C87" s="112">
        <f t="shared" ref="C87:L87" si="41">SUM(C88:C89)</f>
        <v>16500</v>
      </c>
      <c r="D87" s="112">
        <f t="shared" si="41"/>
        <v>16500</v>
      </c>
      <c r="E87" s="112">
        <f t="shared" si="41"/>
        <v>16500</v>
      </c>
      <c r="F87" s="112">
        <f t="shared" si="41"/>
        <v>16500</v>
      </c>
      <c r="G87" s="112">
        <f t="shared" si="41"/>
        <v>17000</v>
      </c>
      <c r="H87" s="112">
        <f t="shared" si="41"/>
        <v>17000</v>
      </c>
      <c r="I87" s="112">
        <f t="shared" si="41"/>
        <v>17000</v>
      </c>
      <c r="J87" s="112">
        <f t="shared" ref="J87:K87" si="42">SUM(J88:J89)</f>
        <v>17000</v>
      </c>
      <c r="K87" s="112">
        <f t="shared" si="42"/>
        <v>17000</v>
      </c>
      <c r="L87" s="112">
        <f t="shared" si="41"/>
        <v>2816</v>
      </c>
      <c r="M87" s="655">
        <f t="shared" si="27"/>
        <v>0.16564705882352943</v>
      </c>
    </row>
    <row r="88" spans="1:13" x14ac:dyDescent="0.25">
      <c r="A88" s="135" t="s">
        <v>89</v>
      </c>
      <c r="B88" s="136" t="s">
        <v>90</v>
      </c>
      <c r="C88" s="139">
        <v>14900</v>
      </c>
      <c r="D88" s="139">
        <v>14900</v>
      </c>
      <c r="E88" s="139">
        <f>14900</f>
        <v>14900</v>
      </c>
      <c r="F88" s="139">
        <f>14900</f>
        <v>14900</v>
      </c>
      <c r="G88" s="643">
        <f>14900+500</f>
        <v>15400</v>
      </c>
      <c r="H88" s="139">
        <f>14900+500</f>
        <v>15400</v>
      </c>
      <c r="I88" s="139">
        <f>14900+500</f>
        <v>15400</v>
      </c>
      <c r="J88" s="139">
        <f>14900+500</f>
        <v>15400</v>
      </c>
      <c r="K88" s="139">
        <f>14900+500</f>
        <v>15400</v>
      </c>
      <c r="L88" s="139">
        <v>2480</v>
      </c>
      <c r="M88" s="655">
        <f t="shared" si="27"/>
        <v>0.16103896103896104</v>
      </c>
    </row>
    <row r="89" spans="1:13" ht="15.75" thickBot="1" x14ac:dyDescent="0.3">
      <c r="A89" s="140" t="s">
        <v>91</v>
      </c>
      <c r="B89" s="141" t="s">
        <v>92</v>
      </c>
      <c r="C89" s="128">
        <v>1600</v>
      </c>
      <c r="D89" s="128">
        <v>1600</v>
      </c>
      <c r="E89" s="128">
        <v>1600</v>
      </c>
      <c r="F89" s="128">
        <v>1600</v>
      </c>
      <c r="G89" s="128">
        <v>1600</v>
      </c>
      <c r="H89" s="128">
        <v>1600</v>
      </c>
      <c r="I89" s="128">
        <v>1600</v>
      </c>
      <c r="J89" s="128">
        <v>1600</v>
      </c>
      <c r="K89" s="128">
        <v>1600</v>
      </c>
      <c r="L89" s="128">
        <v>336</v>
      </c>
      <c r="M89" s="655">
        <f t="shared" si="27"/>
        <v>0.21</v>
      </c>
    </row>
    <row r="90" spans="1:13" ht="15.75" thickBot="1" x14ac:dyDescent="0.3">
      <c r="A90" s="108" t="s">
        <v>93</v>
      </c>
      <c r="B90" s="144"/>
      <c r="C90" s="112">
        <f t="shared" ref="C90:L90" si="43">SUM(C91:C93)</f>
        <v>71400</v>
      </c>
      <c r="D90" s="112">
        <f t="shared" si="43"/>
        <v>71400</v>
      </c>
      <c r="E90" s="112">
        <f t="shared" si="43"/>
        <v>71400</v>
      </c>
      <c r="F90" s="112">
        <f t="shared" si="43"/>
        <v>71400</v>
      </c>
      <c r="G90" s="112">
        <f t="shared" si="43"/>
        <v>71400</v>
      </c>
      <c r="H90" s="112">
        <f t="shared" si="43"/>
        <v>71400</v>
      </c>
      <c r="I90" s="112">
        <f t="shared" si="43"/>
        <v>71400</v>
      </c>
      <c r="J90" s="112">
        <f t="shared" ref="J90:K90" si="44">SUM(J91:J93)</f>
        <v>71400</v>
      </c>
      <c r="K90" s="112">
        <f t="shared" si="44"/>
        <v>71643</v>
      </c>
      <c r="L90" s="112">
        <f t="shared" si="43"/>
        <v>24740</v>
      </c>
      <c r="M90" s="655">
        <f t="shared" si="27"/>
        <v>0.34532333933531539</v>
      </c>
    </row>
    <row r="91" spans="1:13" x14ac:dyDescent="0.25">
      <c r="A91" s="145" t="s">
        <v>94</v>
      </c>
      <c r="B91" s="146" t="s">
        <v>592</v>
      </c>
      <c r="C91" s="55">
        <v>25300</v>
      </c>
      <c r="D91" s="55">
        <v>25300</v>
      </c>
      <c r="E91" s="55">
        <v>25300</v>
      </c>
      <c r="F91" s="55">
        <v>25300</v>
      </c>
      <c r="G91" s="55">
        <v>25300</v>
      </c>
      <c r="H91" s="55">
        <v>25300</v>
      </c>
      <c r="I91" s="55">
        <v>25300</v>
      </c>
      <c r="J91" s="55">
        <v>25300</v>
      </c>
      <c r="K91" s="634">
        <f>25300+243</f>
        <v>25543</v>
      </c>
      <c r="L91" s="55">
        <v>8238</v>
      </c>
      <c r="M91" s="655">
        <f t="shared" si="27"/>
        <v>0.32251497474846336</v>
      </c>
    </row>
    <row r="92" spans="1:13" x14ac:dyDescent="0.25">
      <c r="A92" s="121" t="s">
        <v>96</v>
      </c>
      <c r="B92" s="118" t="s">
        <v>97</v>
      </c>
      <c r="C92" s="60">
        <v>24300</v>
      </c>
      <c r="D92" s="60">
        <v>24300</v>
      </c>
      <c r="E92" s="60">
        <v>24300</v>
      </c>
      <c r="F92" s="60">
        <v>24300</v>
      </c>
      <c r="G92" s="60">
        <v>24300</v>
      </c>
      <c r="H92" s="60">
        <v>24300</v>
      </c>
      <c r="I92" s="60">
        <v>24300</v>
      </c>
      <c r="J92" s="60">
        <v>24300</v>
      </c>
      <c r="K92" s="60">
        <v>24300</v>
      </c>
      <c r="L92" s="60">
        <v>6659</v>
      </c>
      <c r="M92" s="655">
        <f t="shared" si="27"/>
        <v>0.2740329218106996</v>
      </c>
    </row>
    <row r="93" spans="1:13" ht="15.75" thickBot="1" x14ac:dyDescent="0.3">
      <c r="A93" s="121" t="s">
        <v>98</v>
      </c>
      <c r="B93" s="118" t="s">
        <v>99</v>
      </c>
      <c r="C93" s="60">
        <v>21800</v>
      </c>
      <c r="D93" s="60">
        <v>21800</v>
      </c>
      <c r="E93" s="60">
        <v>21800</v>
      </c>
      <c r="F93" s="60">
        <v>21800</v>
      </c>
      <c r="G93" s="60">
        <v>21800</v>
      </c>
      <c r="H93" s="60">
        <v>21800</v>
      </c>
      <c r="I93" s="60">
        <v>21800</v>
      </c>
      <c r="J93" s="60">
        <v>21800</v>
      </c>
      <c r="K93" s="60">
        <v>21800</v>
      </c>
      <c r="L93" s="60">
        <v>9843</v>
      </c>
      <c r="M93" s="655">
        <f t="shared" si="27"/>
        <v>0.45151376146788991</v>
      </c>
    </row>
    <row r="94" spans="1:13" ht="15.75" thickBot="1" x14ac:dyDescent="0.3">
      <c r="A94" s="821" t="s">
        <v>100</v>
      </c>
      <c r="B94" s="822"/>
      <c r="C94" s="112">
        <f t="shared" ref="C94:L94" si="45">SUM(C95:C98)</f>
        <v>124900</v>
      </c>
      <c r="D94" s="112">
        <f t="shared" si="45"/>
        <v>124900</v>
      </c>
      <c r="E94" s="112">
        <f t="shared" si="45"/>
        <v>124900</v>
      </c>
      <c r="F94" s="112">
        <f t="shared" si="45"/>
        <v>124900</v>
      </c>
      <c r="G94" s="112">
        <f t="shared" si="45"/>
        <v>123900</v>
      </c>
      <c r="H94" s="112">
        <f t="shared" si="45"/>
        <v>123900</v>
      </c>
      <c r="I94" s="112">
        <f t="shared" si="45"/>
        <v>123900</v>
      </c>
      <c r="J94" s="112">
        <f t="shared" ref="J94:K94" si="46">SUM(J95:J98)</f>
        <v>123900</v>
      </c>
      <c r="K94" s="112">
        <f t="shared" si="46"/>
        <v>123900</v>
      </c>
      <c r="L94" s="112">
        <f t="shared" si="45"/>
        <v>31234</v>
      </c>
      <c r="M94" s="655">
        <f t="shared" si="27"/>
        <v>0.25209039548022599</v>
      </c>
    </row>
    <row r="95" spans="1:13" x14ac:dyDescent="0.25">
      <c r="A95" s="153" t="s">
        <v>101</v>
      </c>
      <c r="B95" s="154" t="s">
        <v>102</v>
      </c>
      <c r="C95" s="139">
        <v>76800</v>
      </c>
      <c r="D95" s="139">
        <v>76800</v>
      </c>
      <c r="E95" s="139">
        <v>76800</v>
      </c>
      <c r="F95" s="139">
        <v>76800</v>
      </c>
      <c r="G95" s="139">
        <v>76800</v>
      </c>
      <c r="H95" s="139">
        <v>76800</v>
      </c>
      <c r="I95" s="139">
        <v>76800</v>
      </c>
      <c r="J95" s="139">
        <v>76800</v>
      </c>
      <c r="K95" s="139">
        <v>76800</v>
      </c>
      <c r="L95" s="139">
        <v>17866</v>
      </c>
      <c r="M95" s="655">
        <f t="shared" si="27"/>
        <v>0.23263020833333334</v>
      </c>
    </row>
    <row r="96" spans="1:13" x14ac:dyDescent="0.25">
      <c r="A96" s="121" t="s">
        <v>103</v>
      </c>
      <c r="B96" s="118" t="s">
        <v>104</v>
      </c>
      <c r="C96" s="152">
        <v>36500</v>
      </c>
      <c r="D96" s="152">
        <v>36500</v>
      </c>
      <c r="E96" s="152">
        <v>36500</v>
      </c>
      <c r="F96" s="152">
        <v>36500</v>
      </c>
      <c r="G96" s="644">
        <f>36500-1000</f>
        <v>35500</v>
      </c>
      <c r="H96" s="152">
        <f>36500-1000</f>
        <v>35500</v>
      </c>
      <c r="I96" s="152">
        <f>36500-1000</f>
        <v>35500</v>
      </c>
      <c r="J96" s="152">
        <f>36500-1000</f>
        <v>35500</v>
      </c>
      <c r="K96" s="152">
        <f>36500-1000</f>
        <v>35500</v>
      </c>
      <c r="L96" s="152">
        <v>13103</v>
      </c>
      <c r="M96" s="655">
        <f t="shared" si="27"/>
        <v>0.36909859154929575</v>
      </c>
    </row>
    <row r="97" spans="1:13" x14ac:dyDescent="0.25">
      <c r="A97" s="131" t="s">
        <v>105</v>
      </c>
      <c r="B97" s="159" t="s">
        <v>106</v>
      </c>
      <c r="C97" s="163">
        <v>1500</v>
      </c>
      <c r="D97" s="163">
        <v>1500</v>
      </c>
      <c r="E97" s="163">
        <v>1500</v>
      </c>
      <c r="F97" s="163">
        <v>1500</v>
      </c>
      <c r="G97" s="163">
        <v>1500</v>
      </c>
      <c r="H97" s="163">
        <v>1500</v>
      </c>
      <c r="I97" s="163">
        <v>1500</v>
      </c>
      <c r="J97" s="163">
        <v>1500</v>
      </c>
      <c r="K97" s="163">
        <v>1500</v>
      </c>
      <c r="L97" s="163">
        <v>0</v>
      </c>
      <c r="M97" s="655">
        <f t="shared" si="27"/>
        <v>0</v>
      </c>
    </row>
    <row r="98" spans="1:13" ht="15.75" thickBot="1" x14ac:dyDescent="0.3">
      <c r="A98" s="164" t="s">
        <v>107</v>
      </c>
      <c r="B98" s="165" t="s">
        <v>108</v>
      </c>
      <c r="C98" s="168">
        <v>10100</v>
      </c>
      <c r="D98" s="168">
        <v>10100</v>
      </c>
      <c r="E98" s="168">
        <v>10100</v>
      </c>
      <c r="F98" s="168">
        <v>10100</v>
      </c>
      <c r="G98" s="168">
        <v>10100</v>
      </c>
      <c r="H98" s="168">
        <v>10100</v>
      </c>
      <c r="I98" s="168">
        <v>10100</v>
      </c>
      <c r="J98" s="168">
        <v>10100</v>
      </c>
      <c r="K98" s="168">
        <v>10100</v>
      </c>
      <c r="L98" s="168">
        <v>265</v>
      </c>
      <c r="M98" s="655">
        <f t="shared" si="27"/>
        <v>2.6237623762376237E-2</v>
      </c>
    </row>
    <row r="99" spans="1:13" ht="15.75" thickBot="1" x14ac:dyDescent="0.3">
      <c r="A99" s="108" t="s">
        <v>109</v>
      </c>
      <c r="B99" s="144"/>
      <c r="C99" s="110">
        <f t="shared" ref="C99:L99" si="47">SUM(C100:C102)</f>
        <v>204648</v>
      </c>
      <c r="D99" s="110">
        <f t="shared" si="47"/>
        <v>204648</v>
      </c>
      <c r="E99" s="110">
        <f t="shared" si="47"/>
        <v>204648</v>
      </c>
      <c r="F99" s="110">
        <f t="shared" si="47"/>
        <v>204648</v>
      </c>
      <c r="G99" s="110">
        <f t="shared" si="47"/>
        <v>200648</v>
      </c>
      <c r="H99" s="110">
        <f t="shared" si="47"/>
        <v>200648</v>
      </c>
      <c r="I99" s="110">
        <f t="shared" si="47"/>
        <v>201248</v>
      </c>
      <c r="J99" s="110">
        <f t="shared" ref="J99:K99" si="48">SUM(J100:J102)</f>
        <v>201248</v>
      </c>
      <c r="K99" s="110">
        <f t="shared" si="48"/>
        <v>193248</v>
      </c>
      <c r="L99" s="110">
        <f t="shared" si="47"/>
        <v>37987</v>
      </c>
      <c r="M99" s="655">
        <f t="shared" si="27"/>
        <v>0.19657124523927802</v>
      </c>
    </row>
    <row r="100" spans="1:13" x14ac:dyDescent="0.25">
      <c r="A100" s="145" t="s">
        <v>110</v>
      </c>
      <c r="B100" s="85" t="s">
        <v>111</v>
      </c>
      <c r="C100" s="116">
        <v>156748</v>
      </c>
      <c r="D100" s="116">
        <v>156748</v>
      </c>
      <c r="E100" s="116">
        <v>156748</v>
      </c>
      <c r="F100" s="116">
        <v>156748</v>
      </c>
      <c r="G100" s="645">
        <f>156748+5500</f>
        <v>162248</v>
      </c>
      <c r="H100" s="116">
        <f>156748+5500</f>
        <v>162248</v>
      </c>
      <c r="I100" s="116">
        <f>156748+5500</f>
        <v>162248</v>
      </c>
      <c r="J100" s="116">
        <f>156748+5500</f>
        <v>162248</v>
      </c>
      <c r="K100" s="645">
        <f>156748+5500-8000</f>
        <v>154248</v>
      </c>
      <c r="L100" s="116">
        <v>30845</v>
      </c>
      <c r="M100" s="655">
        <f t="shared" si="27"/>
        <v>0.19997017789533739</v>
      </c>
    </row>
    <row r="101" spans="1:13" x14ac:dyDescent="0.25">
      <c r="A101" s="170" t="s">
        <v>112</v>
      </c>
      <c r="B101" s="118" t="s">
        <v>113</v>
      </c>
      <c r="C101" s="152">
        <v>29700</v>
      </c>
      <c r="D101" s="152">
        <v>29700</v>
      </c>
      <c r="E101" s="152">
        <v>29700</v>
      </c>
      <c r="F101" s="152">
        <v>29700</v>
      </c>
      <c r="G101" s="644">
        <f>29700-8000</f>
        <v>21700</v>
      </c>
      <c r="H101" s="152">
        <f>29700-8000</f>
        <v>21700</v>
      </c>
      <c r="I101" s="152">
        <f>29700-8000</f>
        <v>21700</v>
      </c>
      <c r="J101" s="152">
        <f>29700-8000</f>
        <v>21700</v>
      </c>
      <c r="K101" s="152">
        <f>29700-8000</f>
        <v>21700</v>
      </c>
      <c r="L101" s="152">
        <v>4533</v>
      </c>
      <c r="M101" s="655">
        <f t="shared" si="27"/>
        <v>0.20889400921658985</v>
      </c>
    </row>
    <row r="102" spans="1:13" ht="15.75" thickBot="1" x14ac:dyDescent="0.3">
      <c r="A102" s="171" t="s">
        <v>114</v>
      </c>
      <c r="B102" s="165" t="s">
        <v>115</v>
      </c>
      <c r="C102" s="174">
        <v>18200</v>
      </c>
      <c r="D102" s="174">
        <v>18200</v>
      </c>
      <c r="E102" s="174">
        <v>18200</v>
      </c>
      <c r="F102" s="174">
        <v>18200</v>
      </c>
      <c r="G102" s="646">
        <f>18200+1500-3000</f>
        <v>16700</v>
      </c>
      <c r="H102" s="174">
        <f>18200+1500-3000</f>
        <v>16700</v>
      </c>
      <c r="I102" s="646">
        <f>18200+1500-3000+600</f>
        <v>17300</v>
      </c>
      <c r="J102" s="174">
        <f>18200+1500-3000+600</f>
        <v>17300</v>
      </c>
      <c r="K102" s="174">
        <f>18200+1500-3000+600</f>
        <v>17300</v>
      </c>
      <c r="L102" s="174">
        <v>2609</v>
      </c>
      <c r="M102" s="655">
        <f t="shared" si="27"/>
        <v>0.15080924855491329</v>
      </c>
    </row>
    <row r="103" spans="1:13" ht="15.75" thickBot="1" x14ac:dyDescent="0.3">
      <c r="A103" s="175" t="s">
        <v>116</v>
      </c>
      <c r="B103" s="176"/>
      <c r="C103" s="177">
        <f t="shared" ref="C103:L103" si="49">SUM(C104:C107)</f>
        <v>4850</v>
      </c>
      <c r="D103" s="177">
        <f t="shared" si="49"/>
        <v>4850</v>
      </c>
      <c r="E103" s="177">
        <f t="shared" si="49"/>
        <v>4850</v>
      </c>
      <c r="F103" s="177">
        <f t="shared" si="49"/>
        <v>4850</v>
      </c>
      <c r="G103" s="177">
        <f t="shared" si="49"/>
        <v>3850</v>
      </c>
      <c r="H103" s="177">
        <f t="shared" si="49"/>
        <v>3850</v>
      </c>
      <c r="I103" s="177">
        <f t="shared" si="49"/>
        <v>3850</v>
      </c>
      <c r="J103" s="177">
        <f t="shared" ref="J103:K103" si="50">SUM(J104:J107)</f>
        <v>3850</v>
      </c>
      <c r="K103" s="177">
        <f t="shared" si="50"/>
        <v>3850</v>
      </c>
      <c r="L103" s="177">
        <f t="shared" si="49"/>
        <v>998</v>
      </c>
      <c r="M103" s="655">
        <f t="shared" si="27"/>
        <v>0.25922077922077924</v>
      </c>
    </row>
    <row r="104" spans="1:13" x14ac:dyDescent="0.25">
      <c r="A104" s="135" t="s">
        <v>117</v>
      </c>
      <c r="B104" s="154" t="s">
        <v>118</v>
      </c>
      <c r="C104" s="181">
        <v>50</v>
      </c>
      <c r="D104" s="181">
        <v>50</v>
      </c>
      <c r="E104" s="181">
        <v>50</v>
      </c>
      <c r="F104" s="181">
        <v>50</v>
      </c>
      <c r="G104" s="181">
        <v>50</v>
      </c>
      <c r="H104" s="181">
        <v>50</v>
      </c>
      <c r="I104" s="181">
        <v>50</v>
      </c>
      <c r="J104" s="181">
        <v>50</v>
      </c>
      <c r="K104" s="181">
        <v>50</v>
      </c>
      <c r="L104" s="181">
        <v>0</v>
      </c>
      <c r="M104" s="655">
        <f t="shared" si="27"/>
        <v>0</v>
      </c>
    </row>
    <row r="105" spans="1:13" x14ac:dyDescent="0.25">
      <c r="A105" s="170" t="s">
        <v>119</v>
      </c>
      <c r="B105" s="118" t="s">
        <v>120</v>
      </c>
      <c r="C105" s="184">
        <v>50</v>
      </c>
      <c r="D105" s="184">
        <v>50</v>
      </c>
      <c r="E105" s="184">
        <v>50</v>
      </c>
      <c r="F105" s="184">
        <v>50</v>
      </c>
      <c r="G105" s="184">
        <v>50</v>
      </c>
      <c r="H105" s="184">
        <v>50</v>
      </c>
      <c r="I105" s="184">
        <v>50</v>
      </c>
      <c r="J105" s="184">
        <v>50</v>
      </c>
      <c r="K105" s="184">
        <v>50</v>
      </c>
      <c r="L105" s="184">
        <v>24</v>
      </c>
      <c r="M105" s="655">
        <f t="shared" si="27"/>
        <v>0.48</v>
      </c>
    </row>
    <row r="106" spans="1:13" x14ac:dyDescent="0.25">
      <c r="A106" s="170" t="s">
        <v>121</v>
      </c>
      <c r="B106" s="118" t="s">
        <v>122</v>
      </c>
      <c r="C106" s="60">
        <v>750</v>
      </c>
      <c r="D106" s="60">
        <v>750</v>
      </c>
      <c r="E106" s="60">
        <v>750</v>
      </c>
      <c r="F106" s="60">
        <v>750</v>
      </c>
      <c r="G106" s="60">
        <v>750</v>
      </c>
      <c r="H106" s="60">
        <v>750</v>
      </c>
      <c r="I106" s="60">
        <v>750</v>
      </c>
      <c r="J106" s="60">
        <v>750</v>
      </c>
      <c r="K106" s="60">
        <v>750</v>
      </c>
      <c r="L106" s="60">
        <v>140</v>
      </c>
      <c r="M106" s="655">
        <f t="shared" si="27"/>
        <v>0.18666666666666668</v>
      </c>
    </row>
    <row r="107" spans="1:13" ht="15.75" thickBot="1" x14ac:dyDescent="0.3">
      <c r="A107" s="187" t="s">
        <v>123</v>
      </c>
      <c r="B107" s="188" t="s">
        <v>260</v>
      </c>
      <c r="C107" s="191">
        <v>4000</v>
      </c>
      <c r="D107" s="191">
        <v>4000</v>
      </c>
      <c r="E107" s="191">
        <v>4000</v>
      </c>
      <c r="F107" s="191">
        <v>4000</v>
      </c>
      <c r="G107" s="698">
        <f>4000-1000</f>
        <v>3000</v>
      </c>
      <c r="H107" s="128">
        <f>4000-1000</f>
        <v>3000</v>
      </c>
      <c r="I107" s="128">
        <f>4000-1000</f>
        <v>3000</v>
      </c>
      <c r="J107" s="128">
        <f>4000-1000</f>
        <v>3000</v>
      </c>
      <c r="K107" s="128">
        <f>4000-1000</f>
        <v>3000</v>
      </c>
      <c r="L107" s="191">
        <v>834</v>
      </c>
      <c r="M107" s="655">
        <f t="shared" si="27"/>
        <v>0.27800000000000002</v>
      </c>
    </row>
    <row r="108" spans="1:13" ht="15.75" thickBot="1" x14ac:dyDescent="0.3">
      <c r="A108" s="192" t="s">
        <v>124</v>
      </c>
      <c r="B108" s="193"/>
      <c r="C108" s="194">
        <f t="shared" ref="C108:L108" si="51">SUM(C109:C113)</f>
        <v>109550</v>
      </c>
      <c r="D108" s="194">
        <f t="shared" si="51"/>
        <v>109550</v>
      </c>
      <c r="E108" s="194">
        <f t="shared" si="51"/>
        <v>111550</v>
      </c>
      <c r="F108" s="194">
        <f t="shared" si="51"/>
        <v>116550</v>
      </c>
      <c r="G108" s="194">
        <f t="shared" si="51"/>
        <v>119250</v>
      </c>
      <c r="H108" s="194">
        <f t="shared" si="51"/>
        <v>122450</v>
      </c>
      <c r="I108" s="194">
        <f t="shared" si="51"/>
        <v>128050</v>
      </c>
      <c r="J108" s="194">
        <f t="shared" ref="J108:K108" si="52">SUM(J109:J113)</f>
        <v>131050</v>
      </c>
      <c r="K108" s="194">
        <f t="shared" si="52"/>
        <v>139150</v>
      </c>
      <c r="L108" s="194">
        <f t="shared" si="51"/>
        <v>29774</v>
      </c>
      <c r="M108" s="655">
        <f t="shared" si="27"/>
        <v>0.21397053539346028</v>
      </c>
    </row>
    <row r="109" spans="1:13" x14ac:dyDescent="0.25">
      <c r="A109" s="153" t="s">
        <v>125</v>
      </c>
      <c r="B109" s="154" t="s">
        <v>126</v>
      </c>
      <c r="C109" s="139">
        <v>24000</v>
      </c>
      <c r="D109" s="139">
        <v>24000</v>
      </c>
      <c r="E109" s="139">
        <v>24000</v>
      </c>
      <c r="F109" s="139">
        <v>24000</v>
      </c>
      <c r="G109" s="643">
        <f>24000+1500</f>
        <v>25500</v>
      </c>
      <c r="H109" s="139">
        <f>24000+1500</f>
        <v>25500</v>
      </c>
      <c r="I109" s="139">
        <f>24000+1500</f>
        <v>25500</v>
      </c>
      <c r="J109" s="139">
        <f>24000+1500</f>
        <v>25500</v>
      </c>
      <c r="K109" s="139">
        <f>24000+1500</f>
        <v>25500</v>
      </c>
      <c r="L109" s="139">
        <v>19001</v>
      </c>
      <c r="M109" s="655">
        <f t="shared" si="27"/>
        <v>0.74513725490196081</v>
      </c>
    </row>
    <row r="110" spans="1:13" x14ac:dyDescent="0.25">
      <c r="A110" s="196" t="s">
        <v>127</v>
      </c>
      <c r="B110" s="197" t="s">
        <v>128</v>
      </c>
      <c r="C110" s="55">
        <v>53650</v>
      </c>
      <c r="D110" s="55">
        <v>53650</v>
      </c>
      <c r="E110" s="634">
        <f>53650+2000</f>
        <v>55650</v>
      </c>
      <c r="F110" s="634">
        <f>53650+2000+5000</f>
        <v>60650</v>
      </c>
      <c r="G110" s="634">
        <f>53650+2000+5000+2000-2000+100</f>
        <v>60750</v>
      </c>
      <c r="H110" s="634">
        <f>53650+2000+5000+2000-2000+100+3200</f>
        <v>63950</v>
      </c>
      <c r="I110" s="634">
        <f>53650+2000+5000+2000-2000+100+3200+5000</f>
        <v>68950</v>
      </c>
      <c r="J110" s="634">
        <f>53650+2000+5000+2000-2000+100+3200+5000+3000</f>
        <v>71950</v>
      </c>
      <c r="K110" s="634">
        <f>53650+2000+5000+2000-2000+100+3200+5000+3000+8000</f>
        <v>79950</v>
      </c>
      <c r="L110" s="55">
        <v>6356</v>
      </c>
      <c r="M110" s="655">
        <f t="shared" si="27"/>
        <v>7.9499687304565358E-2</v>
      </c>
    </row>
    <row r="111" spans="1:13" x14ac:dyDescent="0.25">
      <c r="A111" s="196" t="s">
        <v>129</v>
      </c>
      <c r="B111" s="85" t="s">
        <v>130</v>
      </c>
      <c r="C111" s="55">
        <v>5100</v>
      </c>
      <c r="D111" s="55">
        <v>5100</v>
      </c>
      <c r="E111" s="55">
        <v>5100</v>
      </c>
      <c r="F111" s="55">
        <v>5100</v>
      </c>
      <c r="G111" s="55">
        <v>5100</v>
      </c>
      <c r="H111" s="55">
        <v>5100</v>
      </c>
      <c r="I111" s="634">
        <f>5100+600</f>
        <v>5700</v>
      </c>
      <c r="J111" s="55">
        <f>5100+600</f>
        <v>5700</v>
      </c>
      <c r="K111" s="55">
        <f>5100+600</f>
        <v>5700</v>
      </c>
      <c r="L111" s="55">
        <v>1580</v>
      </c>
      <c r="M111" s="655">
        <f t="shared" si="27"/>
        <v>0.27719298245614032</v>
      </c>
    </row>
    <row r="112" spans="1:13" x14ac:dyDescent="0.25">
      <c r="A112" s="196" t="s">
        <v>131</v>
      </c>
      <c r="B112" s="85" t="s">
        <v>132</v>
      </c>
      <c r="C112" s="55">
        <v>15600</v>
      </c>
      <c r="D112" s="55">
        <v>15600</v>
      </c>
      <c r="E112" s="55">
        <v>15600</v>
      </c>
      <c r="F112" s="55">
        <v>15600</v>
      </c>
      <c r="G112" s="634">
        <f>15600+1100</f>
        <v>16700</v>
      </c>
      <c r="H112" s="55">
        <f>15600+1100</f>
        <v>16700</v>
      </c>
      <c r="I112" s="55">
        <f>15600+1100</f>
        <v>16700</v>
      </c>
      <c r="J112" s="55">
        <f>15600+1100</f>
        <v>16700</v>
      </c>
      <c r="K112" s="55">
        <f>15600+1100</f>
        <v>16700</v>
      </c>
      <c r="L112" s="55">
        <v>2837</v>
      </c>
      <c r="M112" s="655">
        <f t="shared" si="27"/>
        <v>0.16988023952095807</v>
      </c>
    </row>
    <row r="113" spans="1:21" ht="15.75" thickBot="1" x14ac:dyDescent="0.3">
      <c r="A113" s="164" t="s">
        <v>133</v>
      </c>
      <c r="B113" s="165" t="s">
        <v>134</v>
      </c>
      <c r="C113" s="186">
        <v>11200</v>
      </c>
      <c r="D113" s="186">
        <v>11200</v>
      </c>
      <c r="E113" s="186">
        <v>11200</v>
      </c>
      <c r="F113" s="186">
        <v>11200</v>
      </c>
      <c r="G113" s="186">
        <v>11200</v>
      </c>
      <c r="H113" s="186">
        <v>11200</v>
      </c>
      <c r="I113" s="186">
        <v>11200</v>
      </c>
      <c r="J113" s="186">
        <v>11200</v>
      </c>
      <c r="K113" s="736">
        <f>11200+100</f>
        <v>11300</v>
      </c>
      <c r="L113" s="186">
        <v>0</v>
      </c>
      <c r="M113" s="655">
        <f t="shared" si="27"/>
        <v>0</v>
      </c>
    </row>
    <row r="114" spans="1:21" ht="15.75" thickBot="1" x14ac:dyDescent="0.3">
      <c r="A114" s="129" t="s">
        <v>135</v>
      </c>
      <c r="B114" s="130"/>
      <c r="C114" s="110">
        <f t="shared" ref="C114:L114" si="53">SUM(C115:C121)</f>
        <v>380850</v>
      </c>
      <c r="D114" s="110">
        <f t="shared" si="53"/>
        <v>380850</v>
      </c>
      <c r="E114" s="110">
        <f t="shared" si="53"/>
        <v>383256</v>
      </c>
      <c r="F114" s="110">
        <f t="shared" si="53"/>
        <v>385991</v>
      </c>
      <c r="G114" s="110">
        <f t="shared" si="53"/>
        <v>385991</v>
      </c>
      <c r="H114" s="110">
        <f t="shared" si="53"/>
        <v>385991</v>
      </c>
      <c r="I114" s="110">
        <f t="shared" si="53"/>
        <v>386991</v>
      </c>
      <c r="J114" s="110">
        <f t="shared" ref="J114:K114" si="54">SUM(J115:J121)</f>
        <v>386991</v>
      </c>
      <c r="K114" s="110">
        <f t="shared" si="54"/>
        <v>386991</v>
      </c>
      <c r="L114" s="110">
        <f t="shared" si="53"/>
        <v>120246</v>
      </c>
      <c r="M114" s="655">
        <f t="shared" si="27"/>
        <v>0.31072040435048875</v>
      </c>
    </row>
    <row r="115" spans="1:21" x14ac:dyDescent="0.25">
      <c r="A115" s="200" t="s">
        <v>136</v>
      </c>
      <c r="B115" s="201" t="s">
        <v>137</v>
      </c>
      <c r="C115" s="205">
        <f>163900</f>
        <v>163900</v>
      </c>
      <c r="D115" s="205">
        <f>163900</f>
        <v>163900</v>
      </c>
      <c r="E115" s="652">
        <f t="shared" ref="E115:K115" si="55">163900+2406</f>
        <v>166306</v>
      </c>
      <c r="F115" s="205">
        <f t="shared" si="55"/>
        <v>166306</v>
      </c>
      <c r="G115" s="205">
        <f t="shared" si="55"/>
        <v>166306</v>
      </c>
      <c r="H115" s="205">
        <f t="shared" si="55"/>
        <v>166306</v>
      </c>
      <c r="I115" s="205">
        <f t="shared" si="55"/>
        <v>166306</v>
      </c>
      <c r="J115" s="205">
        <f t="shared" si="55"/>
        <v>166306</v>
      </c>
      <c r="K115" s="205">
        <f t="shared" si="55"/>
        <v>166306</v>
      </c>
      <c r="L115" s="205">
        <v>49359</v>
      </c>
      <c r="M115" s="655">
        <f t="shared" si="27"/>
        <v>0.29679626712205209</v>
      </c>
    </row>
    <row r="116" spans="1:21" x14ac:dyDescent="0.25">
      <c r="A116" s="209" t="s">
        <v>142</v>
      </c>
      <c r="B116" s="210" t="s">
        <v>143</v>
      </c>
      <c r="C116" s="61">
        <v>3600</v>
      </c>
      <c r="D116" s="61">
        <v>3600</v>
      </c>
      <c r="E116" s="61">
        <v>3600</v>
      </c>
      <c r="F116" s="61">
        <v>3600</v>
      </c>
      <c r="G116" s="61">
        <v>3600</v>
      </c>
      <c r="H116" s="61">
        <v>3600</v>
      </c>
      <c r="I116" s="725">
        <f>3600+1000</f>
        <v>4600</v>
      </c>
      <c r="J116" s="61">
        <f>3600+1000</f>
        <v>4600</v>
      </c>
      <c r="K116" s="61">
        <f>3600+1000</f>
        <v>4600</v>
      </c>
      <c r="L116" s="61">
        <v>1580</v>
      </c>
      <c r="M116" s="655">
        <f t="shared" si="27"/>
        <v>0.34347826086956523</v>
      </c>
    </row>
    <row r="117" spans="1:21" x14ac:dyDescent="0.25">
      <c r="A117" s="209" t="s">
        <v>144</v>
      </c>
      <c r="B117" s="210" t="s">
        <v>145</v>
      </c>
      <c r="C117" s="61">
        <v>32330</v>
      </c>
      <c r="D117" s="61">
        <v>32330</v>
      </c>
      <c r="E117" s="61">
        <v>32330</v>
      </c>
      <c r="F117" s="61">
        <v>32330</v>
      </c>
      <c r="G117" s="61">
        <v>32330</v>
      </c>
      <c r="H117" s="61">
        <v>32330</v>
      </c>
      <c r="I117" s="61">
        <v>32330</v>
      </c>
      <c r="J117" s="61">
        <v>32330</v>
      </c>
      <c r="K117" s="61">
        <v>32330</v>
      </c>
      <c r="L117" s="61">
        <v>5938</v>
      </c>
      <c r="M117" s="655">
        <f t="shared" si="27"/>
        <v>0.18366841942468295</v>
      </c>
    </row>
    <row r="118" spans="1:21" x14ac:dyDescent="0.25">
      <c r="A118" s="209" t="s">
        <v>146</v>
      </c>
      <c r="B118" s="210" t="s">
        <v>147</v>
      </c>
      <c r="C118" s="60">
        <v>31830</v>
      </c>
      <c r="D118" s="60">
        <v>31830</v>
      </c>
      <c r="E118" s="60">
        <v>31830</v>
      </c>
      <c r="F118" s="60">
        <v>31830</v>
      </c>
      <c r="G118" s="60">
        <v>31830</v>
      </c>
      <c r="H118" s="60">
        <v>31830</v>
      </c>
      <c r="I118" s="60">
        <v>31830</v>
      </c>
      <c r="J118" s="60">
        <v>31830</v>
      </c>
      <c r="K118" s="60">
        <v>31830</v>
      </c>
      <c r="L118" s="60">
        <v>8542</v>
      </c>
      <c r="M118" s="655">
        <f t="shared" si="27"/>
        <v>0.26836317939051207</v>
      </c>
    </row>
    <row r="119" spans="1:21" x14ac:dyDescent="0.25">
      <c r="A119" s="209" t="s">
        <v>148</v>
      </c>
      <c r="B119" s="210" t="s">
        <v>233</v>
      </c>
      <c r="C119" s="60">
        <v>131840</v>
      </c>
      <c r="D119" s="60">
        <v>131840</v>
      </c>
      <c r="E119" s="60">
        <f>131840</f>
        <v>131840</v>
      </c>
      <c r="F119" s="60">
        <f t="shared" ref="F119:K119" si="56">131840+2735</f>
        <v>134575</v>
      </c>
      <c r="G119" s="60">
        <f t="shared" si="56"/>
        <v>134575</v>
      </c>
      <c r="H119" s="60">
        <f t="shared" si="56"/>
        <v>134575</v>
      </c>
      <c r="I119" s="60">
        <f t="shared" si="56"/>
        <v>134575</v>
      </c>
      <c r="J119" s="60">
        <f t="shared" si="56"/>
        <v>134575</v>
      </c>
      <c r="K119" s="60">
        <f t="shared" si="56"/>
        <v>134575</v>
      </c>
      <c r="L119" s="60">
        <v>51727</v>
      </c>
      <c r="M119" s="655">
        <f t="shared" si="27"/>
        <v>0.38437302619357233</v>
      </c>
    </row>
    <row r="120" spans="1:21" x14ac:dyDescent="0.25">
      <c r="A120" s="211" t="s">
        <v>149</v>
      </c>
      <c r="B120" s="210" t="s">
        <v>234</v>
      </c>
      <c r="C120" s="215">
        <v>11300</v>
      </c>
      <c r="D120" s="215">
        <v>11300</v>
      </c>
      <c r="E120" s="215">
        <v>11300</v>
      </c>
      <c r="F120" s="215">
        <v>11300</v>
      </c>
      <c r="G120" s="215">
        <v>11300</v>
      </c>
      <c r="H120" s="215">
        <v>11300</v>
      </c>
      <c r="I120" s="215">
        <v>11300</v>
      </c>
      <c r="J120" s="215">
        <v>11300</v>
      </c>
      <c r="K120" s="215">
        <v>11300</v>
      </c>
      <c r="L120" s="215">
        <v>3020</v>
      </c>
      <c r="M120" s="655">
        <f t="shared" si="27"/>
        <v>0.26725663716814158</v>
      </c>
    </row>
    <row r="121" spans="1:21" ht="15.75" thickBot="1" x14ac:dyDescent="0.3">
      <c r="A121" s="209" t="s">
        <v>150</v>
      </c>
      <c r="B121" s="210" t="s">
        <v>261</v>
      </c>
      <c r="C121" s="215">
        <v>6050</v>
      </c>
      <c r="D121" s="215">
        <v>6050</v>
      </c>
      <c r="E121" s="215">
        <v>6050</v>
      </c>
      <c r="F121" s="215">
        <v>6050</v>
      </c>
      <c r="G121" s="215">
        <v>6050</v>
      </c>
      <c r="H121" s="215">
        <v>6050</v>
      </c>
      <c r="I121" s="215">
        <v>6050</v>
      </c>
      <c r="J121" s="215">
        <v>6050</v>
      </c>
      <c r="K121" s="215">
        <v>6050</v>
      </c>
      <c r="L121" s="215">
        <v>80</v>
      </c>
      <c r="M121" s="655">
        <f t="shared" si="27"/>
        <v>1.3223140495867768E-2</v>
      </c>
    </row>
    <row r="122" spans="1:21" ht="15.75" thickBot="1" x14ac:dyDescent="0.3">
      <c r="A122" s="108" t="s">
        <v>151</v>
      </c>
      <c r="B122" s="109"/>
      <c r="C122" s="112">
        <f t="shared" ref="C122:L122" si="57">SUM(C123:C127)</f>
        <v>286950</v>
      </c>
      <c r="D122" s="112">
        <f t="shared" si="57"/>
        <v>286950</v>
      </c>
      <c r="E122" s="112">
        <f t="shared" si="57"/>
        <v>286950</v>
      </c>
      <c r="F122" s="112">
        <f t="shared" si="57"/>
        <v>286950</v>
      </c>
      <c r="G122" s="112">
        <f t="shared" si="57"/>
        <v>297750</v>
      </c>
      <c r="H122" s="112">
        <f t="shared" si="57"/>
        <v>297750</v>
      </c>
      <c r="I122" s="112">
        <f t="shared" si="57"/>
        <v>300850</v>
      </c>
      <c r="J122" s="112">
        <f t="shared" ref="J122:K122" si="58">SUM(J123:J127)</f>
        <v>300850</v>
      </c>
      <c r="K122" s="112">
        <f t="shared" si="58"/>
        <v>300850</v>
      </c>
      <c r="L122" s="112">
        <f t="shared" si="57"/>
        <v>64810</v>
      </c>
      <c r="M122" s="655">
        <f t="shared" si="27"/>
        <v>0.21542296825660628</v>
      </c>
    </row>
    <row r="123" spans="1:21" x14ac:dyDescent="0.25">
      <c r="A123" s="196" t="s">
        <v>152</v>
      </c>
      <c r="B123" s="85" t="s">
        <v>282</v>
      </c>
      <c r="C123" s="55">
        <f>268900</f>
        <v>268900</v>
      </c>
      <c r="D123" s="55">
        <f>268900</f>
        <v>268900</v>
      </c>
      <c r="E123" s="55">
        <f>268900</f>
        <v>268900</v>
      </c>
      <c r="F123" s="55">
        <f>268900</f>
        <v>268900</v>
      </c>
      <c r="G123" s="634">
        <f>268900+800+1000</f>
        <v>270700</v>
      </c>
      <c r="H123" s="55">
        <f>268900+800+1000</f>
        <v>270700</v>
      </c>
      <c r="I123" s="634">
        <f>268900+800+1000+100+3000</f>
        <v>273800</v>
      </c>
      <c r="J123" s="55">
        <f>268900+800+1000+100+3000</f>
        <v>273800</v>
      </c>
      <c r="K123" s="55">
        <f>268900+800+1000+100+3000</f>
        <v>273800</v>
      </c>
      <c r="L123" s="55">
        <v>61496</v>
      </c>
      <c r="M123" s="655">
        <f t="shared" si="27"/>
        <v>0.22460189919649379</v>
      </c>
      <c r="N123" s="407"/>
      <c r="O123" s="407"/>
    </row>
    <row r="124" spans="1:21" x14ac:dyDescent="0.25">
      <c r="A124" s="196" t="s">
        <v>153</v>
      </c>
      <c r="B124" s="85" t="s">
        <v>154</v>
      </c>
      <c r="C124" s="55">
        <v>450</v>
      </c>
      <c r="D124" s="55">
        <v>450</v>
      </c>
      <c r="E124" s="55">
        <v>450</v>
      </c>
      <c r="F124" s="55">
        <v>450</v>
      </c>
      <c r="G124" s="55">
        <v>450</v>
      </c>
      <c r="H124" s="55">
        <v>450</v>
      </c>
      <c r="I124" s="55">
        <v>450</v>
      </c>
      <c r="J124" s="55">
        <v>450</v>
      </c>
      <c r="K124" s="55">
        <v>450</v>
      </c>
      <c r="L124" s="55">
        <v>100</v>
      </c>
      <c r="M124" s="655">
        <f t="shared" si="27"/>
        <v>0.22222222222222221</v>
      </c>
      <c r="N124" s="407"/>
      <c r="O124" s="407"/>
    </row>
    <row r="125" spans="1:21" x14ac:dyDescent="0.25">
      <c r="A125" s="121" t="s">
        <v>155</v>
      </c>
      <c r="B125" s="118" t="s">
        <v>156</v>
      </c>
      <c r="C125" s="60">
        <v>16600</v>
      </c>
      <c r="D125" s="60">
        <v>16600</v>
      </c>
      <c r="E125" s="60">
        <v>16600</v>
      </c>
      <c r="F125" s="60">
        <v>16600</v>
      </c>
      <c r="G125" s="60">
        <v>16600</v>
      </c>
      <c r="H125" s="60">
        <v>16600</v>
      </c>
      <c r="I125" s="60">
        <v>16600</v>
      </c>
      <c r="J125" s="60">
        <v>16600</v>
      </c>
      <c r="K125" s="60">
        <v>16600</v>
      </c>
      <c r="L125" s="60">
        <v>3167</v>
      </c>
      <c r="M125" s="655">
        <f t="shared" si="27"/>
        <v>0.19078313253012047</v>
      </c>
    </row>
    <row r="126" spans="1:21" x14ac:dyDescent="0.25">
      <c r="A126" s="121" t="s">
        <v>157</v>
      </c>
      <c r="B126" s="118" t="s">
        <v>481</v>
      </c>
      <c r="C126" s="60">
        <v>500</v>
      </c>
      <c r="D126" s="60">
        <v>500</v>
      </c>
      <c r="E126" s="60">
        <v>500</v>
      </c>
      <c r="F126" s="60">
        <v>500</v>
      </c>
      <c r="G126" s="622">
        <f>500+9000</f>
        <v>9500</v>
      </c>
      <c r="H126" s="60">
        <f>500+9000</f>
        <v>9500</v>
      </c>
      <c r="I126" s="60">
        <f>500+9000</f>
        <v>9500</v>
      </c>
      <c r="J126" s="60">
        <f>500+9000</f>
        <v>9500</v>
      </c>
      <c r="K126" s="60">
        <f>500+9000</f>
        <v>9500</v>
      </c>
      <c r="L126" s="60">
        <v>47</v>
      </c>
      <c r="M126" s="655">
        <f t="shared" si="27"/>
        <v>4.9473684210526317E-3</v>
      </c>
    </row>
    <row r="127" spans="1:21" ht="15.75" thickBot="1" x14ac:dyDescent="0.3">
      <c r="A127" s="164" t="s">
        <v>159</v>
      </c>
      <c r="B127" s="165" t="s">
        <v>160</v>
      </c>
      <c r="C127" s="186">
        <v>500</v>
      </c>
      <c r="D127" s="186">
        <v>500</v>
      </c>
      <c r="E127" s="186">
        <v>500</v>
      </c>
      <c r="F127" s="186">
        <v>500</v>
      </c>
      <c r="G127" s="186">
        <v>500</v>
      </c>
      <c r="H127" s="186">
        <v>500</v>
      </c>
      <c r="I127" s="186">
        <v>500</v>
      </c>
      <c r="J127" s="186">
        <v>500</v>
      </c>
      <c r="K127" s="186">
        <v>500</v>
      </c>
      <c r="L127" s="186">
        <v>0</v>
      </c>
      <c r="M127" s="655">
        <f t="shared" si="27"/>
        <v>0</v>
      </c>
    </row>
    <row r="128" spans="1:21" ht="16.5" thickBot="1" x14ac:dyDescent="0.3">
      <c r="A128" s="216" t="s">
        <v>161</v>
      </c>
      <c r="B128" s="176"/>
      <c r="C128" s="219">
        <f t="shared" ref="C128:L128" si="59">SUM(C79+C85+C87+C90+C94+C99+C103+C108+C114+C122)</f>
        <v>1504568</v>
      </c>
      <c r="D128" s="219">
        <f t="shared" si="59"/>
        <v>1504568</v>
      </c>
      <c r="E128" s="219">
        <f t="shared" si="59"/>
        <v>1508979</v>
      </c>
      <c r="F128" s="219">
        <f t="shared" si="59"/>
        <v>1516714</v>
      </c>
      <c r="G128" s="219">
        <f t="shared" si="59"/>
        <v>1522714</v>
      </c>
      <c r="H128" s="219">
        <f t="shared" si="59"/>
        <v>1525914</v>
      </c>
      <c r="I128" s="219">
        <f t="shared" si="59"/>
        <v>1536814</v>
      </c>
      <c r="J128" s="219">
        <f t="shared" ref="J128:K128" si="60">SUM(J79+J85+J87+J90+J94+J99+J103+J108+J114+J122)</f>
        <v>1539814</v>
      </c>
      <c r="K128" s="219">
        <f t="shared" si="60"/>
        <v>1540157</v>
      </c>
      <c r="L128" s="219">
        <f t="shared" si="59"/>
        <v>394776</v>
      </c>
      <c r="M128" s="655">
        <f t="shared" si="27"/>
        <v>0.25632192042759278</v>
      </c>
      <c r="N128" s="464">
        <f t="shared" ref="N128:U128" si="61">D128-C128</f>
        <v>0</v>
      </c>
      <c r="O128" s="464">
        <f t="shared" si="61"/>
        <v>4411</v>
      </c>
      <c r="P128" s="464">
        <f t="shared" si="61"/>
        <v>7735</v>
      </c>
      <c r="Q128" s="464">
        <f t="shared" si="61"/>
        <v>6000</v>
      </c>
      <c r="R128" s="464">
        <f t="shared" si="61"/>
        <v>3200</v>
      </c>
      <c r="S128" s="464">
        <f t="shared" si="61"/>
        <v>10900</v>
      </c>
      <c r="T128" s="464">
        <f t="shared" si="61"/>
        <v>3000</v>
      </c>
      <c r="U128" s="464">
        <f t="shared" si="61"/>
        <v>343</v>
      </c>
    </row>
    <row r="129" spans="1:21" x14ac:dyDescent="0.25">
      <c r="A129" s="220" t="s">
        <v>140</v>
      </c>
      <c r="B129" s="221" t="s">
        <v>163</v>
      </c>
      <c r="C129" s="224">
        <f t="shared" ref="C129:L129" si="62">C66</f>
        <v>534950</v>
      </c>
      <c r="D129" s="224">
        <f t="shared" si="62"/>
        <v>534950</v>
      </c>
      <c r="E129" s="652">
        <f t="shared" si="62"/>
        <v>556769</v>
      </c>
      <c r="F129" s="652">
        <f t="shared" si="62"/>
        <v>558169</v>
      </c>
      <c r="G129" s="224">
        <f t="shared" si="62"/>
        <v>558169</v>
      </c>
      <c r="H129" s="652">
        <f t="shared" si="62"/>
        <v>558907</v>
      </c>
      <c r="I129" s="224">
        <f t="shared" si="62"/>
        <v>558907</v>
      </c>
      <c r="J129" s="652">
        <f t="shared" ref="J129:K129" si="63">J66</f>
        <v>562128</v>
      </c>
      <c r="K129" s="737">
        <f t="shared" si="63"/>
        <v>562128</v>
      </c>
      <c r="L129" s="224">
        <f t="shared" si="62"/>
        <v>195997</v>
      </c>
      <c r="M129" s="655">
        <f t="shared" si="27"/>
        <v>0.34866969800472492</v>
      </c>
      <c r="N129" s="464">
        <f t="shared" ref="N129:N139" si="64">D129-C129</f>
        <v>0</v>
      </c>
      <c r="O129" s="464">
        <f t="shared" ref="O129:O139" si="65">E129-D129</f>
        <v>21819</v>
      </c>
      <c r="P129" s="464">
        <f t="shared" ref="P129:P139" si="66">F129-E129</f>
        <v>1400</v>
      </c>
      <c r="Q129" s="464">
        <f t="shared" ref="Q129:Q139" si="67">G129-F129</f>
        <v>0</v>
      </c>
      <c r="R129" s="464">
        <f t="shared" ref="R129:R139" si="68">H129-G129</f>
        <v>738</v>
      </c>
      <c r="S129" s="464">
        <f t="shared" ref="S129:S139" si="69">I129-H129</f>
        <v>0</v>
      </c>
      <c r="T129" s="464">
        <f t="shared" ref="T129:U139" si="70">J129-I129</f>
        <v>3221</v>
      </c>
      <c r="U129" s="464">
        <f t="shared" si="70"/>
        <v>0</v>
      </c>
    </row>
    <row r="130" spans="1:21" x14ac:dyDescent="0.25">
      <c r="A130" s="225" t="s">
        <v>140</v>
      </c>
      <c r="B130" s="226" t="s">
        <v>164</v>
      </c>
      <c r="C130" s="229">
        <f t="shared" ref="C130:L130" si="71">C68</f>
        <v>2450</v>
      </c>
      <c r="D130" s="229">
        <f t="shared" si="71"/>
        <v>2450</v>
      </c>
      <c r="E130" s="229">
        <f t="shared" si="71"/>
        <v>2450</v>
      </c>
      <c r="F130" s="229">
        <f t="shared" si="71"/>
        <v>2450</v>
      </c>
      <c r="G130" s="229">
        <f t="shared" si="71"/>
        <v>2450</v>
      </c>
      <c r="H130" s="229">
        <f t="shared" si="71"/>
        <v>2450</v>
      </c>
      <c r="I130" s="229">
        <f t="shared" si="71"/>
        <v>2450</v>
      </c>
      <c r="J130" s="229">
        <f t="shared" ref="J130:K130" si="72">J68</f>
        <v>2450</v>
      </c>
      <c r="K130" s="229">
        <f t="shared" si="72"/>
        <v>2450</v>
      </c>
      <c r="L130" s="229">
        <f t="shared" si="71"/>
        <v>0</v>
      </c>
      <c r="M130" s="655">
        <f t="shared" si="27"/>
        <v>0</v>
      </c>
      <c r="N130" s="464">
        <f t="shared" si="64"/>
        <v>0</v>
      </c>
      <c r="O130" s="464">
        <f t="shared" si="65"/>
        <v>0</v>
      </c>
      <c r="P130" s="464">
        <f t="shared" si="66"/>
        <v>0</v>
      </c>
      <c r="Q130" s="464">
        <f t="shared" si="67"/>
        <v>0</v>
      </c>
      <c r="R130" s="464">
        <f t="shared" si="68"/>
        <v>0</v>
      </c>
      <c r="S130" s="464">
        <f t="shared" si="69"/>
        <v>0</v>
      </c>
      <c r="T130" s="464">
        <f t="shared" si="70"/>
        <v>0</v>
      </c>
      <c r="U130" s="464">
        <f t="shared" si="70"/>
        <v>0</v>
      </c>
    </row>
    <row r="131" spans="1:21" ht="15.75" thickBot="1" x14ac:dyDescent="0.3">
      <c r="A131" s="230" t="s">
        <v>140</v>
      </c>
      <c r="B131" s="231" t="s">
        <v>166</v>
      </c>
      <c r="C131" s="234">
        <v>0</v>
      </c>
      <c r="D131" s="234">
        <v>0</v>
      </c>
      <c r="E131" s="234">
        <v>0</v>
      </c>
      <c r="F131" s="234">
        <v>0</v>
      </c>
      <c r="G131" s="234">
        <v>0</v>
      </c>
      <c r="H131" s="234">
        <v>0</v>
      </c>
      <c r="I131" s="234">
        <v>0</v>
      </c>
      <c r="J131" s="234">
        <v>0</v>
      </c>
      <c r="K131" s="234">
        <v>0</v>
      </c>
      <c r="L131" s="234">
        <v>0</v>
      </c>
      <c r="M131" s="655">
        <v>0</v>
      </c>
      <c r="N131" s="464">
        <f t="shared" si="64"/>
        <v>0</v>
      </c>
      <c r="O131" s="464">
        <f t="shared" si="65"/>
        <v>0</v>
      </c>
      <c r="P131" s="464">
        <f t="shared" si="66"/>
        <v>0</v>
      </c>
      <c r="Q131" s="464">
        <f t="shared" si="67"/>
        <v>0</v>
      </c>
      <c r="R131" s="464">
        <f t="shared" si="68"/>
        <v>0</v>
      </c>
      <c r="S131" s="464">
        <f t="shared" si="69"/>
        <v>0</v>
      </c>
      <c r="T131" s="464">
        <f t="shared" si="70"/>
        <v>0</v>
      </c>
      <c r="U131" s="464">
        <f t="shared" si="70"/>
        <v>0</v>
      </c>
    </row>
    <row r="132" spans="1:21" x14ac:dyDescent="0.25">
      <c r="A132" s="235" t="s">
        <v>142</v>
      </c>
      <c r="B132" s="236" t="s">
        <v>167</v>
      </c>
      <c r="C132" s="239">
        <v>32600</v>
      </c>
      <c r="D132" s="239">
        <v>32600</v>
      </c>
      <c r="E132" s="239">
        <v>32600</v>
      </c>
      <c r="F132" s="239">
        <v>32600</v>
      </c>
      <c r="G132" s="239">
        <v>32600</v>
      </c>
      <c r="H132" s="239">
        <v>32600</v>
      </c>
      <c r="I132" s="239">
        <v>32600</v>
      </c>
      <c r="J132" s="239">
        <v>32600</v>
      </c>
      <c r="K132" s="239">
        <v>32600</v>
      </c>
      <c r="L132" s="239">
        <v>10868</v>
      </c>
      <c r="M132" s="655">
        <f t="shared" ref="M132:M189" si="73">L132/K132</f>
        <v>0.33337423312883435</v>
      </c>
      <c r="N132" s="464">
        <f t="shared" si="64"/>
        <v>0</v>
      </c>
      <c r="O132" s="464">
        <f t="shared" si="65"/>
        <v>0</v>
      </c>
      <c r="P132" s="464">
        <f t="shared" si="66"/>
        <v>0</v>
      </c>
      <c r="Q132" s="464">
        <f t="shared" si="67"/>
        <v>0</v>
      </c>
      <c r="R132" s="464">
        <f t="shared" si="68"/>
        <v>0</v>
      </c>
      <c r="S132" s="464">
        <f t="shared" si="69"/>
        <v>0</v>
      </c>
      <c r="T132" s="464">
        <f t="shared" si="70"/>
        <v>0</v>
      </c>
      <c r="U132" s="464">
        <f t="shared" si="70"/>
        <v>0</v>
      </c>
    </row>
    <row r="133" spans="1:21" ht="15.75" thickBot="1" x14ac:dyDescent="0.3">
      <c r="A133" s="225" t="s">
        <v>142</v>
      </c>
      <c r="B133" s="226" t="s">
        <v>168</v>
      </c>
      <c r="C133" s="229">
        <f t="shared" ref="C133:L133" si="74">C69</f>
        <v>2000</v>
      </c>
      <c r="D133" s="229">
        <f t="shared" si="74"/>
        <v>2000</v>
      </c>
      <c r="E133" s="229">
        <f t="shared" si="74"/>
        <v>2000</v>
      </c>
      <c r="F133" s="229">
        <f t="shared" si="74"/>
        <v>2000</v>
      </c>
      <c r="G133" s="229">
        <f t="shared" si="74"/>
        <v>2000</v>
      </c>
      <c r="H133" s="229">
        <f t="shared" si="74"/>
        <v>2000</v>
      </c>
      <c r="I133" s="229">
        <f t="shared" si="74"/>
        <v>2000</v>
      </c>
      <c r="J133" s="229">
        <f t="shared" ref="J133:K133" si="75">J69</f>
        <v>2000</v>
      </c>
      <c r="K133" s="229">
        <f t="shared" si="75"/>
        <v>2000</v>
      </c>
      <c r="L133" s="229">
        <f t="shared" si="74"/>
        <v>456</v>
      </c>
      <c r="M133" s="655">
        <f t="shared" si="73"/>
        <v>0.22800000000000001</v>
      </c>
      <c r="N133" s="464">
        <f t="shared" si="64"/>
        <v>0</v>
      </c>
      <c r="O133" s="464">
        <f t="shared" si="65"/>
        <v>0</v>
      </c>
      <c r="P133" s="464">
        <f t="shared" si="66"/>
        <v>0</v>
      </c>
      <c r="Q133" s="464">
        <f t="shared" si="67"/>
        <v>0</v>
      </c>
      <c r="R133" s="464">
        <f t="shared" si="68"/>
        <v>0</v>
      </c>
      <c r="S133" s="464">
        <f t="shared" si="69"/>
        <v>0</v>
      </c>
      <c r="T133" s="464">
        <f t="shared" si="70"/>
        <v>0</v>
      </c>
      <c r="U133" s="464">
        <f t="shared" si="70"/>
        <v>0</v>
      </c>
    </row>
    <row r="134" spans="1:21" ht="15.75" thickBot="1" x14ac:dyDescent="0.3">
      <c r="A134" s="823" t="s">
        <v>169</v>
      </c>
      <c r="B134" s="824"/>
      <c r="C134" s="242">
        <f t="shared" ref="C134:L134" si="76">SUM(C129:C133)</f>
        <v>572000</v>
      </c>
      <c r="D134" s="242">
        <f t="shared" si="76"/>
        <v>572000</v>
      </c>
      <c r="E134" s="242">
        <f t="shared" si="76"/>
        <v>593819</v>
      </c>
      <c r="F134" s="242">
        <f t="shared" si="76"/>
        <v>595219</v>
      </c>
      <c r="G134" s="242">
        <f t="shared" si="76"/>
        <v>595219</v>
      </c>
      <c r="H134" s="242">
        <f t="shared" si="76"/>
        <v>595957</v>
      </c>
      <c r="I134" s="242">
        <f t="shared" si="76"/>
        <v>595957</v>
      </c>
      <c r="J134" s="242">
        <f t="shared" ref="J134:K134" si="77">SUM(J129:J133)</f>
        <v>599178</v>
      </c>
      <c r="K134" s="242">
        <f t="shared" si="77"/>
        <v>599178</v>
      </c>
      <c r="L134" s="242">
        <f t="shared" si="76"/>
        <v>207321</v>
      </c>
      <c r="M134" s="655">
        <f t="shared" si="73"/>
        <v>0.34600903237435288</v>
      </c>
      <c r="N134" s="464">
        <f t="shared" si="64"/>
        <v>0</v>
      </c>
      <c r="O134" s="464">
        <f t="shared" si="65"/>
        <v>21819</v>
      </c>
      <c r="P134" s="464">
        <f t="shared" si="66"/>
        <v>1400</v>
      </c>
      <c r="Q134" s="464">
        <f t="shared" si="67"/>
        <v>0</v>
      </c>
      <c r="R134" s="464">
        <f t="shared" si="68"/>
        <v>738</v>
      </c>
      <c r="S134" s="464">
        <f t="shared" si="69"/>
        <v>0</v>
      </c>
      <c r="T134" s="464">
        <f t="shared" si="70"/>
        <v>3221</v>
      </c>
      <c r="U134" s="464">
        <f t="shared" si="70"/>
        <v>0</v>
      </c>
    </row>
    <row r="135" spans="1:21" x14ac:dyDescent="0.25">
      <c r="A135" s="243" t="s">
        <v>142</v>
      </c>
      <c r="B135" s="244" t="s">
        <v>170</v>
      </c>
      <c r="C135" s="247">
        <f t="shared" ref="C135:K135" si="78">264110-C136</f>
        <v>252640</v>
      </c>
      <c r="D135" s="247">
        <f t="shared" si="78"/>
        <v>252640</v>
      </c>
      <c r="E135" s="247">
        <f t="shared" si="78"/>
        <v>252640</v>
      </c>
      <c r="F135" s="247">
        <f t="shared" si="78"/>
        <v>252640</v>
      </c>
      <c r="G135" s="247">
        <f t="shared" si="78"/>
        <v>252640</v>
      </c>
      <c r="H135" s="247">
        <f t="shared" si="78"/>
        <v>252640</v>
      </c>
      <c r="I135" s="247">
        <f t="shared" si="78"/>
        <v>252640</v>
      </c>
      <c r="J135" s="247">
        <f t="shared" si="78"/>
        <v>252640</v>
      </c>
      <c r="K135" s="247">
        <f t="shared" si="78"/>
        <v>252640</v>
      </c>
      <c r="L135" s="247">
        <v>84212</v>
      </c>
      <c r="M135" s="655">
        <f t="shared" si="73"/>
        <v>0.33332805573147561</v>
      </c>
      <c r="N135" s="464">
        <f t="shared" si="64"/>
        <v>0</v>
      </c>
      <c r="O135" s="464">
        <f t="shared" si="65"/>
        <v>0</v>
      </c>
      <c r="P135" s="464">
        <f t="shared" si="66"/>
        <v>0</v>
      </c>
      <c r="Q135" s="464">
        <f t="shared" si="67"/>
        <v>0</v>
      </c>
      <c r="R135" s="464">
        <f t="shared" si="68"/>
        <v>0</v>
      </c>
      <c r="S135" s="464">
        <f t="shared" si="69"/>
        <v>0</v>
      </c>
      <c r="T135" s="464">
        <f t="shared" si="70"/>
        <v>0</v>
      </c>
      <c r="U135" s="464">
        <f t="shared" si="70"/>
        <v>0</v>
      </c>
    </row>
    <row r="136" spans="1:21" ht="15.75" thickBot="1" x14ac:dyDescent="0.3">
      <c r="A136" s="248" t="s">
        <v>142</v>
      </c>
      <c r="B136" s="249" t="s">
        <v>171</v>
      </c>
      <c r="C136" s="93">
        <f t="shared" ref="C136:L136" si="79">C71</f>
        <v>11470</v>
      </c>
      <c r="D136" s="93">
        <f t="shared" si="79"/>
        <v>11470</v>
      </c>
      <c r="E136" s="93">
        <f t="shared" si="79"/>
        <v>11470</v>
      </c>
      <c r="F136" s="93">
        <f t="shared" si="79"/>
        <v>11470</v>
      </c>
      <c r="G136" s="93">
        <f t="shared" si="79"/>
        <v>11470</v>
      </c>
      <c r="H136" s="93">
        <f t="shared" si="79"/>
        <v>11470</v>
      </c>
      <c r="I136" s="93">
        <f t="shared" si="79"/>
        <v>11470</v>
      </c>
      <c r="J136" s="93">
        <f t="shared" ref="J136:K136" si="80">J71</f>
        <v>11470</v>
      </c>
      <c r="K136" s="93">
        <f t="shared" si="80"/>
        <v>11470</v>
      </c>
      <c r="L136" s="93">
        <f t="shared" si="79"/>
        <v>4205</v>
      </c>
      <c r="M136" s="655">
        <f t="shared" si="73"/>
        <v>0.36660854402789889</v>
      </c>
      <c r="N136" s="464">
        <f t="shared" si="64"/>
        <v>0</v>
      </c>
      <c r="O136" s="464">
        <f t="shared" si="65"/>
        <v>0</v>
      </c>
      <c r="P136" s="464">
        <f t="shared" si="66"/>
        <v>0</v>
      </c>
      <c r="Q136" s="464">
        <f t="shared" si="67"/>
        <v>0</v>
      </c>
      <c r="R136" s="464">
        <f t="shared" si="68"/>
        <v>0</v>
      </c>
      <c r="S136" s="464">
        <f t="shared" si="69"/>
        <v>0</v>
      </c>
      <c r="T136" s="464">
        <f t="shared" si="70"/>
        <v>0</v>
      </c>
      <c r="U136" s="464">
        <f t="shared" si="70"/>
        <v>0</v>
      </c>
    </row>
    <row r="137" spans="1:21" ht="15.75" thickBot="1" x14ac:dyDescent="0.3">
      <c r="A137" s="805" t="s">
        <v>172</v>
      </c>
      <c r="B137" s="806"/>
      <c r="C137" s="254">
        <f t="shared" ref="C137:L137" si="81">SUM(C135:C136)</f>
        <v>264110</v>
      </c>
      <c r="D137" s="254">
        <f t="shared" si="81"/>
        <v>264110</v>
      </c>
      <c r="E137" s="254">
        <f t="shared" si="81"/>
        <v>264110</v>
      </c>
      <c r="F137" s="254">
        <f t="shared" si="81"/>
        <v>264110</v>
      </c>
      <c r="G137" s="254">
        <f t="shared" si="81"/>
        <v>264110</v>
      </c>
      <c r="H137" s="254">
        <f t="shared" si="81"/>
        <v>264110</v>
      </c>
      <c r="I137" s="254">
        <f t="shared" si="81"/>
        <v>264110</v>
      </c>
      <c r="J137" s="254">
        <f t="shared" ref="J137:K137" si="82">SUM(J135:J136)</f>
        <v>264110</v>
      </c>
      <c r="K137" s="254">
        <f t="shared" si="82"/>
        <v>264110</v>
      </c>
      <c r="L137" s="254">
        <f t="shared" si="81"/>
        <v>88417</v>
      </c>
      <c r="M137" s="655">
        <f t="shared" si="73"/>
        <v>0.3347733898754307</v>
      </c>
      <c r="N137" s="464">
        <f t="shared" si="64"/>
        <v>0</v>
      </c>
      <c r="O137" s="464">
        <f t="shared" si="65"/>
        <v>0</v>
      </c>
      <c r="P137" s="464">
        <f t="shared" si="66"/>
        <v>0</v>
      </c>
      <c r="Q137" s="464">
        <f t="shared" si="67"/>
        <v>0</v>
      </c>
      <c r="R137" s="464">
        <f t="shared" si="68"/>
        <v>0</v>
      </c>
      <c r="S137" s="464">
        <f t="shared" si="69"/>
        <v>0</v>
      </c>
      <c r="T137" s="464">
        <f t="shared" si="70"/>
        <v>0</v>
      </c>
      <c r="U137" s="464">
        <f t="shared" si="70"/>
        <v>0</v>
      </c>
    </row>
    <row r="138" spans="1:21" ht="18" customHeight="1" thickBot="1" x14ac:dyDescent="0.3">
      <c r="A138" s="827" t="s">
        <v>173</v>
      </c>
      <c r="B138" s="828"/>
      <c r="C138" s="257">
        <f t="shared" ref="C138:L138" si="83">C134+C137</f>
        <v>836110</v>
      </c>
      <c r="D138" s="257">
        <f t="shared" si="83"/>
        <v>836110</v>
      </c>
      <c r="E138" s="257">
        <f t="shared" si="83"/>
        <v>857929</v>
      </c>
      <c r="F138" s="257">
        <f t="shared" si="83"/>
        <v>859329</v>
      </c>
      <c r="G138" s="257">
        <f t="shared" si="83"/>
        <v>859329</v>
      </c>
      <c r="H138" s="257">
        <f t="shared" si="83"/>
        <v>860067</v>
      </c>
      <c r="I138" s="257">
        <f t="shared" si="83"/>
        <v>860067</v>
      </c>
      <c r="J138" s="257">
        <f t="shared" ref="J138:K138" si="84">J134+J137</f>
        <v>863288</v>
      </c>
      <c r="K138" s="257">
        <f t="shared" si="84"/>
        <v>863288</v>
      </c>
      <c r="L138" s="257">
        <f t="shared" si="83"/>
        <v>295738</v>
      </c>
      <c r="M138" s="655">
        <f t="shared" si="73"/>
        <v>0.34257165627229846</v>
      </c>
      <c r="N138" s="464">
        <f t="shared" si="64"/>
        <v>0</v>
      </c>
      <c r="O138" s="464">
        <f t="shared" si="65"/>
        <v>21819</v>
      </c>
      <c r="P138" s="464">
        <f t="shared" si="66"/>
        <v>1400</v>
      </c>
      <c r="Q138" s="464">
        <f t="shared" si="67"/>
        <v>0</v>
      </c>
      <c r="R138" s="464">
        <f t="shared" si="68"/>
        <v>738</v>
      </c>
      <c r="S138" s="464">
        <f t="shared" si="69"/>
        <v>0</v>
      </c>
      <c r="T138" s="464">
        <f t="shared" si="70"/>
        <v>3221</v>
      </c>
      <c r="U138" s="464">
        <f t="shared" si="70"/>
        <v>0</v>
      </c>
    </row>
    <row r="139" spans="1:21" ht="24" customHeight="1" thickBot="1" x14ac:dyDescent="0.3">
      <c r="A139" s="258" t="s">
        <v>174</v>
      </c>
      <c r="B139" s="144"/>
      <c r="C139" s="261">
        <f t="shared" ref="C139:L139" si="85">C128+C138</f>
        <v>2340678</v>
      </c>
      <c r="D139" s="261">
        <f t="shared" si="85"/>
        <v>2340678</v>
      </c>
      <c r="E139" s="261">
        <f t="shared" si="85"/>
        <v>2366908</v>
      </c>
      <c r="F139" s="261">
        <f t="shared" si="85"/>
        <v>2376043</v>
      </c>
      <c r="G139" s="261">
        <f t="shared" si="85"/>
        <v>2382043</v>
      </c>
      <c r="H139" s="261">
        <f t="shared" si="85"/>
        <v>2385981</v>
      </c>
      <c r="I139" s="261">
        <f t="shared" si="85"/>
        <v>2396881</v>
      </c>
      <c r="J139" s="261">
        <f t="shared" ref="J139:K139" si="86">J128+J138</f>
        <v>2403102</v>
      </c>
      <c r="K139" s="261">
        <f t="shared" si="86"/>
        <v>2403445</v>
      </c>
      <c r="L139" s="261">
        <f t="shared" si="85"/>
        <v>690514</v>
      </c>
      <c r="M139" s="655">
        <f t="shared" si="73"/>
        <v>0.28730176891919723</v>
      </c>
      <c r="N139" s="464">
        <f t="shared" si="64"/>
        <v>0</v>
      </c>
      <c r="O139" s="464">
        <f t="shared" si="65"/>
        <v>26230</v>
      </c>
      <c r="P139" s="464">
        <f t="shared" si="66"/>
        <v>9135</v>
      </c>
      <c r="Q139" s="464">
        <f t="shared" si="67"/>
        <v>6000</v>
      </c>
      <c r="R139" s="464">
        <f t="shared" si="68"/>
        <v>3938</v>
      </c>
      <c r="S139" s="464">
        <f t="shared" si="69"/>
        <v>10900</v>
      </c>
      <c r="T139" s="464">
        <f t="shared" si="70"/>
        <v>6221</v>
      </c>
      <c r="U139" s="464">
        <f t="shared" si="70"/>
        <v>343</v>
      </c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655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655"/>
    </row>
    <row r="142" spans="1:21" ht="18.75" thickBot="1" x14ac:dyDescent="0.3">
      <c r="A142" s="829" t="s">
        <v>175</v>
      </c>
      <c r="B142" s="830"/>
      <c r="C142" s="830"/>
      <c r="D142" s="830"/>
      <c r="E142" s="830"/>
      <c r="F142" s="830"/>
      <c r="G142" s="830"/>
      <c r="H142" s="830"/>
      <c r="I142" s="830"/>
      <c r="J142" s="830"/>
      <c r="K142" s="830"/>
      <c r="L142" s="830"/>
      <c r="M142" s="655"/>
      <c r="N142" s="1"/>
    </row>
    <row r="143" spans="1:21" ht="36.75" customHeight="1" thickBot="1" x14ac:dyDescent="0.3">
      <c r="A143" s="819" t="s">
        <v>1</v>
      </c>
      <c r="B143" s="831"/>
      <c r="C143" s="416" t="s">
        <v>376</v>
      </c>
      <c r="D143" s="416" t="s">
        <v>509</v>
      </c>
      <c r="E143" s="416" t="s">
        <v>511</v>
      </c>
      <c r="F143" s="416" t="s">
        <v>512</v>
      </c>
      <c r="G143" s="416" t="s">
        <v>377</v>
      </c>
      <c r="H143" s="416" t="s">
        <v>541</v>
      </c>
      <c r="I143" s="416" t="s">
        <v>497</v>
      </c>
      <c r="J143" s="416" t="s">
        <v>556</v>
      </c>
      <c r="K143" s="416" t="s">
        <v>561</v>
      </c>
      <c r="L143" s="416" t="s">
        <v>588</v>
      </c>
      <c r="M143" s="655"/>
      <c r="N143" s="1"/>
    </row>
    <row r="144" spans="1:21" ht="16.5" thickBot="1" x14ac:dyDescent="0.3">
      <c r="A144" s="832" t="s">
        <v>176</v>
      </c>
      <c r="B144" s="833"/>
      <c r="C144" s="262">
        <f t="shared" ref="C144:L144" si="87">SUM(C145:C153)</f>
        <v>774720</v>
      </c>
      <c r="D144" s="262">
        <f t="shared" si="87"/>
        <v>774720</v>
      </c>
      <c r="E144" s="262">
        <f t="shared" si="87"/>
        <v>774720</v>
      </c>
      <c r="F144" s="262">
        <f t="shared" si="87"/>
        <v>774720</v>
      </c>
      <c r="G144" s="262">
        <f t="shared" si="87"/>
        <v>778710</v>
      </c>
      <c r="H144" s="262">
        <f t="shared" si="87"/>
        <v>778710</v>
      </c>
      <c r="I144" s="262">
        <f t="shared" si="87"/>
        <v>781210</v>
      </c>
      <c r="J144" s="262">
        <f t="shared" ref="J144:K144" si="88">SUM(J145:J153)</f>
        <v>781210</v>
      </c>
      <c r="K144" s="262">
        <f t="shared" si="88"/>
        <v>781210</v>
      </c>
      <c r="L144" s="262">
        <f t="shared" si="87"/>
        <v>49456</v>
      </c>
      <c r="M144" s="655">
        <f t="shared" si="73"/>
        <v>6.3306921314371295E-2</v>
      </c>
      <c r="N144" s="464">
        <f t="shared" ref="N144:U144" si="89">D144-C144</f>
        <v>0</v>
      </c>
      <c r="O144" s="464">
        <f t="shared" si="89"/>
        <v>0</v>
      </c>
      <c r="P144" s="464">
        <f t="shared" si="89"/>
        <v>0</v>
      </c>
      <c r="Q144" s="464">
        <f t="shared" si="89"/>
        <v>3990</v>
      </c>
      <c r="R144" s="464">
        <f t="shared" si="89"/>
        <v>0</v>
      </c>
      <c r="S144" s="464">
        <f t="shared" si="89"/>
        <v>2500</v>
      </c>
      <c r="T144" s="464">
        <f t="shared" si="89"/>
        <v>0</v>
      </c>
      <c r="U144" s="464">
        <f t="shared" si="89"/>
        <v>0</v>
      </c>
    </row>
    <row r="145" spans="1:25" x14ac:dyDescent="0.25">
      <c r="A145" s="627">
        <v>231</v>
      </c>
      <c r="B145" s="628" t="s">
        <v>382</v>
      </c>
      <c r="C145" s="629">
        <v>0</v>
      </c>
      <c r="D145" s="629">
        <v>0</v>
      </c>
      <c r="E145" s="630">
        <f>2000</f>
        <v>2000</v>
      </c>
      <c r="F145" s="630">
        <f>2000-2000</f>
        <v>0</v>
      </c>
      <c r="G145" s="630">
        <f>2000-2000+3990</f>
        <v>3990</v>
      </c>
      <c r="H145" s="629">
        <f>2000-2000+3990</f>
        <v>3990</v>
      </c>
      <c r="I145" s="629">
        <f>2000-2000+3990</f>
        <v>3990</v>
      </c>
      <c r="J145" s="629">
        <f>2000-2000+3990</f>
        <v>3990</v>
      </c>
      <c r="K145" s="629">
        <f>2000-2000+3990</f>
        <v>3990</v>
      </c>
      <c r="L145" s="629">
        <v>3990</v>
      </c>
      <c r="M145" s="655">
        <f t="shared" si="73"/>
        <v>1</v>
      </c>
    </row>
    <row r="146" spans="1:25" ht="15.75" thickBot="1" x14ac:dyDescent="0.3">
      <c r="A146" s="3">
        <v>233</v>
      </c>
      <c r="B146" s="328" t="s">
        <v>177</v>
      </c>
      <c r="C146" s="626">
        <v>3000</v>
      </c>
      <c r="D146" s="626">
        <v>3000</v>
      </c>
      <c r="E146" s="729">
        <f>3000-2000</f>
        <v>1000</v>
      </c>
      <c r="F146" s="729">
        <f t="shared" ref="F146:K146" si="90">3000-2000+2000</f>
        <v>3000</v>
      </c>
      <c r="G146" s="626">
        <f t="shared" si="90"/>
        <v>3000</v>
      </c>
      <c r="H146" s="626">
        <f t="shared" si="90"/>
        <v>3000</v>
      </c>
      <c r="I146" s="626">
        <f t="shared" si="90"/>
        <v>3000</v>
      </c>
      <c r="J146" s="626">
        <f t="shared" si="90"/>
        <v>3000</v>
      </c>
      <c r="K146" s="626">
        <f t="shared" si="90"/>
        <v>3000</v>
      </c>
      <c r="L146" s="626"/>
      <c r="M146" s="655">
        <f t="shared" si="73"/>
        <v>0</v>
      </c>
      <c r="N146" s="1"/>
    </row>
    <row r="147" spans="1:25" ht="15.75" thickBot="1" x14ac:dyDescent="0.3">
      <c r="A147" s="442">
        <v>321</v>
      </c>
      <c r="B147" s="443" t="s">
        <v>262</v>
      </c>
      <c r="C147" s="458">
        <v>5000</v>
      </c>
      <c r="D147" s="458">
        <v>5000</v>
      </c>
      <c r="E147" s="458">
        <v>5000</v>
      </c>
      <c r="F147" s="458">
        <v>5000</v>
      </c>
      <c r="G147" s="458">
        <v>5000</v>
      </c>
      <c r="H147" s="458">
        <v>5000</v>
      </c>
      <c r="I147" s="458">
        <v>5000</v>
      </c>
      <c r="J147" s="458">
        <v>5000</v>
      </c>
      <c r="K147" s="458">
        <v>5000</v>
      </c>
      <c r="L147" s="458">
        <v>120</v>
      </c>
      <c r="M147" s="655">
        <f t="shared" si="73"/>
        <v>2.4E-2</v>
      </c>
      <c r="N147" s="642">
        <f>SUM(G145:G147)</f>
        <v>11990</v>
      </c>
      <c r="O147" s="656">
        <f>N147+G178</f>
        <v>11990</v>
      </c>
    </row>
    <row r="148" spans="1:25" x14ac:dyDescent="0.25">
      <c r="A148" s="265">
        <v>322</v>
      </c>
      <c r="B148" s="292" t="s">
        <v>415</v>
      </c>
      <c r="C148" s="412">
        <v>0</v>
      </c>
      <c r="D148" s="412">
        <v>0</v>
      </c>
      <c r="E148" s="412">
        <v>0</v>
      </c>
      <c r="F148" s="412">
        <v>0</v>
      </c>
      <c r="G148" s="412">
        <v>0</v>
      </c>
      <c r="H148" s="412">
        <v>0</v>
      </c>
      <c r="I148" s="412">
        <v>0</v>
      </c>
      <c r="J148" s="412">
        <v>0</v>
      </c>
      <c r="K148" s="412">
        <v>0</v>
      </c>
      <c r="L148" s="412"/>
      <c r="M148" s="655">
        <v>0</v>
      </c>
      <c r="N148" s="1"/>
    </row>
    <row r="149" spans="1:25" x14ac:dyDescent="0.25">
      <c r="A149" s="268">
        <v>322</v>
      </c>
      <c r="B149" s="72" t="s">
        <v>181</v>
      </c>
      <c r="C149" s="270">
        <v>300000</v>
      </c>
      <c r="D149" s="270">
        <v>300000</v>
      </c>
      <c r="E149" s="270">
        <v>300000</v>
      </c>
      <c r="F149" s="270">
        <v>300000</v>
      </c>
      <c r="G149" s="270">
        <v>300000</v>
      </c>
      <c r="H149" s="270">
        <v>300000</v>
      </c>
      <c r="I149" s="270">
        <v>300000</v>
      </c>
      <c r="J149" s="270">
        <v>300000</v>
      </c>
      <c r="K149" s="270">
        <v>300000</v>
      </c>
      <c r="L149" s="270"/>
      <c r="M149" s="655">
        <f t="shared" si="73"/>
        <v>0</v>
      </c>
      <c r="N149" s="1"/>
    </row>
    <row r="150" spans="1:25" x14ac:dyDescent="0.25">
      <c r="A150" s="265">
        <v>322</v>
      </c>
      <c r="B150" s="72" t="s">
        <v>263</v>
      </c>
      <c r="C150" s="270">
        <v>15000</v>
      </c>
      <c r="D150" s="270">
        <v>15000</v>
      </c>
      <c r="E150" s="270">
        <v>15000</v>
      </c>
      <c r="F150" s="270">
        <v>15000</v>
      </c>
      <c r="G150" s="270">
        <v>15000</v>
      </c>
      <c r="H150" s="270">
        <v>15000</v>
      </c>
      <c r="I150" s="270">
        <v>15000</v>
      </c>
      <c r="J150" s="270">
        <v>15000</v>
      </c>
      <c r="K150" s="270">
        <v>15000</v>
      </c>
      <c r="L150" s="267"/>
      <c r="M150" s="655">
        <f t="shared" si="73"/>
        <v>0</v>
      </c>
      <c r="N150" s="1"/>
    </row>
    <row r="151" spans="1:25" x14ac:dyDescent="0.25">
      <c r="A151" s="271">
        <v>322</v>
      </c>
      <c r="B151" s="274" t="s">
        <v>248</v>
      </c>
      <c r="C151" s="273">
        <v>19000</v>
      </c>
      <c r="D151" s="273">
        <v>19000</v>
      </c>
      <c r="E151" s="273">
        <v>19000</v>
      </c>
      <c r="F151" s="273">
        <v>19000</v>
      </c>
      <c r="G151" s="273">
        <v>19000</v>
      </c>
      <c r="H151" s="273">
        <v>19000</v>
      </c>
      <c r="I151" s="273">
        <v>19000</v>
      </c>
      <c r="J151" s="273">
        <v>19000</v>
      </c>
      <c r="K151" s="273">
        <v>19000</v>
      </c>
      <c r="L151" s="267"/>
      <c r="M151" s="655">
        <f t="shared" si="73"/>
        <v>0</v>
      </c>
      <c r="N151" s="1"/>
    </row>
    <row r="152" spans="1:25" x14ac:dyDescent="0.25">
      <c r="A152" s="271">
        <v>322</v>
      </c>
      <c r="B152" s="76" t="s">
        <v>242</v>
      </c>
      <c r="C152" s="273">
        <v>355220</v>
      </c>
      <c r="D152" s="273">
        <v>355220</v>
      </c>
      <c r="E152" s="273">
        <v>355220</v>
      </c>
      <c r="F152" s="273">
        <v>355220</v>
      </c>
      <c r="G152" s="273">
        <v>355220</v>
      </c>
      <c r="H152" s="273">
        <v>355220</v>
      </c>
      <c r="I152" s="273">
        <v>355220</v>
      </c>
      <c r="J152" s="273">
        <v>355220</v>
      </c>
      <c r="K152" s="273">
        <v>355220</v>
      </c>
      <c r="L152" s="267"/>
      <c r="M152" s="655">
        <f t="shared" si="73"/>
        <v>0</v>
      </c>
      <c r="N152" s="1"/>
    </row>
    <row r="153" spans="1:25" ht="15.75" thickBot="1" x14ac:dyDescent="0.3">
      <c r="A153" s="268">
        <v>322</v>
      </c>
      <c r="B153" s="72" t="s">
        <v>243</v>
      </c>
      <c r="C153" s="270">
        <f t="shared" ref="C153:H153" si="91">166800-89300</f>
        <v>77500</v>
      </c>
      <c r="D153" s="270">
        <f t="shared" si="91"/>
        <v>77500</v>
      </c>
      <c r="E153" s="270">
        <f t="shared" si="91"/>
        <v>77500</v>
      </c>
      <c r="F153" s="270">
        <f t="shared" si="91"/>
        <v>77500</v>
      </c>
      <c r="G153" s="270">
        <f t="shared" si="91"/>
        <v>77500</v>
      </c>
      <c r="H153" s="270">
        <f t="shared" si="91"/>
        <v>77500</v>
      </c>
      <c r="I153" s="721">
        <f>166800-89300+2500</f>
        <v>80000</v>
      </c>
      <c r="J153" s="270">
        <f>166800-89300+2500</f>
        <v>80000</v>
      </c>
      <c r="K153" s="270">
        <f>166800-89300+2500</f>
        <v>80000</v>
      </c>
      <c r="L153" s="267">
        <f>45346</f>
        <v>45346</v>
      </c>
      <c r="M153" s="655">
        <f t="shared" si="73"/>
        <v>0.56682500000000002</v>
      </c>
      <c r="N153" s="642">
        <f>SUM(G148:G153)</f>
        <v>766720</v>
      </c>
    </row>
    <row r="154" spans="1:25" ht="16.5" thickBot="1" x14ac:dyDescent="0.3">
      <c r="A154" s="832" t="s">
        <v>182</v>
      </c>
      <c r="B154" s="833"/>
      <c r="C154" s="262">
        <f t="shared" ref="C154:L154" si="92">SUM(C155:C171)</f>
        <v>1267700</v>
      </c>
      <c r="D154" s="262">
        <f t="shared" si="92"/>
        <v>1267700</v>
      </c>
      <c r="E154" s="262">
        <f t="shared" si="92"/>
        <v>1267700</v>
      </c>
      <c r="F154" s="262">
        <f t="shared" si="92"/>
        <v>1267700</v>
      </c>
      <c r="G154" s="262">
        <f t="shared" si="92"/>
        <v>1267700</v>
      </c>
      <c r="H154" s="262">
        <f t="shared" si="92"/>
        <v>1267700</v>
      </c>
      <c r="I154" s="262">
        <f t="shared" si="92"/>
        <v>1270200</v>
      </c>
      <c r="J154" s="262">
        <f t="shared" ref="J154:K154" si="93">SUM(J155:J171)</f>
        <v>1270200</v>
      </c>
      <c r="K154" s="262">
        <f t="shared" si="93"/>
        <v>1274190</v>
      </c>
      <c r="L154" s="262">
        <f t="shared" si="92"/>
        <v>96239</v>
      </c>
      <c r="M154" s="655">
        <f t="shared" si="73"/>
        <v>7.552955210761346E-2</v>
      </c>
      <c r="N154" s="642">
        <f>C154-C144</f>
        <v>492980</v>
      </c>
      <c r="O154" s="27"/>
      <c r="P154" s="27"/>
      <c r="W154" s="464"/>
      <c r="X154" s="464"/>
      <c r="Y154" s="464"/>
    </row>
    <row r="155" spans="1:25" x14ac:dyDescent="0.25">
      <c r="A155" s="286" t="s">
        <v>96</v>
      </c>
      <c r="B155" s="275" t="s">
        <v>186</v>
      </c>
      <c r="C155" s="287">
        <v>1500</v>
      </c>
      <c r="D155" s="287">
        <v>1500</v>
      </c>
      <c r="E155" s="287">
        <v>1500</v>
      </c>
      <c r="F155" s="287">
        <v>1500</v>
      </c>
      <c r="G155" s="287">
        <v>1500</v>
      </c>
      <c r="H155" s="287">
        <v>1500</v>
      </c>
      <c r="I155" s="287">
        <v>1500</v>
      </c>
      <c r="J155" s="287">
        <v>1500</v>
      </c>
      <c r="K155" s="287">
        <v>1500</v>
      </c>
      <c r="L155" s="287"/>
      <c r="M155" s="655">
        <f t="shared" si="73"/>
        <v>0</v>
      </c>
      <c r="N155" s="27">
        <f t="shared" ref="N155" si="94">D154-C154</f>
        <v>0</v>
      </c>
      <c r="O155" s="27">
        <f t="shared" ref="O155" si="95">E154-D154</f>
        <v>0</v>
      </c>
      <c r="P155" s="27">
        <f t="shared" ref="P155" si="96">F154-E154</f>
        <v>0</v>
      </c>
      <c r="Q155" s="27">
        <f t="shared" ref="Q155" si="97">G154-F154</f>
        <v>0</v>
      </c>
      <c r="R155" s="27">
        <f t="shared" ref="R155" si="98">H154-G154</f>
        <v>0</v>
      </c>
      <c r="S155" s="27">
        <f t="shared" ref="S155" si="99">I154-H154</f>
        <v>2500</v>
      </c>
      <c r="T155" s="27">
        <f t="shared" ref="T155" si="100">J154-I154</f>
        <v>0</v>
      </c>
      <c r="U155" s="27">
        <f t="shared" ref="U155" si="101">K154-J154</f>
        <v>3990</v>
      </c>
      <c r="V155" s="27"/>
      <c r="W155" s="27"/>
    </row>
    <row r="156" spans="1:25" ht="15.75" thickBot="1" x14ac:dyDescent="0.3">
      <c r="A156" s="282" t="s">
        <v>98</v>
      </c>
      <c r="B156" s="408" t="s">
        <v>245</v>
      </c>
      <c r="C156" s="284">
        <v>20600</v>
      </c>
      <c r="D156" s="284">
        <v>20600</v>
      </c>
      <c r="E156" s="284">
        <v>20600</v>
      </c>
      <c r="F156" s="284">
        <v>20600</v>
      </c>
      <c r="G156" s="284">
        <v>20600</v>
      </c>
      <c r="H156" s="284">
        <v>20600</v>
      </c>
      <c r="I156" s="284">
        <v>20600</v>
      </c>
      <c r="J156" s="284">
        <v>20600</v>
      </c>
      <c r="K156" s="284">
        <v>20600</v>
      </c>
      <c r="L156" s="284">
        <v>20121</v>
      </c>
      <c r="M156" s="655">
        <f t="shared" si="73"/>
        <v>0.97674757281553393</v>
      </c>
      <c r="N156" s="27"/>
    </row>
    <row r="157" spans="1:25" ht="15.75" thickBot="1" x14ac:dyDescent="0.3">
      <c r="A157" s="657" t="s">
        <v>103</v>
      </c>
      <c r="B157" s="658" t="s">
        <v>241</v>
      </c>
      <c r="C157" s="411">
        <v>325000</v>
      </c>
      <c r="D157" s="411">
        <v>325000</v>
      </c>
      <c r="E157" s="411">
        <v>325000</v>
      </c>
      <c r="F157" s="411">
        <v>325000</v>
      </c>
      <c r="G157" s="411">
        <v>325000</v>
      </c>
      <c r="H157" s="411">
        <v>325000</v>
      </c>
      <c r="I157" s="411">
        <v>325000</v>
      </c>
      <c r="J157" s="411">
        <v>325000</v>
      </c>
      <c r="K157" s="411">
        <f>325000</f>
        <v>325000</v>
      </c>
      <c r="L157" s="411"/>
      <c r="M157" s="655">
        <f t="shared" si="73"/>
        <v>0</v>
      </c>
      <c r="N157" s="1"/>
    </row>
    <row r="158" spans="1:25" x14ac:dyDescent="0.25">
      <c r="A158" s="288" t="s">
        <v>190</v>
      </c>
      <c r="B158" s="289" t="s">
        <v>191</v>
      </c>
      <c r="C158" s="290">
        <v>43000</v>
      </c>
      <c r="D158" s="290">
        <v>43000</v>
      </c>
      <c r="E158" s="290">
        <v>43000</v>
      </c>
      <c r="F158" s="290">
        <v>43000</v>
      </c>
      <c r="G158" s="716">
        <f>43000-18000</f>
        <v>25000</v>
      </c>
      <c r="H158" s="290">
        <f>43000-18000</f>
        <v>25000</v>
      </c>
      <c r="I158" s="290">
        <f>43000-18000</f>
        <v>25000</v>
      </c>
      <c r="J158" s="290">
        <f>43000-18000</f>
        <v>25000</v>
      </c>
      <c r="K158" s="290">
        <f>43000-18000</f>
        <v>25000</v>
      </c>
      <c r="L158" s="290"/>
      <c r="M158" s="655">
        <f t="shared" si="73"/>
        <v>0</v>
      </c>
      <c r="N158" s="1"/>
    </row>
    <row r="159" spans="1:25" x14ac:dyDescent="0.25">
      <c r="A159" s="297" t="s">
        <v>190</v>
      </c>
      <c r="B159" s="294" t="s">
        <v>247</v>
      </c>
      <c r="C159" s="281">
        <v>29000</v>
      </c>
      <c r="D159" s="281">
        <v>29000</v>
      </c>
      <c r="E159" s="281">
        <v>29000</v>
      </c>
      <c r="F159" s="281">
        <v>29000</v>
      </c>
      <c r="G159" s="281">
        <v>29000</v>
      </c>
      <c r="H159" s="281">
        <v>29000</v>
      </c>
      <c r="I159" s="281">
        <v>29000</v>
      </c>
      <c r="J159" s="281">
        <v>29000</v>
      </c>
      <c r="K159" s="636">
        <f>29000+1490</f>
        <v>30490</v>
      </c>
      <c r="L159" s="281">
        <v>506</v>
      </c>
      <c r="M159" s="655">
        <f t="shared" si="73"/>
        <v>1.6595605116431617E-2</v>
      </c>
      <c r="N159" s="27"/>
    </row>
    <row r="160" spans="1:25" x14ac:dyDescent="0.25">
      <c r="A160" s="297" t="s">
        <v>110</v>
      </c>
      <c r="B160" s="431" t="s">
        <v>230</v>
      </c>
      <c r="C160" s="281">
        <v>15800</v>
      </c>
      <c r="D160" s="281">
        <v>15800</v>
      </c>
      <c r="E160" s="281">
        <v>15800</v>
      </c>
      <c r="F160" s="281">
        <v>15800</v>
      </c>
      <c r="G160" s="281">
        <v>15800</v>
      </c>
      <c r="H160" s="281">
        <v>15800</v>
      </c>
      <c r="I160" s="281">
        <v>15800</v>
      </c>
      <c r="J160" s="281">
        <v>15800</v>
      </c>
      <c r="K160" s="281">
        <v>15800</v>
      </c>
      <c r="L160" s="281"/>
      <c r="M160" s="655">
        <f t="shared" si="73"/>
        <v>0</v>
      </c>
      <c r="N160" s="27"/>
    </row>
    <row r="161" spans="1:23" x14ac:dyDescent="0.25">
      <c r="A161" s="297" t="s">
        <v>110</v>
      </c>
      <c r="B161" s="650" t="s">
        <v>395</v>
      </c>
      <c r="C161" s="281">
        <v>0</v>
      </c>
      <c r="D161" s="281">
        <v>0</v>
      </c>
      <c r="E161" s="281">
        <v>0</v>
      </c>
      <c r="F161" s="281">
        <v>0</v>
      </c>
      <c r="G161" s="281">
        <v>0</v>
      </c>
      <c r="H161" s="281">
        <v>0</v>
      </c>
      <c r="I161" s="281">
        <v>0</v>
      </c>
      <c r="J161" s="281">
        <v>0</v>
      </c>
      <c r="K161" s="281">
        <v>0</v>
      </c>
      <c r="L161" s="281"/>
      <c r="M161" s="655">
        <v>0</v>
      </c>
      <c r="N161" s="27"/>
    </row>
    <row r="162" spans="1:23" ht="15.75" thickBot="1" x14ac:dyDescent="0.3">
      <c r="A162" s="299" t="s">
        <v>110</v>
      </c>
      <c r="B162" s="445" t="s">
        <v>239</v>
      </c>
      <c r="C162" s="284">
        <v>30000</v>
      </c>
      <c r="D162" s="284">
        <v>30000</v>
      </c>
      <c r="E162" s="284">
        <v>30000</v>
      </c>
      <c r="F162" s="284">
        <v>30000</v>
      </c>
      <c r="G162" s="284">
        <v>30000</v>
      </c>
      <c r="H162" s="284">
        <v>30000</v>
      </c>
      <c r="I162" s="284">
        <v>30000</v>
      </c>
      <c r="J162" s="284">
        <v>30000</v>
      </c>
      <c r="K162" s="284">
        <v>30000</v>
      </c>
      <c r="L162" s="284"/>
      <c r="M162" s="655">
        <f t="shared" si="73"/>
        <v>0</v>
      </c>
      <c r="N162" s="27"/>
    </row>
    <row r="163" spans="1:23" x14ac:dyDescent="0.25">
      <c r="A163" s="300" t="s">
        <v>125</v>
      </c>
      <c r="B163" s="298" t="s">
        <v>192</v>
      </c>
      <c r="C163" s="287">
        <v>0</v>
      </c>
      <c r="D163" s="287">
        <v>0</v>
      </c>
      <c r="E163" s="287">
        <v>0</v>
      </c>
      <c r="F163" s="287">
        <v>0</v>
      </c>
      <c r="G163" s="287">
        <v>0</v>
      </c>
      <c r="H163" s="287">
        <v>0</v>
      </c>
      <c r="I163" s="287">
        <v>0</v>
      </c>
      <c r="J163" s="287">
        <v>0</v>
      </c>
      <c r="K163" s="614">
        <v>2500</v>
      </c>
      <c r="L163" s="287"/>
      <c r="M163" s="655">
        <v>0</v>
      </c>
      <c r="N163" s="27"/>
    </row>
    <row r="164" spans="1:23" x14ac:dyDescent="0.25">
      <c r="A164" s="303" t="s">
        <v>125</v>
      </c>
      <c r="B164" s="304" t="s">
        <v>195</v>
      </c>
      <c r="C164" s="293">
        <v>21000</v>
      </c>
      <c r="D164" s="293">
        <v>21000</v>
      </c>
      <c r="E164" s="293">
        <v>21000</v>
      </c>
      <c r="F164" s="293">
        <v>21000</v>
      </c>
      <c r="G164" s="293">
        <v>21000</v>
      </c>
      <c r="H164" s="293">
        <v>21000</v>
      </c>
      <c r="I164" s="293">
        <v>21000</v>
      </c>
      <c r="J164" s="293">
        <v>21000</v>
      </c>
      <c r="K164" s="293">
        <v>21000</v>
      </c>
      <c r="L164" s="290"/>
      <c r="M164" s="655">
        <f t="shared" si="73"/>
        <v>0</v>
      </c>
      <c r="N164" s="27"/>
    </row>
    <row r="165" spans="1:23" x14ac:dyDescent="0.25">
      <c r="A165" s="303" t="s">
        <v>125</v>
      </c>
      <c r="B165" s="304" t="s">
        <v>240</v>
      </c>
      <c r="C165" s="293">
        <v>8000</v>
      </c>
      <c r="D165" s="293">
        <v>8000</v>
      </c>
      <c r="E165" s="293">
        <v>8000</v>
      </c>
      <c r="F165" s="293">
        <v>8000</v>
      </c>
      <c r="G165" s="293">
        <v>8000</v>
      </c>
      <c r="H165" s="293">
        <v>8000</v>
      </c>
      <c r="I165" s="293">
        <v>8000</v>
      </c>
      <c r="J165" s="293">
        <v>8000</v>
      </c>
      <c r="K165" s="293">
        <v>8000</v>
      </c>
      <c r="L165" s="293"/>
      <c r="M165" s="655">
        <f t="shared" si="73"/>
        <v>0</v>
      </c>
      <c r="N165" s="1"/>
    </row>
    <row r="166" spans="1:23" x14ac:dyDescent="0.25">
      <c r="A166" s="303" t="s">
        <v>127</v>
      </c>
      <c r="B166" s="304" t="s">
        <v>564</v>
      </c>
      <c r="C166" s="293">
        <v>0</v>
      </c>
      <c r="D166" s="293">
        <v>0</v>
      </c>
      <c r="E166" s="293">
        <v>0</v>
      </c>
      <c r="F166" s="293">
        <v>0</v>
      </c>
      <c r="G166" s="293">
        <v>0</v>
      </c>
      <c r="H166" s="293">
        <v>0</v>
      </c>
      <c r="I166" s="293">
        <v>0</v>
      </c>
      <c r="J166" s="293">
        <v>0</v>
      </c>
      <c r="K166" s="293">
        <v>0</v>
      </c>
      <c r="L166" s="293">
        <v>0</v>
      </c>
      <c r="M166" s="655">
        <v>0</v>
      </c>
      <c r="N166" s="1"/>
    </row>
    <row r="167" spans="1:23" x14ac:dyDescent="0.25">
      <c r="A167" s="303" t="s">
        <v>127</v>
      </c>
      <c r="B167" s="304" t="s">
        <v>238</v>
      </c>
      <c r="C167" s="281">
        <v>100000</v>
      </c>
      <c r="D167" s="281">
        <v>100000</v>
      </c>
      <c r="E167" s="281">
        <v>100000</v>
      </c>
      <c r="F167" s="281">
        <v>100000</v>
      </c>
      <c r="G167" s="281">
        <v>100000</v>
      </c>
      <c r="H167" s="281">
        <v>100000</v>
      </c>
      <c r="I167" s="281">
        <v>100000</v>
      </c>
      <c r="J167" s="281">
        <v>100000</v>
      </c>
      <c r="K167" s="281">
        <v>100000</v>
      </c>
      <c r="L167" s="281"/>
      <c r="M167" s="655">
        <f t="shared" si="73"/>
        <v>0</v>
      </c>
      <c r="N167" s="1"/>
    </row>
    <row r="168" spans="1:23" x14ac:dyDescent="0.25">
      <c r="A168" s="303" t="s">
        <v>127</v>
      </c>
      <c r="B168" s="294" t="s">
        <v>267</v>
      </c>
      <c r="C168" s="281">
        <v>200000</v>
      </c>
      <c r="D168" s="281">
        <v>200000</v>
      </c>
      <c r="E168" s="281">
        <v>200000</v>
      </c>
      <c r="F168" s="281">
        <v>200000</v>
      </c>
      <c r="G168" s="281">
        <v>200000</v>
      </c>
      <c r="H168" s="281">
        <v>200000</v>
      </c>
      <c r="I168" s="281">
        <v>200000</v>
      </c>
      <c r="J168" s="281">
        <v>200000</v>
      </c>
      <c r="K168" s="281">
        <v>200000</v>
      </c>
      <c r="L168" s="281"/>
      <c r="M168" s="655">
        <f t="shared" si="73"/>
        <v>0</v>
      </c>
      <c r="N168" s="1"/>
    </row>
    <row r="169" spans="1:23" ht="15.75" thickBot="1" x14ac:dyDescent="0.3">
      <c r="A169" s="299" t="s">
        <v>131</v>
      </c>
      <c r="B169" s="659" t="s">
        <v>394</v>
      </c>
      <c r="C169" s="284">
        <v>0</v>
      </c>
      <c r="D169" s="284">
        <v>0</v>
      </c>
      <c r="E169" s="284">
        <v>0</v>
      </c>
      <c r="F169" s="284">
        <v>0</v>
      </c>
      <c r="G169" s="284">
        <v>0</v>
      </c>
      <c r="H169" s="284">
        <v>0</v>
      </c>
      <c r="I169" s="284">
        <v>0</v>
      </c>
      <c r="J169" s="284">
        <v>0</v>
      </c>
      <c r="K169" s="284">
        <v>0</v>
      </c>
      <c r="L169" s="284"/>
      <c r="M169" s="655">
        <v>0</v>
      </c>
      <c r="N169" s="1"/>
    </row>
    <row r="170" spans="1:23" x14ac:dyDescent="0.25">
      <c r="A170" s="308" t="s">
        <v>136</v>
      </c>
      <c r="B170" s="275" t="s">
        <v>269</v>
      </c>
      <c r="C170" s="287">
        <v>381000</v>
      </c>
      <c r="D170" s="287">
        <v>381000</v>
      </c>
      <c r="E170" s="287">
        <v>381000</v>
      </c>
      <c r="F170" s="287">
        <v>381000</v>
      </c>
      <c r="G170" s="287">
        <v>381000</v>
      </c>
      <c r="H170" s="287">
        <v>381000</v>
      </c>
      <c r="I170" s="287">
        <v>381000</v>
      </c>
      <c r="J170" s="287">
        <v>381000</v>
      </c>
      <c r="K170" s="287">
        <v>381000</v>
      </c>
      <c r="L170" s="287"/>
      <c r="M170" s="655">
        <f t="shared" si="73"/>
        <v>0</v>
      </c>
      <c r="N170" s="1"/>
    </row>
    <row r="171" spans="1:23" ht="15.75" thickBot="1" x14ac:dyDescent="0.3">
      <c r="A171" s="310" t="s">
        <v>152</v>
      </c>
      <c r="B171" s="446" t="s">
        <v>386</v>
      </c>
      <c r="C171" s="284">
        <f>186800-94000</f>
        <v>92800</v>
      </c>
      <c r="D171" s="284">
        <f>186800-94000</f>
        <v>92800</v>
      </c>
      <c r="E171" s="284">
        <f>186800-94000</f>
        <v>92800</v>
      </c>
      <c r="F171" s="284">
        <f>186800-94000</f>
        <v>92800</v>
      </c>
      <c r="G171" s="632">
        <f>186800-94000+18000</f>
        <v>110800</v>
      </c>
      <c r="H171" s="284">
        <f>186800-94000+18000</f>
        <v>110800</v>
      </c>
      <c r="I171" s="632">
        <f>186800-94000+18000+2500</f>
        <v>113300</v>
      </c>
      <c r="J171" s="284">
        <f>186800-94000+18000+2500</f>
        <v>113300</v>
      </c>
      <c r="K171" s="284">
        <f>186800-94000+18000+2500</f>
        <v>113300</v>
      </c>
      <c r="L171" s="284">
        <v>75612</v>
      </c>
      <c r="M171" s="655">
        <f t="shared" si="73"/>
        <v>0.66736098852603709</v>
      </c>
      <c r="N171" s="1"/>
    </row>
    <row r="172" spans="1:23" x14ac:dyDescent="0.25">
      <c r="A172" s="311"/>
      <c r="B172" s="312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655"/>
      <c r="N172" s="313"/>
    </row>
    <row r="173" spans="1:23" x14ac:dyDescent="0.25">
      <c r="A173" s="314"/>
      <c r="B173" s="315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655"/>
      <c r="N173" s="316"/>
    </row>
    <row r="174" spans="1:23" ht="18.75" thickBot="1" x14ac:dyDescent="0.3">
      <c r="A174" s="834" t="s">
        <v>197</v>
      </c>
      <c r="B174" s="835"/>
      <c r="C174" s="835"/>
      <c r="D174" s="835"/>
      <c r="E174" s="835"/>
      <c r="F174" s="835"/>
      <c r="G174" s="835"/>
      <c r="H174" s="835"/>
      <c r="I174" s="835"/>
      <c r="J174" s="835"/>
      <c r="K174" s="835"/>
      <c r="L174" s="835"/>
      <c r="M174" s="655"/>
      <c r="N174" s="1"/>
    </row>
    <row r="175" spans="1:23" ht="46.5" customHeight="1" thickBot="1" x14ac:dyDescent="0.3">
      <c r="A175" s="819" t="s">
        <v>1</v>
      </c>
      <c r="B175" s="831"/>
      <c r="C175" s="416" t="s">
        <v>376</v>
      </c>
      <c r="D175" s="416" t="s">
        <v>509</v>
      </c>
      <c r="E175" s="416" t="s">
        <v>511</v>
      </c>
      <c r="F175" s="416" t="s">
        <v>512</v>
      </c>
      <c r="G175" s="416" t="s">
        <v>377</v>
      </c>
      <c r="H175" s="416" t="s">
        <v>541</v>
      </c>
      <c r="I175" s="416" t="s">
        <v>497</v>
      </c>
      <c r="J175" s="416" t="s">
        <v>556</v>
      </c>
      <c r="K175" s="416" t="s">
        <v>561</v>
      </c>
      <c r="L175" s="416" t="s">
        <v>588</v>
      </c>
      <c r="M175" s="655"/>
      <c r="N175" s="1"/>
    </row>
    <row r="176" spans="1:23" ht="16.5" thickBot="1" x14ac:dyDescent="0.3">
      <c r="A176" s="447" t="s">
        <v>198</v>
      </c>
      <c r="B176" s="448"/>
      <c r="C176" s="449">
        <f t="shared" ref="C176:L176" si="102">SUM(C177:C185)</f>
        <v>586880</v>
      </c>
      <c r="D176" s="449">
        <f t="shared" si="102"/>
        <v>586880</v>
      </c>
      <c r="E176" s="449">
        <f t="shared" si="102"/>
        <v>586880</v>
      </c>
      <c r="F176" s="449">
        <f t="shared" si="102"/>
        <v>589615</v>
      </c>
      <c r="G176" s="449">
        <f t="shared" si="102"/>
        <v>589635</v>
      </c>
      <c r="H176" s="449">
        <f t="shared" si="102"/>
        <v>589635</v>
      </c>
      <c r="I176" s="449">
        <f t="shared" si="102"/>
        <v>589635</v>
      </c>
      <c r="J176" s="449">
        <f t="shared" ref="J176:K176" si="103">SUM(J177:J185)</f>
        <v>589635</v>
      </c>
      <c r="K176" s="449">
        <f t="shared" si="103"/>
        <v>589635</v>
      </c>
      <c r="L176" s="449">
        <f t="shared" si="102"/>
        <v>95764</v>
      </c>
      <c r="M176" s="655">
        <f t="shared" si="73"/>
        <v>0.16241233983735701</v>
      </c>
      <c r="N176" s="27">
        <f t="shared" ref="N176" si="104">D176-C176</f>
        <v>0</v>
      </c>
      <c r="O176" s="27">
        <f t="shared" ref="O176" si="105">E176-D176</f>
        <v>0</v>
      </c>
      <c r="P176" s="27">
        <f t="shared" ref="P176" si="106">F176-E176</f>
        <v>2735</v>
      </c>
      <c r="Q176" s="27">
        <f t="shared" ref="Q176" si="107">G176-F176</f>
        <v>20</v>
      </c>
      <c r="R176" s="27">
        <f t="shared" ref="R176" si="108">H176-G176</f>
        <v>0</v>
      </c>
      <c r="S176" s="27">
        <f t="shared" ref="S176" si="109">I176-H176</f>
        <v>0</v>
      </c>
      <c r="T176" s="27">
        <f t="shared" ref="T176" si="110">J176-I176</f>
        <v>0</v>
      </c>
      <c r="U176" s="27">
        <f t="shared" ref="U176" si="111">K176-J176</f>
        <v>0</v>
      </c>
      <c r="V176" s="27"/>
      <c r="W176" s="27"/>
    </row>
    <row r="177" spans="1:25" x14ac:dyDescent="0.25">
      <c r="A177" s="317">
        <v>453</v>
      </c>
      <c r="B177" s="318" t="s">
        <v>401</v>
      </c>
      <c r="C177" s="319">
        <v>1500</v>
      </c>
      <c r="D177" s="319">
        <v>1500</v>
      </c>
      <c r="E177" s="319">
        <v>1500</v>
      </c>
      <c r="F177" s="319">
        <v>1500</v>
      </c>
      <c r="G177" s="319">
        <v>1500</v>
      </c>
      <c r="H177" s="319">
        <v>1500</v>
      </c>
      <c r="I177" s="319">
        <v>1500</v>
      </c>
      <c r="J177" s="319">
        <v>1500</v>
      </c>
      <c r="K177" s="319">
        <v>1500</v>
      </c>
      <c r="L177" s="319">
        <v>0</v>
      </c>
      <c r="M177" s="655">
        <f t="shared" si="73"/>
        <v>0</v>
      </c>
      <c r="N177" s="1"/>
    </row>
    <row r="178" spans="1:25" x14ac:dyDescent="0.25">
      <c r="A178" s="317">
        <v>453</v>
      </c>
      <c r="B178" s="318" t="s">
        <v>402</v>
      </c>
      <c r="C178" s="319">
        <v>0</v>
      </c>
      <c r="D178" s="319">
        <v>0</v>
      </c>
      <c r="E178" s="319">
        <v>0</v>
      </c>
      <c r="F178" s="319">
        <v>0</v>
      </c>
      <c r="G178" s="319">
        <v>0</v>
      </c>
      <c r="H178" s="319">
        <v>0</v>
      </c>
      <c r="I178" s="319">
        <v>0</v>
      </c>
      <c r="J178" s="319">
        <v>0</v>
      </c>
      <c r="K178" s="319">
        <v>0</v>
      </c>
      <c r="L178" s="319">
        <v>0</v>
      </c>
      <c r="M178" s="655">
        <v>0</v>
      </c>
      <c r="N178" s="663"/>
    </row>
    <row r="179" spans="1:25" x14ac:dyDescent="0.25">
      <c r="A179" s="435">
        <v>453</v>
      </c>
      <c r="B179" s="436" t="s">
        <v>318</v>
      </c>
      <c r="C179" s="64">
        <f>3000+19000</f>
        <v>22000</v>
      </c>
      <c r="D179" s="64">
        <f>3000+19000</f>
        <v>22000</v>
      </c>
      <c r="E179" s="64">
        <f>3000+19000</f>
        <v>22000</v>
      </c>
      <c r="F179" s="619">
        <f t="shared" ref="F179:K179" si="112">3000+19000+2155+580</f>
        <v>24735</v>
      </c>
      <c r="G179" s="64">
        <f t="shared" si="112"/>
        <v>24735</v>
      </c>
      <c r="H179" s="64">
        <f t="shared" si="112"/>
        <v>24735</v>
      </c>
      <c r="I179" s="64">
        <f t="shared" si="112"/>
        <v>24735</v>
      </c>
      <c r="J179" s="64">
        <f t="shared" si="112"/>
        <v>24735</v>
      </c>
      <c r="K179" s="64">
        <f t="shared" si="112"/>
        <v>24735</v>
      </c>
      <c r="L179" s="64">
        <f>3000+19571</f>
        <v>22571</v>
      </c>
      <c r="M179" s="655">
        <f t="shared" si="73"/>
        <v>0.91251263391954718</v>
      </c>
      <c r="N179" s="27">
        <f>E179-C179</f>
        <v>0</v>
      </c>
    </row>
    <row r="180" spans="1:25" x14ac:dyDescent="0.25">
      <c r="A180" s="317">
        <v>453</v>
      </c>
      <c r="B180" s="436" t="s">
        <v>324</v>
      </c>
      <c r="C180" s="319">
        <v>64300</v>
      </c>
      <c r="D180" s="319">
        <v>64300</v>
      </c>
      <c r="E180" s="319">
        <v>64300</v>
      </c>
      <c r="F180" s="319">
        <v>64300</v>
      </c>
      <c r="G180" s="319">
        <v>64300</v>
      </c>
      <c r="H180" s="319">
        <v>64300</v>
      </c>
      <c r="I180" s="319">
        <v>64300</v>
      </c>
      <c r="J180" s="319">
        <v>64300</v>
      </c>
      <c r="K180" s="319">
        <v>64300</v>
      </c>
      <c r="L180" s="319">
        <v>22291</v>
      </c>
      <c r="M180" s="655">
        <f t="shared" si="73"/>
        <v>0.34667185069984446</v>
      </c>
      <c r="N180" s="27"/>
    </row>
    <row r="181" spans="1:25" ht="15.75" thickBot="1" x14ac:dyDescent="0.3">
      <c r="A181" s="320">
        <v>453</v>
      </c>
      <c r="B181" s="321" t="s">
        <v>317</v>
      </c>
      <c r="C181" s="322">
        <v>6000</v>
      </c>
      <c r="D181" s="322">
        <v>6000</v>
      </c>
      <c r="E181" s="322">
        <v>6000</v>
      </c>
      <c r="F181" s="322">
        <v>6000</v>
      </c>
      <c r="G181" s="322">
        <v>6000</v>
      </c>
      <c r="H181" s="322">
        <v>6000</v>
      </c>
      <c r="I181" s="322">
        <v>6000</v>
      </c>
      <c r="J181" s="322">
        <v>6000</v>
      </c>
      <c r="K181" s="322">
        <v>6000</v>
      </c>
      <c r="L181" s="322">
        <v>0</v>
      </c>
      <c r="M181" s="655">
        <f t="shared" si="73"/>
        <v>0</v>
      </c>
      <c r="N181" s="27">
        <f>SUM(C177:C181)</f>
        <v>93800</v>
      </c>
      <c r="P181" s="27"/>
      <c r="W181" s="464"/>
      <c r="X181" s="464"/>
      <c r="Y181" s="464"/>
    </row>
    <row r="182" spans="1:25" x14ac:dyDescent="0.25">
      <c r="A182" s="402">
        <v>454</v>
      </c>
      <c r="B182" s="401" t="s">
        <v>200</v>
      </c>
      <c r="C182" s="403">
        <v>492980</v>
      </c>
      <c r="D182" s="403">
        <v>492980</v>
      </c>
      <c r="E182" s="403">
        <v>492980</v>
      </c>
      <c r="F182" s="403">
        <v>492980</v>
      </c>
      <c r="G182" s="403">
        <v>492980</v>
      </c>
      <c r="H182" s="403">
        <v>492980</v>
      </c>
      <c r="I182" s="403">
        <v>492980</v>
      </c>
      <c r="J182" s="403">
        <v>492980</v>
      </c>
      <c r="K182" s="403">
        <v>492980</v>
      </c>
      <c r="L182" s="403">
        <v>50892</v>
      </c>
      <c r="M182" s="655">
        <f t="shared" si="73"/>
        <v>0.10323339689236886</v>
      </c>
      <c r="N182" s="1"/>
    </row>
    <row r="183" spans="1:25" x14ac:dyDescent="0.25">
      <c r="A183" s="435">
        <v>456</v>
      </c>
      <c r="B183" s="436" t="s">
        <v>201</v>
      </c>
      <c r="C183" s="64">
        <v>100</v>
      </c>
      <c r="D183" s="64">
        <v>100</v>
      </c>
      <c r="E183" s="64">
        <v>100</v>
      </c>
      <c r="F183" s="64">
        <v>100</v>
      </c>
      <c r="G183" s="64">
        <v>100</v>
      </c>
      <c r="H183" s="64">
        <v>100</v>
      </c>
      <c r="I183" s="64">
        <v>100</v>
      </c>
      <c r="J183" s="64">
        <v>100</v>
      </c>
      <c r="K183" s="64">
        <v>100</v>
      </c>
      <c r="L183" s="64">
        <v>10</v>
      </c>
      <c r="M183" s="655">
        <f t="shared" si="73"/>
        <v>0.1</v>
      </c>
      <c r="N183" s="27"/>
      <c r="O183" s="464"/>
      <c r="P183" s="464"/>
      <c r="Q183" s="464"/>
    </row>
    <row r="184" spans="1:25" ht="15.75" thickBot="1" x14ac:dyDescent="0.3">
      <c r="A184" s="402">
        <v>456</v>
      </c>
      <c r="B184" s="401" t="s">
        <v>380</v>
      </c>
      <c r="C184" s="322">
        <v>0</v>
      </c>
      <c r="D184" s="322">
        <v>0</v>
      </c>
      <c r="E184" s="322">
        <v>0</v>
      </c>
      <c r="F184" s="322">
        <v>0</v>
      </c>
      <c r="G184" s="624">
        <v>20</v>
      </c>
      <c r="H184" s="322">
        <v>20</v>
      </c>
      <c r="I184" s="322">
        <v>20</v>
      </c>
      <c r="J184" s="322">
        <v>20</v>
      </c>
      <c r="K184" s="322">
        <v>20</v>
      </c>
      <c r="L184" s="322">
        <v>0</v>
      </c>
      <c r="M184" s="655">
        <f t="shared" si="73"/>
        <v>0</v>
      </c>
      <c r="N184" s="27"/>
      <c r="O184" s="27"/>
      <c r="P184" s="27"/>
    </row>
    <row r="185" spans="1:25" ht="15.75" thickBot="1" x14ac:dyDescent="0.3">
      <c r="A185" s="404">
        <v>513</v>
      </c>
      <c r="B185" s="405" t="s">
        <v>202</v>
      </c>
      <c r="C185" s="618">
        <v>0</v>
      </c>
      <c r="D185" s="618">
        <v>0</v>
      </c>
      <c r="E185" s="618">
        <v>0</v>
      </c>
      <c r="F185" s="618">
        <v>0</v>
      </c>
      <c r="G185" s="618">
        <v>0</v>
      </c>
      <c r="H185" s="618">
        <v>0</v>
      </c>
      <c r="I185" s="618">
        <v>0</v>
      </c>
      <c r="J185" s="618">
        <v>0</v>
      </c>
      <c r="K185" s="618">
        <v>0</v>
      </c>
      <c r="L185" s="618">
        <v>0</v>
      </c>
      <c r="M185" s="655">
        <v>0</v>
      </c>
      <c r="N185" s="27"/>
    </row>
    <row r="186" spans="1:25" ht="16.5" thickBot="1" x14ac:dyDescent="0.3">
      <c r="A186" s="447" t="s">
        <v>203</v>
      </c>
      <c r="B186" s="448"/>
      <c r="C186" s="449">
        <f t="shared" ref="C186:L186" si="113">SUM(C187:C189)</f>
        <v>1070</v>
      </c>
      <c r="D186" s="449">
        <f t="shared" si="113"/>
        <v>1070</v>
      </c>
      <c r="E186" s="449">
        <f t="shared" si="113"/>
        <v>1070</v>
      </c>
      <c r="F186" s="449">
        <f t="shared" si="113"/>
        <v>1070</v>
      </c>
      <c r="G186" s="449">
        <f t="shared" si="113"/>
        <v>1090</v>
      </c>
      <c r="H186" s="449">
        <f t="shared" si="113"/>
        <v>1090</v>
      </c>
      <c r="I186" s="449">
        <f t="shared" si="113"/>
        <v>1090</v>
      </c>
      <c r="J186" s="449">
        <f t="shared" ref="J186:K186" si="114">SUM(J187:J189)</f>
        <v>1090</v>
      </c>
      <c r="K186" s="449">
        <f t="shared" si="114"/>
        <v>1090</v>
      </c>
      <c r="L186" s="449">
        <f t="shared" si="113"/>
        <v>321</v>
      </c>
      <c r="M186" s="655">
        <f t="shared" si="73"/>
        <v>0.29449541284403669</v>
      </c>
      <c r="N186" s="464">
        <f t="shared" ref="N186:U186" si="115">D186-C186</f>
        <v>0</v>
      </c>
      <c r="O186" s="464">
        <f t="shared" si="115"/>
        <v>0</v>
      </c>
      <c r="P186" s="464">
        <f t="shared" si="115"/>
        <v>0</v>
      </c>
      <c r="Q186" s="464">
        <f t="shared" si="115"/>
        <v>20</v>
      </c>
      <c r="R186" s="464">
        <f t="shared" si="115"/>
        <v>0</v>
      </c>
      <c r="S186" s="464">
        <f t="shared" si="115"/>
        <v>0</v>
      </c>
      <c r="T186" s="464">
        <f t="shared" si="115"/>
        <v>0</v>
      </c>
      <c r="U186" s="464">
        <f t="shared" si="115"/>
        <v>0</v>
      </c>
    </row>
    <row r="187" spans="1:25" ht="15" customHeight="1" x14ac:dyDescent="0.25">
      <c r="A187" s="323">
        <v>819</v>
      </c>
      <c r="B187" s="324" t="s">
        <v>204</v>
      </c>
      <c r="C187" s="205">
        <v>100</v>
      </c>
      <c r="D187" s="205">
        <v>100</v>
      </c>
      <c r="E187" s="205">
        <v>100</v>
      </c>
      <c r="F187" s="205">
        <v>100</v>
      </c>
      <c r="G187" s="205">
        <v>100</v>
      </c>
      <c r="H187" s="205">
        <v>100</v>
      </c>
      <c r="I187" s="205">
        <v>100</v>
      </c>
      <c r="J187" s="205">
        <v>100</v>
      </c>
      <c r="K187" s="205">
        <v>100</v>
      </c>
      <c r="L187" s="205">
        <v>10</v>
      </c>
      <c r="M187" s="655">
        <f t="shared" si="73"/>
        <v>0.1</v>
      </c>
      <c r="N187" s="1"/>
    </row>
    <row r="188" spans="1:25" x14ac:dyDescent="0.25">
      <c r="A188" s="325">
        <v>819</v>
      </c>
      <c r="B188" s="326" t="s">
        <v>379</v>
      </c>
      <c r="C188" s="56">
        <v>0</v>
      </c>
      <c r="D188" s="56">
        <v>0</v>
      </c>
      <c r="E188" s="56">
        <v>0</v>
      </c>
      <c r="F188" s="56">
        <v>0</v>
      </c>
      <c r="G188" s="623">
        <v>20</v>
      </c>
      <c r="H188" s="56">
        <v>20</v>
      </c>
      <c r="I188" s="56">
        <v>20</v>
      </c>
      <c r="J188" s="56">
        <v>20</v>
      </c>
      <c r="K188" s="56">
        <v>20</v>
      </c>
      <c r="L188" s="56">
        <v>0</v>
      </c>
      <c r="M188" s="655">
        <f t="shared" si="73"/>
        <v>0</v>
      </c>
      <c r="N188" s="1"/>
    </row>
    <row r="189" spans="1:25" ht="15.75" thickBot="1" x14ac:dyDescent="0.3">
      <c r="A189" s="327">
        <v>821</v>
      </c>
      <c r="B189" s="328" t="s">
        <v>205</v>
      </c>
      <c r="C189" s="128">
        <v>970</v>
      </c>
      <c r="D189" s="128">
        <v>970</v>
      </c>
      <c r="E189" s="128">
        <v>970</v>
      </c>
      <c r="F189" s="128">
        <v>970</v>
      </c>
      <c r="G189" s="128">
        <v>970</v>
      </c>
      <c r="H189" s="128">
        <v>970</v>
      </c>
      <c r="I189" s="128">
        <v>970</v>
      </c>
      <c r="J189" s="128">
        <v>970</v>
      </c>
      <c r="K189" s="128">
        <v>970</v>
      </c>
      <c r="L189" s="128">
        <v>311</v>
      </c>
      <c r="M189" s="655">
        <f t="shared" si="73"/>
        <v>0.32061855670103095</v>
      </c>
      <c r="N189" s="1"/>
    </row>
    <row r="190" spans="1:25" x14ac:dyDescent="0.25">
      <c r="A190" s="314"/>
      <c r="B190" s="329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407"/>
      <c r="N190" s="161"/>
    </row>
    <row r="191" spans="1:25" ht="15.75" x14ac:dyDescent="0.25">
      <c r="A191" s="105"/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</row>
    <row r="192" spans="1:25" ht="18.75" thickBot="1" x14ac:dyDescent="0.3">
      <c r="A192" s="836" t="s">
        <v>206</v>
      </c>
      <c r="B192" s="837"/>
      <c r="C192" s="837"/>
      <c r="D192" s="837"/>
      <c r="E192" s="837"/>
      <c r="F192" s="837"/>
      <c r="G192" s="837"/>
      <c r="H192" s="837"/>
      <c r="I192" s="837"/>
      <c r="J192" s="837"/>
      <c r="K192" s="837"/>
      <c r="L192" s="837"/>
      <c r="M192" s="104"/>
    </row>
    <row r="193" spans="1:21" ht="40.5" customHeight="1" thickBot="1" x14ac:dyDescent="0.3">
      <c r="A193" s="838" t="s">
        <v>1</v>
      </c>
      <c r="B193" s="839"/>
      <c r="C193" s="416" t="s">
        <v>376</v>
      </c>
      <c r="D193" s="416" t="s">
        <v>509</v>
      </c>
      <c r="E193" s="416" t="s">
        <v>511</v>
      </c>
      <c r="F193" s="416" t="s">
        <v>512</v>
      </c>
      <c r="G193" s="416" t="s">
        <v>377</v>
      </c>
      <c r="H193" s="416" t="s">
        <v>541</v>
      </c>
      <c r="I193" s="416" t="s">
        <v>497</v>
      </c>
      <c r="J193" s="416" t="s">
        <v>556</v>
      </c>
      <c r="K193" s="416" t="s">
        <v>561</v>
      </c>
      <c r="L193" s="416" t="s">
        <v>588</v>
      </c>
      <c r="M193" s="104"/>
    </row>
    <row r="194" spans="1:21" ht="15.75" x14ac:dyDescent="0.25">
      <c r="A194" s="330" t="s">
        <v>207</v>
      </c>
      <c r="B194" s="29"/>
      <c r="C194" s="331">
        <f t="shared" ref="C194:L194" si="116">C74</f>
        <v>2247848</v>
      </c>
      <c r="D194" s="331">
        <f t="shared" si="116"/>
        <v>2247848</v>
      </c>
      <c r="E194" s="331">
        <f t="shared" si="116"/>
        <v>2274078</v>
      </c>
      <c r="F194" s="331">
        <f t="shared" si="116"/>
        <v>2280478</v>
      </c>
      <c r="G194" s="331">
        <f t="shared" si="116"/>
        <v>2286478</v>
      </c>
      <c r="H194" s="331">
        <f t="shared" si="116"/>
        <v>2290416</v>
      </c>
      <c r="I194" s="331">
        <f t="shared" si="116"/>
        <v>2301316</v>
      </c>
      <c r="J194" s="331">
        <f t="shared" ref="J194:K194" si="117">J74</f>
        <v>2307537</v>
      </c>
      <c r="K194" s="331">
        <f t="shared" si="117"/>
        <v>2307880</v>
      </c>
      <c r="L194" s="331">
        <f t="shared" si="116"/>
        <v>796490</v>
      </c>
      <c r="M194" s="104"/>
    </row>
    <row r="195" spans="1:21" ht="15.75" x14ac:dyDescent="0.25">
      <c r="A195" s="332" t="s">
        <v>208</v>
      </c>
      <c r="B195" s="333"/>
      <c r="C195" s="334">
        <f t="shared" ref="C195:L195" si="118">C139</f>
        <v>2340678</v>
      </c>
      <c r="D195" s="334">
        <f t="shared" si="118"/>
        <v>2340678</v>
      </c>
      <c r="E195" s="334">
        <f t="shared" si="118"/>
        <v>2366908</v>
      </c>
      <c r="F195" s="334">
        <f t="shared" si="118"/>
        <v>2376043</v>
      </c>
      <c r="G195" s="334">
        <f t="shared" si="118"/>
        <v>2382043</v>
      </c>
      <c r="H195" s="334">
        <f t="shared" si="118"/>
        <v>2385981</v>
      </c>
      <c r="I195" s="334">
        <f t="shared" si="118"/>
        <v>2396881</v>
      </c>
      <c r="J195" s="334">
        <f t="shared" ref="J195:K195" si="119">J139</f>
        <v>2403102</v>
      </c>
      <c r="K195" s="334">
        <f t="shared" si="119"/>
        <v>2403445</v>
      </c>
      <c r="L195" s="334">
        <f t="shared" si="118"/>
        <v>690514</v>
      </c>
      <c r="M195" s="104"/>
    </row>
    <row r="196" spans="1:21" ht="15.75" x14ac:dyDescent="0.25">
      <c r="A196" s="840" t="s">
        <v>209</v>
      </c>
      <c r="B196" s="841"/>
      <c r="C196" s="335">
        <f t="shared" ref="C196:L196" si="120">C194-C195</f>
        <v>-92830</v>
      </c>
      <c r="D196" s="335">
        <f t="shared" si="120"/>
        <v>-92830</v>
      </c>
      <c r="E196" s="335">
        <f t="shared" si="120"/>
        <v>-92830</v>
      </c>
      <c r="F196" s="335">
        <f t="shared" si="120"/>
        <v>-95565</v>
      </c>
      <c r="G196" s="335">
        <f t="shared" si="120"/>
        <v>-95565</v>
      </c>
      <c r="H196" s="335">
        <f t="shared" si="120"/>
        <v>-95565</v>
      </c>
      <c r="I196" s="335">
        <f t="shared" si="120"/>
        <v>-95565</v>
      </c>
      <c r="J196" s="335">
        <f t="shared" ref="J196:K196" si="121">J194-J195</f>
        <v>-95565</v>
      </c>
      <c r="K196" s="335">
        <f t="shared" si="121"/>
        <v>-95565</v>
      </c>
      <c r="L196" s="335">
        <f t="shared" si="120"/>
        <v>105976</v>
      </c>
      <c r="M196" s="104"/>
    </row>
    <row r="197" spans="1:21" ht="15.75" x14ac:dyDescent="0.25">
      <c r="A197" s="332" t="s">
        <v>210</v>
      </c>
      <c r="B197" s="18"/>
      <c r="C197" s="334">
        <f t="shared" ref="C197:L197" si="122">C144</f>
        <v>774720</v>
      </c>
      <c r="D197" s="334">
        <f t="shared" si="122"/>
        <v>774720</v>
      </c>
      <c r="E197" s="334">
        <f t="shared" si="122"/>
        <v>774720</v>
      </c>
      <c r="F197" s="334">
        <f t="shared" si="122"/>
        <v>774720</v>
      </c>
      <c r="G197" s="334">
        <f t="shared" si="122"/>
        <v>778710</v>
      </c>
      <c r="H197" s="334">
        <f t="shared" si="122"/>
        <v>778710</v>
      </c>
      <c r="I197" s="334">
        <f t="shared" si="122"/>
        <v>781210</v>
      </c>
      <c r="J197" s="334">
        <f t="shared" ref="J197:K197" si="123">J144</f>
        <v>781210</v>
      </c>
      <c r="K197" s="334">
        <f t="shared" si="123"/>
        <v>781210</v>
      </c>
      <c r="L197" s="334">
        <f t="shared" si="122"/>
        <v>49456</v>
      </c>
      <c r="M197" s="104"/>
    </row>
    <row r="198" spans="1:21" ht="15.75" x14ac:dyDescent="0.25">
      <c r="A198" s="332" t="s">
        <v>211</v>
      </c>
      <c r="B198" s="18"/>
      <c r="C198" s="20">
        <f t="shared" ref="C198:L198" si="124">C154</f>
        <v>1267700</v>
      </c>
      <c r="D198" s="20">
        <f t="shared" si="124"/>
        <v>1267700</v>
      </c>
      <c r="E198" s="20">
        <f t="shared" si="124"/>
        <v>1267700</v>
      </c>
      <c r="F198" s="20">
        <f t="shared" si="124"/>
        <v>1267700</v>
      </c>
      <c r="G198" s="20">
        <f t="shared" si="124"/>
        <v>1267700</v>
      </c>
      <c r="H198" s="20">
        <f t="shared" si="124"/>
        <v>1267700</v>
      </c>
      <c r="I198" s="20">
        <f t="shared" si="124"/>
        <v>1270200</v>
      </c>
      <c r="J198" s="20">
        <f t="shared" ref="J198:K198" si="125">J154</f>
        <v>1270200</v>
      </c>
      <c r="K198" s="20">
        <f t="shared" si="125"/>
        <v>1274190</v>
      </c>
      <c r="L198" s="20">
        <f t="shared" si="124"/>
        <v>96239</v>
      </c>
      <c r="M198" s="104"/>
    </row>
    <row r="199" spans="1:21" ht="15.75" x14ac:dyDescent="0.25">
      <c r="A199" s="840" t="s">
        <v>212</v>
      </c>
      <c r="B199" s="841"/>
      <c r="C199" s="335">
        <f t="shared" ref="C199:L199" si="126">C197-C198</f>
        <v>-492980</v>
      </c>
      <c r="D199" s="335">
        <f t="shared" si="126"/>
        <v>-492980</v>
      </c>
      <c r="E199" s="335">
        <f t="shared" si="126"/>
        <v>-492980</v>
      </c>
      <c r="F199" s="335">
        <f t="shared" si="126"/>
        <v>-492980</v>
      </c>
      <c r="G199" s="335">
        <f t="shared" si="126"/>
        <v>-488990</v>
      </c>
      <c r="H199" s="335">
        <f t="shared" si="126"/>
        <v>-488990</v>
      </c>
      <c r="I199" s="335">
        <f t="shared" si="126"/>
        <v>-488990</v>
      </c>
      <c r="J199" s="335">
        <f t="shared" ref="J199:K199" si="127">J197-J198</f>
        <v>-488990</v>
      </c>
      <c r="K199" s="335">
        <f t="shared" si="127"/>
        <v>-492980</v>
      </c>
      <c r="L199" s="335">
        <f t="shared" si="126"/>
        <v>-46783</v>
      </c>
      <c r="M199" s="104"/>
    </row>
    <row r="200" spans="1:21" ht="15.75" x14ac:dyDescent="0.25">
      <c r="A200" s="336" t="s">
        <v>213</v>
      </c>
      <c r="B200" s="337"/>
      <c r="C200" s="338">
        <f t="shared" ref="C200:L200" si="128">C176</f>
        <v>586880</v>
      </c>
      <c r="D200" s="338">
        <f t="shared" si="128"/>
        <v>586880</v>
      </c>
      <c r="E200" s="338">
        <f t="shared" si="128"/>
        <v>586880</v>
      </c>
      <c r="F200" s="338">
        <f t="shared" si="128"/>
        <v>589615</v>
      </c>
      <c r="G200" s="338">
        <f t="shared" si="128"/>
        <v>589635</v>
      </c>
      <c r="H200" s="338">
        <f t="shared" si="128"/>
        <v>589635</v>
      </c>
      <c r="I200" s="338">
        <f t="shared" si="128"/>
        <v>589635</v>
      </c>
      <c r="J200" s="338">
        <f t="shared" ref="J200:K200" si="129">J176</f>
        <v>589635</v>
      </c>
      <c r="K200" s="338">
        <f t="shared" si="129"/>
        <v>589635</v>
      </c>
      <c r="L200" s="338">
        <f t="shared" si="128"/>
        <v>95764</v>
      </c>
      <c r="M200" s="104"/>
    </row>
    <row r="201" spans="1:21" ht="15.75" x14ac:dyDescent="0.25">
      <c r="A201" s="336" t="s">
        <v>214</v>
      </c>
      <c r="B201" s="337"/>
      <c r="C201" s="338">
        <f t="shared" ref="C201:L201" si="130">C186</f>
        <v>1070</v>
      </c>
      <c r="D201" s="338">
        <f t="shared" si="130"/>
        <v>1070</v>
      </c>
      <c r="E201" s="338">
        <f t="shared" si="130"/>
        <v>1070</v>
      </c>
      <c r="F201" s="338">
        <f t="shared" si="130"/>
        <v>1070</v>
      </c>
      <c r="G201" s="338">
        <f t="shared" si="130"/>
        <v>1090</v>
      </c>
      <c r="H201" s="338">
        <f t="shared" si="130"/>
        <v>1090</v>
      </c>
      <c r="I201" s="338">
        <f t="shared" si="130"/>
        <v>1090</v>
      </c>
      <c r="J201" s="338">
        <f t="shared" ref="J201:K201" si="131">J186</f>
        <v>1090</v>
      </c>
      <c r="K201" s="338">
        <f t="shared" si="131"/>
        <v>1090</v>
      </c>
      <c r="L201" s="338">
        <f t="shared" si="130"/>
        <v>321</v>
      </c>
      <c r="M201" s="104"/>
    </row>
    <row r="202" spans="1:21" ht="16.5" thickBot="1" x14ac:dyDescent="0.3">
      <c r="A202" s="825" t="s">
        <v>215</v>
      </c>
      <c r="B202" s="826"/>
      <c r="C202" s="339">
        <f t="shared" ref="C202:L202" si="132">C200-C201</f>
        <v>585810</v>
      </c>
      <c r="D202" s="339">
        <f t="shared" si="132"/>
        <v>585810</v>
      </c>
      <c r="E202" s="339">
        <f t="shared" si="132"/>
        <v>585810</v>
      </c>
      <c r="F202" s="339">
        <f t="shared" si="132"/>
        <v>588545</v>
      </c>
      <c r="G202" s="339">
        <f t="shared" si="132"/>
        <v>588545</v>
      </c>
      <c r="H202" s="339">
        <f t="shared" si="132"/>
        <v>588545</v>
      </c>
      <c r="I202" s="339">
        <f t="shared" si="132"/>
        <v>588545</v>
      </c>
      <c r="J202" s="339">
        <f t="shared" ref="J202:K202" si="133">J200-J201</f>
        <v>588545</v>
      </c>
      <c r="K202" s="339">
        <f t="shared" si="133"/>
        <v>588545</v>
      </c>
      <c r="L202" s="339">
        <f t="shared" si="132"/>
        <v>95443</v>
      </c>
      <c r="M202" s="104"/>
    </row>
    <row r="203" spans="1:21" ht="16.5" thickBot="1" x14ac:dyDescent="0.3">
      <c r="A203" s="340" t="s">
        <v>216</v>
      </c>
      <c r="B203" s="341"/>
      <c r="C203" s="342">
        <f t="shared" ref="C203:L203" si="134">C196+C199+C202</f>
        <v>0</v>
      </c>
      <c r="D203" s="342">
        <f t="shared" si="134"/>
        <v>0</v>
      </c>
      <c r="E203" s="342">
        <f t="shared" si="134"/>
        <v>0</v>
      </c>
      <c r="F203" s="342">
        <f t="shared" si="134"/>
        <v>0</v>
      </c>
      <c r="G203" s="342">
        <f t="shared" si="134"/>
        <v>3990</v>
      </c>
      <c r="H203" s="342">
        <f t="shared" si="134"/>
        <v>3990</v>
      </c>
      <c r="I203" s="342">
        <f t="shared" si="134"/>
        <v>3990</v>
      </c>
      <c r="J203" s="342">
        <f t="shared" ref="J203:K203" si="135">J196+J199+J202</f>
        <v>3990</v>
      </c>
      <c r="K203" s="342">
        <f t="shared" si="135"/>
        <v>0</v>
      </c>
      <c r="L203" s="342">
        <f t="shared" si="134"/>
        <v>154636</v>
      </c>
      <c r="M203" s="104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04"/>
    </row>
    <row r="205" spans="1:21" x14ac:dyDescent="0.25">
      <c r="A205" s="1"/>
      <c r="B205" s="343" t="s">
        <v>332</v>
      </c>
      <c r="C205" s="27">
        <f t="shared" ref="C205:L206" si="136">C194+C197+C200</f>
        <v>3609448</v>
      </c>
      <c r="D205" s="27">
        <f t="shared" si="136"/>
        <v>3609448</v>
      </c>
      <c r="E205" s="27">
        <f t="shared" si="136"/>
        <v>3635678</v>
      </c>
      <c r="F205" s="27">
        <f t="shared" si="136"/>
        <v>3644813</v>
      </c>
      <c r="G205" s="27">
        <f t="shared" si="136"/>
        <v>3654823</v>
      </c>
      <c r="H205" s="27">
        <f t="shared" si="136"/>
        <v>3658761</v>
      </c>
      <c r="I205" s="27">
        <f t="shared" si="136"/>
        <v>3672161</v>
      </c>
      <c r="J205" s="27">
        <f t="shared" ref="J205:K205" si="137">J194+J197+J200</f>
        <v>3678382</v>
      </c>
      <c r="K205" s="27">
        <f t="shared" si="137"/>
        <v>3678725</v>
      </c>
      <c r="L205" s="27">
        <f t="shared" si="136"/>
        <v>941710</v>
      </c>
      <c r="M205" s="104"/>
      <c r="N205" s="663">
        <f t="shared" ref="N205:U206" si="138">D205-C205</f>
        <v>0</v>
      </c>
      <c r="O205" s="663">
        <f t="shared" si="138"/>
        <v>26230</v>
      </c>
      <c r="P205" s="663">
        <f t="shared" si="138"/>
        <v>9135</v>
      </c>
      <c r="Q205" s="663">
        <f t="shared" si="138"/>
        <v>10010</v>
      </c>
      <c r="R205" s="663">
        <f t="shared" si="138"/>
        <v>3938</v>
      </c>
      <c r="S205" s="663">
        <f t="shared" si="138"/>
        <v>13400</v>
      </c>
      <c r="T205" s="663">
        <f t="shared" si="138"/>
        <v>6221</v>
      </c>
      <c r="U205" s="663">
        <f t="shared" si="138"/>
        <v>343</v>
      </c>
    </row>
    <row r="206" spans="1:21" x14ac:dyDescent="0.25">
      <c r="A206" s="1"/>
      <c r="B206" s="343" t="s">
        <v>333</v>
      </c>
      <c r="C206" s="27">
        <f t="shared" si="136"/>
        <v>3609448</v>
      </c>
      <c r="D206" s="27">
        <f t="shared" si="136"/>
        <v>3609448</v>
      </c>
      <c r="E206" s="27">
        <f t="shared" si="136"/>
        <v>3635678</v>
      </c>
      <c r="F206" s="27">
        <f t="shared" si="136"/>
        <v>3644813</v>
      </c>
      <c r="G206" s="27">
        <f t="shared" si="136"/>
        <v>3650833</v>
      </c>
      <c r="H206" s="27">
        <f t="shared" si="136"/>
        <v>3654771</v>
      </c>
      <c r="I206" s="27">
        <f t="shared" si="136"/>
        <v>3668171</v>
      </c>
      <c r="J206" s="27">
        <f t="shared" ref="J206:K206" si="139">J195+J198+J201</f>
        <v>3674392</v>
      </c>
      <c r="K206" s="27">
        <f t="shared" si="139"/>
        <v>3678725</v>
      </c>
      <c r="L206" s="27">
        <f t="shared" si="136"/>
        <v>787074</v>
      </c>
      <c r="M206" s="104"/>
      <c r="N206" s="663">
        <f t="shared" si="138"/>
        <v>0</v>
      </c>
      <c r="O206" s="663">
        <f t="shared" si="138"/>
        <v>26230</v>
      </c>
      <c r="P206" s="663">
        <f t="shared" si="138"/>
        <v>9135</v>
      </c>
      <c r="Q206" s="663">
        <f t="shared" si="138"/>
        <v>6020</v>
      </c>
      <c r="R206" s="663">
        <f t="shared" si="138"/>
        <v>3938</v>
      </c>
      <c r="S206" s="663">
        <f t="shared" si="138"/>
        <v>13400</v>
      </c>
      <c r="T206" s="663">
        <f t="shared" si="138"/>
        <v>6221</v>
      </c>
      <c r="U206" s="663">
        <f t="shared" si="138"/>
        <v>4333</v>
      </c>
    </row>
    <row r="207" spans="1:21" x14ac:dyDescent="0.25">
      <c r="A207" s="1"/>
      <c r="B207" s="343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104"/>
      <c r="N207" s="663"/>
      <c r="O207" s="663"/>
      <c r="P207" s="663"/>
      <c r="Q207" s="663"/>
      <c r="R207" s="663"/>
      <c r="S207" s="663"/>
      <c r="T207" s="663"/>
      <c r="U207" s="663"/>
    </row>
    <row r="208" spans="1:21" x14ac:dyDescent="0.25">
      <c r="A208" s="1"/>
      <c r="B208" s="343" t="s">
        <v>403</v>
      </c>
      <c r="C208" s="27">
        <f t="shared" ref="C208:L208" si="140">C205-C73</f>
        <v>3593528</v>
      </c>
      <c r="D208" s="27">
        <f t="shared" si="140"/>
        <v>3593528</v>
      </c>
      <c r="E208" s="27">
        <f t="shared" si="140"/>
        <v>3619758</v>
      </c>
      <c r="F208" s="27">
        <f t="shared" si="140"/>
        <v>3628893</v>
      </c>
      <c r="G208" s="27">
        <f t="shared" si="140"/>
        <v>3638903</v>
      </c>
      <c r="H208" s="27">
        <f t="shared" si="140"/>
        <v>3642841</v>
      </c>
      <c r="I208" s="27">
        <f t="shared" si="140"/>
        <v>3656241</v>
      </c>
      <c r="J208" s="27">
        <f t="shared" ref="J208:K208" si="141">J205-J73</f>
        <v>3662462</v>
      </c>
      <c r="K208" s="27">
        <f t="shared" si="141"/>
        <v>3662805</v>
      </c>
      <c r="L208" s="27">
        <f t="shared" si="140"/>
        <v>937049</v>
      </c>
      <c r="M208" s="104"/>
      <c r="N208" s="663">
        <f t="shared" ref="N208:U209" si="142">D208-C208</f>
        <v>0</v>
      </c>
      <c r="O208" s="663">
        <f t="shared" si="142"/>
        <v>26230</v>
      </c>
      <c r="P208" s="663">
        <f t="shared" si="142"/>
        <v>9135</v>
      </c>
      <c r="Q208" s="663">
        <f t="shared" si="142"/>
        <v>10010</v>
      </c>
      <c r="R208" s="663">
        <f t="shared" si="142"/>
        <v>3938</v>
      </c>
      <c r="S208" s="663">
        <f t="shared" si="142"/>
        <v>13400</v>
      </c>
      <c r="T208" s="663">
        <f t="shared" si="142"/>
        <v>6221</v>
      </c>
      <c r="U208" s="663">
        <f t="shared" si="142"/>
        <v>343</v>
      </c>
    </row>
    <row r="209" spans="1:21" x14ac:dyDescent="0.25">
      <c r="A209" s="1"/>
      <c r="B209" s="343" t="s">
        <v>404</v>
      </c>
      <c r="C209" s="27">
        <f t="shared" ref="C209:L209" si="143">C206-C138</f>
        <v>2773338</v>
      </c>
      <c r="D209" s="27">
        <f t="shared" si="143"/>
        <v>2773338</v>
      </c>
      <c r="E209" s="27">
        <f t="shared" si="143"/>
        <v>2777749</v>
      </c>
      <c r="F209" s="27">
        <f t="shared" si="143"/>
        <v>2785484</v>
      </c>
      <c r="G209" s="27">
        <f t="shared" si="143"/>
        <v>2791504</v>
      </c>
      <c r="H209" s="27">
        <f t="shared" si="143"/>
        <v>2794704</v>
      </c>
      <c r="I209" s="27">
        <f t="shared" si="143"/>
        <v>2808104</v>
      </c>
      <c r="J209" s="27">
        <f t="shared" ref="J209:K209" si="144">J206-J138</f>
        <v>2811104</v>
      </c>
      <c r="K209" s="27">
        <f t="shared" si="144"/>
        <v>2815437</v>
      </c>
      <c r="L209" s="27">
        <f t="shared" si="143"/>
        <v>491336</v>
      </c>
      <c r="M209" s="104"/>
      <c r="N209" s="663">
        <f t="shared" si="142"/>
        <v>0</v>
      </c>
      <c r="O209" s="663">
        <f t="shared" si="142"/>
        <v>4411</v>
      </c>
      <c r="P209" s="663">
        <f t="shared" si="142"/>
        <v>7735</v>
      </c>
      <c r="Q209" s="663">
        <f t="shared" si="142"/>
        <v>6020</v>
      </c>
      <c r="R209" s="663">
        <f t="shared" si="142"/>
        <v>3200</v>
      </c>
      <c r="S209" s="663">
        <f t="shared" si="142"/>
        <v>13400</v>
      </c>
      <c r="T209" s="663">
        <f t="shared" si="142"/>
        <v>3000</v>
      </c>
      <c r="U209" s="663">
        <f t="shared" si="142"/>
        <v>4333</v>
      </c>
    </row>
    <row r="210" spans="1:21" x14ac:dyDescent="0.25">
      <c r="A210" s="1"/>
      <c r="B210" s="343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104"/>
      <c r="N210" s="663"/>
      <c r="O210" s="663"/>
      <c r="P210" s="663"/>
      <c r="Q210" s="663"/>
      <c r="R210" s="663"/>
      <c r="S210" s="663"/>
      <c r="T210" s="663"/>
      <c r="U210" s="663"/>
    </row>
    <row r="211" spans="1:21" x14ac:dyDescent="0.25">
      <c r="A211" s="104"/>
      <c r="B211" s="530" t="s">
        <v>330</v>
      </c>
      <c r="C211" s="532">
        <f t="shared" ref="C211:L212" si="145">C205-C208</f>
        <v>15920</v>
      </c>
      <c r="D211" s="532">
        <f t="shared" si="145"/>
        <v>15920</v>
      </c>
      <c r="E211" s="532">
        <f t="shared" si="145"/>
        <v>15920</v>
      </c>
      <c r="F211" s="532">
        <f t="shared" si="145"/>
        <v>15920</v>
      </c>
      <c r="G211" s="532">
        <f t="shared" si="145"/>
        <v>15920</v>
      </c>
      <c r="H211" s="532">
        <f t="shared" si="145"/>
        <v>15920</v>
      </c>
      <c r="I211" s="532">
        <f t="shared" si="145"/>
        <v>15920</v>
      </c>
      <c r="J211" s="532">
        <f t="shared" ref="J211:K211" si="146">J205-J208</f>
        <v>15920</v>
      </c>
      <c r="K211" s="532">
        <f t="shared" si="146"/>
        <v>15920</v>
      </c>
      <c r="L211" s="532">
        <f t="shared" si="145"/>
        <v>4661</v>
      </c>
      <c r="M211" s="104"/>
      <c r="N211" s="663">
        <f>D211-C211</f>
        <v>0</v>
      </c>
      <c r="O211" s="663">
        <f t="shared" ref="O211:U212" si="147">E211-D211</f>
        <v>0</v>
      </c>
      <c r="P211" s="663">
        <f t="shared" si="147"/>
        <v>0</v>
      </c>
      <c r="Q211" s="663">
        <f t="shared" si="147"/>
        <v>0</v>
      </c>
      <c r="R211" s="663">
        <f t="shared" si="147"/>
        <v>0</v>
      </c>
      <c r="S211" s="663">
        <f t="shared" si="147"/>
        <v>0</v>
      </c>
      <c r="T211" s="663">
        <f t="shared" si="147"/>
        <v>0</v>
      </c>
      <c r="U211" s="663">
        <f t="shared" si="147"/>
        <v>0</v>
      </c>
    </row>
    <row r="212" spans="1:21" x14ac:dyDescent="0.25">
      <c r="A212" s="1"/>
      <c r="B212" s="531" t="s">
        <v>331</v>
      </c>
      <c r="C212" s="617">
        <f t="shared" si="145"/>
        <v>836110</v>
      </c>
      <c r="D212" s="617">
        <f t="shared" si="145"/>
        <v>836110</v>
      </c>
      <c r="E212" s="617">
        <f t="shared" si="145"/>
        <v>857929</v>
      </c>
      <c r="F212" s="617">
        <f t="shared" si="145"/>
        <v>859329</v>
      </c>
      <c r="G212" s="617">
        <f t="shared" si="145"/>
        <v>859329</v>
      </c>
      <c r="H212" s="617">
        <f t="shared" si="145"/>
        <v>860067</v>
      </c>
      <c r="I212" s="617">
        <f t="shared" si="145"/>
        <v>860067</v>
      </c>
      <c r="J212" s="617">
        <f t="shared" ref="J212:K212" si="148">J206-J209</f>
        <v>863288</v>
      </c>
      <c r="K212" s="617">
        <f t="shared" si="148"/>
        <v>863288</v>
      </c>
      <c r="L212" s="617">
        <f t="shared" si="145"/>
        <v>295738</v>
      </c>
      <c r="M212" s="104"/>
      <c r="N212" s="663">
        <f>D212-C212</f>
        <v>0</v>
      </c>
      <c r="O212" s="663">
        <f t="shared" si="147"/>
        <v>21819</v>
      </c>
      <c r="P212" s="663">
        <f t="shared" si="147"/>
        <v>1400</v>
      </c>
      <c r="Q212" s="663">
        <f t="shared" si="147"/>
        <v>0</v>
      </c>
      <c r="R212" s="663">
        <f t="shared" si="147"/>
        <v>738</v>
      </c>
      <c r="S212" s="663">
        <f t="shared" si="147"/>
        <v>0</v>
      </c>
      <c r="T212" s="663">
        <f t="shared" si="147"/>
        <v>3221</v>
      </c>
      <c r="U212" s="663">
        <f t="shared" si="147"/>
        <v>0</v>
      </c>
    </row>
    <row r="213" spans="1:21" x14ac:dyDescent="0.25">
      <c r="A213" s="1"/>
      <c r="B213" s="1"/>
      <c r="C213" s="617">
        <f>C212-C211+C203</f>
        <v>820190</v>
      </c>
      <c r="D213" s="617">
        <f t="shared" ref="D213:L213" si="149">D212-D211+D203</f>
        <v>820190</v>
      </c>
      <c r="E213" s="617">
        <f t="shared" si="149"/>
        <v>842009</v>
      </c>
      <c r="F213" s="617">
        <f t="shared" si="149"/>
        <v>843409</v>
      </c>
      <c r="G213" s="617">
        <f t="shared" si="149"/>
        <v>847399</v>
      </c>
      <c r="H213" s="617">
        <f t="shared" si="149"/>
        <v>848137</v>
      </c>
      <c r="I213" s="617">
        <f t="shared" si="149"/>
        <v>848137</v>
      </c>
      <c r="J213" s="617">
        <f t="shared" si="149"/>
        <v>851358</v>
      </c>
      <c r="K213" s="617">
        <f t="shared" si="149"/>
        <v>847368</v>
      </c>
      <c r="L213" s="617">
        <f t="shared" si="149"/>
        <v>445713</v>
      </c>
      <c r="M213" s="104"/>
      <c r="N213" s="104"/>
      <c r="O213" s="104"/>
      <c r="P213" s="104"/>
    </row>
    <row r="214" spans="1:21" x14ac:dyDescent="0.25">
      <c r="A214" s="1"/>
      <c r="B214" s="346" t="s">
        <v>217</v>
      </c>
      <c r="C214" s="346"/>
      <c r="D214" s="346"/>
      <c r="E214" s="346"/>
      <c r="F214" s="346"/>
      <c r="G214" s="346"/>
      <c r="H214" s="346"/>
      <c r="I214" s="346"/>
      <c r="J214" s="346"/>
      <c r="K214" s="346"/>
      <c r="L214" s="346"/>
      <c r="M214" s="104"/>
    </row>
    <row r="215" spans="1:21" x14ac:dyDescent="0.25">
      <c r="A215" s="1"/>
      <c r="B215" s="346" t="s">
        <v>218</v>
      </c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104"/>
    </row>
    <row r="216" spans="1:21" x14ac:dyDescent="0.25">
      <c r="A216" s="1"/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104"/>
    </row>
    <row r="217" spans="1:21" x14ac:dyDescent="0.25">
      <c r="A217" s="1"/>
      <c r="B217" s="346"/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104"/>
    </row>
    <row r="218" spans="1:21" x14ac:dyDescent="0.25">
      <c r="A218" s="1"/>
      <c r="B218" s="348" t="s">
        <v>327</v>
      </c>
      <c r="C218" s="346"/>
      <c r="D218" s="346"/>
      <c r="E218" s="346"/>
      <c r="F218" s="346"/>
      <c r="G218" s="346"/>
      <c r="H218" s="346"/>
      <c r="I218" s="346"/>
      <c r="J218" s="346"/>
      <c r="K218" s="346"/>
      <c r="L218" s="346"/>
      <c r="M218" s="104"/>
    </row>
    <row r="219" spans="1:21" x14ac:dyDescent="0.25">
      <c r="A219" s="1"/>
      <c r="B219" s="348"/>
      <c r="C219" s="346"/>
      <c r="D219" s="346"/>
      <c r="E219" s="346"/>
      <c r="F219" s="346"/>
      <c r="G219" s="346"/>
      <c r="H219" s="346"/>
      <c r="I219" s="346"/>
      <c r="J219" s="346"/>
      <c r="K219" s="346"/>
      <c r="L219" s="346"/>
      <c r="M219" s="104"/>
    </row>
    <row r="220" spans="1:21" x14ac:dyDescent="0.25">
      <c r="A220" s="1"/>
      <c r="B220" s="347" t="s">
        <v>562</v>
      </c>
      <c r="C220" s="346"/>
      <c r="D220" s="346"/>
      <c r="E220" s="346"/>
      <c r="F220" s="346"/>
      <c r="G220" s="346"/>
      <c r="H220" s="346"/>
      <c r="I220" s="346"/>
      <c r="J220" s="346"/>
      <c r="K220" s="346"/>
      <c r="L220" s="346"/>
      <c r="M220" s="1"/>
    </row>
    <row r="221" spans="1:21" x14ac:dyDescent="0.25">
      <c r="A221" s="1"/>
      <c r="B221" s="346" t="s">
        <v>585</v>
      </c>
      <c r="C221" s="346"/>
      <c r="D221" s="346"/>
      <c r="E221" s="346"/>
      <c r="F221" s="346"/>
      <c r="G221" s="346"/>
      <c r="H221" s="346"/>
      <c r="I221" s="346"/>
      <c r="J221" s="346"/>
      <c r="K221" s="346"/>
      <c r="L221" s="346"/>
      <c r="M221" s="1"/>
    </row>
    <row r="222" spans="1:21" x14ac:dyDescent="0.25">
      <c r="A222" s="1"/>
      <c r="B222" s="346" t="s">
        <v>586</v>
      </c>
      <c r="C222" s="346"/>
      <c r="D222" s="346"/>
      <c r="E222" s="346"/>
      <c r="F222" s="346"/>
      <c r="G222" s="346"/>
      <c r="H222" s="346"/>
      <c r="I222" s="346"/>
      <c r="J222" s="346"/>
      <c r="K222" s="346"/>
      <c r="L222" s="346"/>
      <c r="M222" s="1"/>
    </row>
    <row r="223" spans="1:21" x14ac:dyDescent="0.25">
      <c r="A223" s="1"/>
      <c r="B223" s="346"/>
      <c r="C223" s="346"/>
      <c r="D223" s="346"/>
      <c r="E223" s="346"/>
      <c r="F223" s="346"/>
      <c r="G223" s="346"/>
      <c r="H223" s="346"/>
      <c r="I223" s="346"/>
      <c r="J223" s="346"/>
      <c r="K223" s="346"/>
      <c r="L223" s="346"/>
      <c r="M223" s="1"/>
    </row>
    <row r="224" spans="1:21" x14ac:dyDescent="0.25">
      <c r="A224" s="1"/>
      <c r="B224" s="348" t="s">
        <v>485</v>
      </c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1"/>
    </row>
    <row r="225" spans="1:13" x14ac:dyDescent="0.25">
      <c r="A225" s="1"/>
      <c r="B225" s="348" t="s">
        <v>550</v>
      </c>
      <c r="C225" s="346"/>
      <c r="D225" s="346"/>
      <c r="E225" s="346"/>
      <c r="F225" s="346"/>
      <c r="G225" s="346"/>
      <c r="H225" s="346"/>
      <c r="I225" s="346"/>
      <c r="J225" s="346"/>
      <c r="K225" s="346"/>
      <c r="L225" s="346"/>
      <c r="M225" s="1"/>
    </row>
    <row r="226" spans="1:13" x14ac:dyDescent="0.25">
      <c r="A226" s="1"/>
      <c r="B226" s="348" t="s">
        <v>630</v>
      </c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1"/>
    </row>
    <row r="227" spans="1:13" x14ac:dyDescent="0.25">
      <c r="A227" s="1"/>
      <c r="B227" s="348"/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1"/>
    </row>
    <row r="228" spans="1:13" x14ac:dyDescent="0.25">
      <c r="A228" s="1"/>
      <c r="B228" s="346" t="s">
        <v>631</v>
      </c>
      <c r="C228" s="346"/>
      <c r="D228" s="346"/>
      <c r="E228" s="346"/>
      <c r="F228" s="346"/>
      <c r="G228" s="346"/>
      <c r="H228" s="346"/>
      <c r="I228" s="346"/>
      <c r="J228" s="346"/>
      <c r="K228" s="346"/>
      <c r="L228" s="346"/>
    </row>
    <row r="229" spans="1:13" x14ac:dyDescent="0.25">
      <c r="A229" s="1"/>
      <c r="B229" s="34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34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34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34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</sheetData>
  <mergeCells count="24">
    <mergeCell ref="A137:B137"/>
    <mergeCell ref="A1:L1"/>
    <mergeCell ref="A2:B2"/>
    <mergeCell ref="A3:B3"/>
    <mergeCell ref="A11:B11"/>
    <mergeCell ref="A70:B70"/>
    <mergeCell ref="A72:B72"/>
    <mergeCell ref="A73:B73"/>
    <mergeCell ref="A77:L77"/>
    <mergeCell ref="A78:B78"/>
    <mergeCell ref="A94:B94"/>
    <mergeCell ref="A134:B134"/>
    <mergeCell ref="A202:B202"/>
    <mergeCell ref="A138:B138"/>
    <mergeCell ref="A142:L142"/>
    <mergeCell ref="A143:B143"/>
    <mergeCell ref="A144:B144"/>
    <mergeCell ref="A154:B154"/>
    <mergeCell ref="A174:L174"/>
    <mergeCell ref="A175:B175"/>
    <mergeCell ref="A192:L192"/>
    <mergeCell ref="A193:B193"/>
    <mergeCell ref="A196:B196"/>
    <mergeCell ref="A199:B199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&amp;CRozpočet na rok 2022
3.zmena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0"/>
  <sheetViews>
    <sheetView view="pageLayout" zoomScaleNormal="100" workbookViewId="0">
      <selection sqref="A1:J1"/>
    </sheetView>
  </sheetViews>
  <sheetFormatPr defaultRowHeight="15" x14ac:dyDescent="0.25"/>
  <cols>
    <col min="1" max="1" width="6.42578125" customWidth="1"/>
    <col min="2" max="2" width="64.140625" customWidth="1"/>
    <col min="3" max="9" width="13" customWidth="1"/>
    <col min="10" max="10" width="12.85546875" customWidth="1"/>
    <col min="11" max="11" width="6.5703125" customWidth="1"/>
    <col min="13" max="13" width="8.7109375" customWidth="1"/>
    <col min="14" max="14" width="10.28515625" customWidth="1"/>
    <col min="15" max="15" width="9.85546875" customWidth="1"/>
    <col min="17" max="17" width="9.7109375" customWidth="1"/>
  </cols>
  <sheetData>
    <row r="1" spans="1:19" ht="18.75" thickBot="1" x14ac:dyDescent="0.3">
      <c r="A1" s="807" t="s">
        <v>0</v>
      </c>
      <c r="B1" s="808"/>
      <c r="C1" s="808"/>
      <c r="D1" s="808"/>
      <c r="E1" s="808"/>
      <c r="F1" s="808"/>
      <c r="G1" s="808"/>
      <c r="H1" s="808"/>
      <c r="I1" s="808"/>
      <c r="J1" s="808"/>
      <c r="K1" s="1"/>
    </row>
    <row r="2" spans="1:19" ht="39.75" customHeight="1" thickBot="1" x14ac:dyDescent="0.3">
      <c r="A2" s="809" t="s">
        <v>1</v>
      </c>
      <c r="B2" s="810"/>
      <c r="C2" s="416" t="s">
        <v>376</v>
      </c>
      <c r="D2" s="416" t="s">
        <v>509</v>
      </c>
      <c r="E2" s="416" t="s">
        <v>511</v>
      </c>
      <c r="F2" s="416" t="s">
        <v>512</v>
      </c>
      <c r="G2" s="416" t="s">
        <v>453</v>
      </c>
      <c r="H2" s="416" t="s">
        <v>541</v>
      </c>
      <c r="I2" s="416" t="s">
        <v>497</v>
      </c>
      <c r="J2" s="416" t="s">
        <v>500</v>
      </c>
      <c r="K2" s="1" t="s">
        <v>407</v>
      </c>
    </row>
    <row r="3" spans="1:19" ht="15.75" thickBot="1" x14ac:dyDescent="0.3">
      <c r="A3" s="811" t="s">
        <v>4</v>
      </c>
      <c r="B3" s="812"/>
      <c r="C3" s="2">
        <f t="shared" ref="C3:J3" si="0">SUM(C4:C10)</f>
        <v>1289980</v>
      </c>
      <c r="D3" s="2">
        <f t="shared" si="0"/>
        <v>1289980</v>
      </c>
      <c r="E3" s="2">
        <f t="shared" si="0"/>
        <v>1289980</v>
      </c>
      <c r="F3" s="2">
        <f t="shared" si="0"/>
        <v>1289980</v>
      </c>
      <c r="G3" s="2">
        <f t="shared" si="0"/>
        <v>1289980</v>
      </c>
      <c r="H3" s="2">
        <f t="shared" ref="H3:I3" si="1">SUM(H4:H10)</f>
        <v>1289980</v>
      </c>
      <c r="I3" s="2">
        <f t="shared" si="1"/>
        <v>1294880</v>
      </c>
      <c r="J3" s="2">
        <f t="shared" si="0"/>
        <v>384394</v>
      </c>
      <c r="K3" s="655">
        <f>J3/I3</f>
        <v>0.2968568516001483</v>
      </c>
    </row>
    <row r="4" spans="1:19" ht="15.75" thickBot="1" x14ac:dyDescent="0.3">
      <c r="A4" s="3">
        <v>111</v>
      </c>
      <c r="B4" s="124" t="s">
        <v>5</v>
      </c>
      <c r="C4" s="6">
        <v>1214000</v>
      </c>
      <c r="D4" s="6">
        <v>1214000</v>
      </c>
      <c r="E4" s="6">
        <v>1214000</v>
      </c>
      <c r="F4" s="6">
        <v>1214000</v>
      </c>
      <c r="G4" s="6">
        <v>1214000</v>
      </c>
      <c r="H4" s="6">
        <v>1214000</v>
      </c>
      <c r="I4" s="719">
        <f>1214000+4900</f>
        <v>1218900</v>
      </c>
      <c r="J4" s="6">
        <v>357795</v>
      </c>
      <c r="K4" s="655">
        <f t="shared" ref="K4:K67" si="2">J4/I4</f>
        <v>0.29353925670686687</v>
      </c>
    </row>
    <row r="5" spans="1:19" ht="15.75" thickBot="1" x14ac:dyDescent="0.3">
      <c r="A5" s="7">
        <v>121</v>
      </c>
      <c r="B5" s="351" t="s">
        <v>6</v>
      </c>
      <c r="C5" s="11">
        <v>40080</v>
      </c>
      <c r="D5" s="11">
        <v>40080</v>
      </c>
      <c r="E5" s="11">
        <v>40080</v>
      </c>
      <c r="F5" s="11">
        <v>40080</v>
      </c>
      <c r="G5" s="11">
        <v>40080</v>
      </c>
      <c r="H5" s="11">
        <v>40080</v>
      </c>
      <c r="I5" s="11">
        <v>40080</v>
      </c>
      <c r="J5" s="11">
        <v>13267</v>
      </c>
      <c r="K5" s="655">
        <f t="shared" si="2"/>
        <v>0.33101297405189622</v>
      </c>
    </row>
    <row r="6" spans="1:19" x14ac:dyDescent="0.25">
      <c r="A6" s="12">
        <v>133</v>
      </c>
      <c r="B6" s="352" t="s">
        <v>7</v>
      </c>
      <c r="C6" s="16">
        <v>1000</v>
      </c>
      <c r="D6" s="16">
        <v>1000</v>
      </c>
      <c r="E6" s="16">
        <v>1000</v>
      </c>
      <c r="F6" s="16">
        <v>1000</v>
      </c>
      <c r="G6" s="16">
        <v>1000</v>
      </c>
      <c r="H6" s="16">
        <v>1000</v>
      </c>
      <c r="I6" s="16">
        <v>1000</v>
      </c>
      <c r="J6" s="16">
        <v>813</v>
      </c>
      <c r="K6" s="655">
        <f t="shared" si="2"/>
        <v>0.81299999999999994</v>
      </c>
    </row>
    <row r="7" spans="1:19" x14ac:dyDescent="0.25">
      <c r="A7" s="17">
        <v>133</v>
      </c>
      <c r="B7" s="353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400</v>
      </c>
      <c r="I7" s="21">
        <v>400</v>
      </c>
      <c r="J7" s="21">
        <v>0</v>
      </c>
      <c r="K7" s="655">
        <f t="shared" si="2"/>
        <v>0</v>
      </c>
    </row>
    <row r="8" spans="1:19" x14ac:dyDescent="0.25">
      <c r="A8" s="17">
        <v>133</v>
      </c>
      <c r="B8" s="353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2000</v>
      </c>
      <c r="I8" s="21">
        <v>2000</v>
      </c>
      <c r="J8" s="21">
        <v>203</v>
      </c>
      <c r="K8" s="655">
        <f t="shared" si="2"/>
        <v>0.10150000000000001</v>
      </c>
    </row>
    <row r="9" spans="1:19" x14ac:dyDescent="0.25">
      <c r="A9" s="17">
        <v>133</v>
      </c>
      <c r="B9" s="353" t="s">
        <v>10</v>
      </c>
      <c r="C9" s="21">
        <v>2500</v>
      </c>
      <c r="D9" s="21">
        <v>2500</v>
      </c>
      <c r="E9" s="21">
        <v>2500</v>
      </c>
      <c r="F9" s="21">
        <v>2500</v>
      </c>
      <c r="G9" s="21">
        <v>2500</v>
      </c>
      <c r="H9" s="21">
        <v>2500</v>
      </c>
      <c r="I9" s="21">
        <v>2500</v>
      </c>
      <c r="J9" s="21">
        <v>223</v>
      </c>
      <c r="K9" s="655">
        <f t="shared" si="2"/>
        <v>8.9200000000000002E-2</v>
      </c>
    </row>
    <row r="10" spans="1:19" ht="15.75" thickBot="1" x14ac:dyDescent="0.3">
      <c r="A10" s="22">
        <v>133</v>
      </c>
      <c r="B10" s="354" t="s">
        <v>11</v>
      </c>
      <c r="C10" s="26">
        <v>30000</v>
      </c>
      <c r="D10" s="26">
        <v>30000</v>
      </c>
      <c r="E10" s="26">
        <v>30000</v>
      </c>
      <c r="F10" s="26">
        <v>30000</v>
      </c>
      <c r="G10" s="26">
        <v>30000</v>
      </c>
      <c r="H10" s="26">
        <v>30000</v>
      </c>
      <c r="I10" s="26">
        <v>30000</v>
      </c>
      <c r="J10" s="26">
        <v>12093</v>
      </c>
      <c r="K10" s="655">
        <f t="shared" si="2"/>
        <v>0.40310000000000001</v>
      </c>
      <c r="L10" s="464">
        <f>SUM(C6:C10)</f>
        <v>35900</v>
      </c>
      <c r="M10" s="464">
        <f>SUM(E6:E10)</f>
        <v>35900</v>
      </c>
      <c r="N10" s="464">
        <f>SUM(G6:G10)</f>
        <v>35900</v>
      </c>
      <c r="O10" s="464">
        <f t="shared" ref="O10" si="3">SUM(J6:J10)</f>
        <v>13332</v>
      </c>
    </row>
    <row r="11" spans="1:19" ht="15.75" thickBot="1" x14ac:dyDescent="0.3">
      <c r="A11" s="811" t="s">
        <v>12</v>
      </c>
      <c r="B11" s="812"/>
      <c r="C11" s="355">
        <f t="shared" ref="C11:J11" si="4">SUM(C12:C31)</f>
        <v>208158</v>
      </c>
      <c r="D11" s="355">
        <f t="shared" si="4"/>
        <v>208158</v>
      </c>
      <c r="E11" s="355">
        <f t="shared" si="4"/>
        <v>208158</v>
      </c>
      <c r="F11" s="355">
        <f t="shared" si="4"/>
        <v>208158</v>
      </c>
      <c r="G11" s="355">
        <f t="shared" si="4"/>
        <v>208158</v>
      </c>
      <c r="H11" s="355">
        <f t="shared" si="4"/>
        <v>208158</v>
      </c>
      <c r="I11" s="355">
        <f t="shared" si="4"/>
        <v>208158</v>
      </c>
      <c r="J11" s="355">
        <f t="shared" si="4"/>
        <v>46566</v>
      </c>
      <c r="K11" s="655">
        <f t="shared" si="2"/>
        <v>0.22370507018706945</v>
      </c>
    </row>
    <row r="12" spans="1:19" x14ac:dyDescent="0.25">
      <c r="A12" s="28">
        <v>212</v>
      </c>
      <c r="B12" s="29" t="s">
        <v>13</v>
      </c>
      <c r="C12" s="32">
        <v>1893</v>
      </c>
      <c r="D12" s="32">
        <v>1893</v>
      </c>
      <c r="E12" s="32">
        <v>1893</v>
      </c>
      <c r="F12" s="32">
        <v>1893</v>
      </c>
      <c r="G12" s="32">
        <v>1893</v>
      </c>
      <c r="H12" s="32">
        <v>1893</v>
      </c>
      <c r="I12" s="32">
        <v>1893</v>
      </c>
      <c r="J12" s="32">
        <v>287</v>
      </c>
      <c r="K12" s="655">
        <f t="shared" si="2"/>
        <v>0.15161119915478077</v>
      </c>
    </row>
    <row r="13" spans="1:19" x14ac:dyDescent="0.25">
      <c r="A13" s="12">
        <v>212</v>
      </c>
      <c r="B13" s="13" t="s">
        <v>14</v>
      </c>
      <c r="C13" s="16">
        <v>500</v>
      </c>
      <c r="D13" s="16">
        <v>500</v>
      </c>
      <c r="E13" s="16">
        <v>500</v>
      </c>
      <c r="F13" s="16">
        <v>500</v>
      </c>
      <c r="G13" s="16">
        <v>500</v>
      </c>
      <c r="H13" s="16">
        <v>500</v>
      </c>
      <c r="I13" s="16">
        <v>500</v>
      </c>
      <c r="J13" s="16">
        <v>130</v>
      </c>
      <c r="K13" s="655">
        <f t="shared" si="2"/>
        <v>0.26</v>
      </c>
    </row>
    <row r="14" spans="1:19" x14ac:dyDescent="0.25">
      <c r="A14" s="17">
        <v>212</v>
      </c>
      <c r="B14" s="18" t="s">
        <v>15</v>
      </c>
      <c r="C14" s="33">
        <v>3712</v>
      </c>
      <c r="D14" s="33">
        <v>3712</v>
      </c>
      <c r="E14" s="33">
        <v>3712</v>
      </c>
      <c r="F14" s="33">
        <v>3712</v>
      </c>
      <c r="G14" s="33">
        <v>3712</v>
      </c>
      <c r="H14" s="33">
        <v>3712</v>
      </c>
      <c r="I14" s="33">
        <v>3712</v>
      </c>
      <c r="J14" s="33">
        <v>861</v>
      </c>
      <c r="K14" s="655">
        <f t="shared" si="2"/>
        <v>0.23195043103448276</v>
      </c>
    </row>
    <row r="15" spans="1:19" x14ac:dyDescent="0.25">
      <c r="A15" s="17">
        <v>212</v>
      </c>
      <c r="B15" s="18" t="s">
        <v>16</v>
      </c>
      <c r="C15" s="21">
        <v>21393</v>
      </c>
      <c r="D15" s="21">
        <v>21393</v>
      </c>
      <c r="E15" s="21">
        <v>21393</v>
      </c>
      <c r="F15" s="21">
        <v>21393</v>
      </c>
      <c r="G15" s="21">
        <v>21393</v>
      </c>
      <c r="H15" s="21">
        <v>21393</v>
      </c>
      <c r="I15" s="21">
        <v>21393</v>
      </c>
      <c r="J15" s="21">
        <v>3658</v>
      </c>
      <c r="K15" s="655">
        <f t="shared" si="2"/>
        <v>0.1709905109147852</v>
      </c>
    </row>
    <row r="16" spans="1:19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655">
        <v>0</v>
      </c>
      <c r="L16" s="464">
        <f>SUM(C12:C16)</f>
        <v>27498</v>
      </c>
      <c r="M16" s="464">
        <f>SUM(G12:G16)</f>
        <v>27498</v>
      </c>
      <c r="N16" s="464">
        <f t="shared" ref="N16" si="5">SUM(J12:J16)</f>
        <v>4936</v>
      </c>
      <c r="R16" s="27"/>
      <c r="S16" s="464"/>
    </row>
    <row r="17" spans="1:19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5100</v>
      </c>
      <c r="I17" s="41">
        <v>5100</v>
      </c>
      <c r="J17" s="41">
        <v>933</v>
      </c>
      <c r="K17" s="655">
        <f t="shared" si="2"/>
        <v>0.18294117647058825</v>
      </c>
    </row>
    <row r="18" spans="1:19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655">
        <v>0</v>
      </c>
    </row>
    <row r="19" spans="1:19" x14ac:dyDescent="0.25">
      <c r="A19" s="12">
        <v>223</v>
      </c>
      <c r="B19" s="13" t="s">
        <v>398</v>
      </c>
      <c r="C19" s="16">
        <v>650</v>
      </c>
      <c r="D19" s="16">
        <v>650</v>
      </c>
      <c r="E19" s="16">
        <v>650</v>
      </c>
      <c r="F19" s="16">
        <v>650</v>
      </c>
      <c r="G19" s="16">
        <v>650</v>
      </c>
      <c r="H19" s="16">
        <v>650</v>
      </c>
      <c r="I19" s="16">
        <v>650</v>
      </c>
      <c r="J19" s="16">
        <v>30</v>
      </c>
      <c r="K19" s="655">
        <f t="shared" si="2"/>
        <v>4.6153846153846156E-2</v>
      </c>
    </row>
    <row r="20" spans="1:19" x14ac:dyDescent="0.25">
      <c r="A20" s="17">
        <v>223</v>
      </c>
      <c r="B20" s="18" t="s">
        <v>21</v>
      </c>
      <c r="C20" s="21">
        <f t="shared" ref="C20:I20" si="6">19000+3000</f>
        <v>22000</v>
      </c>
      <c r="D20" s="21">
        <f t="shared" si="6"/>
        <v>22000</v>
      </c>
      <c r="E20" s="21">
        <f t="shared" si="6"/>
        <v>22000</v>
      </c>
      <c r="F20" s="21">
        <f t="shared" si="6"/>
        <v>22000</v>
      </c>
      <c r="G20" s="21">
        <f t="shared" si="6"/>
        <v>22000</v>
      </c>
      <c r="H20" s="21">
        <f t="shared" si="6"/>
        <v>22000</v>
      </c>
      <c r="I20" s="21">
        <f t="shared" si="6"/>
        <v>22000</v>
      </c>
      <c r="J20" s="21">
        <v>4086</v>
      </c>
      <c r="K20" s="655">
        <f t="shared" si="2"/>
        <v>0.18572727272727274</v>
      </c>
    </row>
    <row r="21" spans="1:19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50</v>
      </c>
      <c r="I21" s="21">
        <v>50</v>
      </c>
      <c r="J21" s="21">
        <v>0</v>
      </c>
      <c r="K21" s="655">
        <f t="shared" si="2"/>
        <v>0</v>
      </c>
    </row>
    <row r="22" spans="1:19" x14ac:dyDescent="0.25">
      <c r="A22" s="17">
        <v>223</v>
      </c>
      <c r="B22" s="18" t="s">
        <v>23</v>
      </c>
      <c r="C22" s="21">
        <v>1500</v>
      </c>
      <c r="D22" s="21">
        <v>1500</v>
      </c>
      <c r="E22" s="21">
        <v>1500</v>
      </c>
      <c r="F22" s="21">
        <v>1500</v>
      </c>
      <c r="G22" s="21">
        <v>1500</v>
      </c>
      <c r="H22" s="21">
        <v>1500</v>
      </c>
      <c r="I22" s="21">
        <v>1500</v>
      </c>
      <c r="J22" s="21">
        <v>0</v>
      </c>
      <c r="K22" s="655">
        <f t="shared" si="2"/>
        <v>0</v>
      </c>
    </row>
    <row r="23" spans="1:19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1000</v>
      </c>
      <c r="I23" s="21">
        <v>1000</v>
      </c>
      <c r="J23" s="21">
        <v>114</v>
      </c>
      <c r="K23" s="655">
        <f t="shared" si="2"/>
        <v>0.114</v>
      </c>
    </row>
    <row r="24" spans="1:19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1000</v>
      </c>
      <c r="I24" s="21">
        <v>1000</v>
      </c>
      <c r="J24" s="21">
        <v>100</v>
      </c>
      <c r="K24" s="655">
        <f t="shared" si="2"/>
        <v>0.1</v>
      </c>
    </row>
    <row r="25" spans="1:19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40000</v>
      </c>
      <c r="I25" s="21">
        <v>40000</v>
      </c>
      <c r="J25" s="21">
        <v>13683</v>
      </c>
      <c r="K25" s="655">
        <f t="shared" si="2"/>
        <v>0.34207500000000002</v>
      </c>
    </row>
    <row r="26" spans="1:19" x14ac:dyDescent="0.25">
      <c r="A26" s="17">
        <v>223</v>
      </c>
      <c r="B26" s="18" t="s">
        <v>29</v>
      </c>
      <c r="C26" s="21">
        <v>44100</v>
      </c>
      <c r="D26" s="21">
        <v>44100</v>
      </c>
      <c r="E26" s="21">
        <v>44100</v>
      </c>
      <c r="F26" s="21">
        <v>44100</v>
      </c>
      <c r="G26" s="21">
        <v>44100</v>
      </c>
      <c r="H26" s="21">
        <v>44100</v>
      </c>
      <c r="I26" s="21">
        <v>44100</v>
      </c>
      <c r="J26" s="21">
        <v>9111</v>
      </c>
      <c r="K26" s="655">
        <f t="shared" si="2"/>
        <v>0.2065986394557823</v>
      </c>
    </row>
    <row r="27" spans="1:19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60</v>
      </c>
      <c r="I27" s="21">
        <v>60</v>
      </c>
      <c r="J27" s="21">
        <v>4</v>
      </c>
      <c r="K27" s="655">
        <f t="shared" si="2"/>
        <v>6.6666666666666666E-2</v>
      </c>
    </row>
    <row r="28" spans="1:19" x14ac:dyDescent="0.25">
      <c r="A28" s="17">
        <v>223</v>
      </c>
      <c r="B28" s="18" t="s">
        <v>32</v>
      </c>
      <c r="C28" s="21">
        <v>2100</v>
      </c>
      <c r="D28" s="21">
        <v>2100</v>
      </c>
      <c r="E28" s="21">
        <v>2100</v>
      </c>
      <c r="F28" s="21">
        <v>2100</v>
      </c>
      <c r="G28" s="21">
        <v>2100</v>
      </c>
      <c r="H28" s="21">
        <v>2100</v>
      </c>
      <c r="I28" s="21">
        <v>2100</v>
      </c>
      <c r="J28" s="21">
        <v>522</v>
      </c>
      <c r="K28" s="655">
        <f t="shared" si="2"/>
        <v>0.24857142857142858</v>
      </c>
    </row>
    <row r="29" spans="1:19" x14ac:dyDescent="0.25">
      <c r="A29" s="17">
        <v>223</v>
      </c>
      <c r="B29" s="18" t="s">
        <v>271</v>
      </c>
      <c r="C29" s="21">
        <v>2000</v>
      </c>
      <c r="D29" s="21">
        <v>2000</v>
      </c>
      <c r="E29" s="21">
        <v>2000</v>
      </c>
      <c r="F29" s="21">
        <v>2000</v>
      </c>
      <c r="G29" s="21">
        <v>2000</v>
      </c>
      <c r="H29" s="21">
        <v>2000</v>
      </c>
      <c r="I29" s="21">
        <v>2000</v>
      </c>
      <c r="J29" s="21">
        <v>450</v>
      </c>
      <c r="K29" s="655">
        <f t="shared" si="2"/>
        <v>0.22500000000000001</v>
      </c>
    </row>
    <row r="30" spans="1:19" x14ac:dyDescent="0.25">
      <c r="A30" s="43">
        <v>223</v>
      </c>
      <c r="B30" s="44" t="s">
        <v>33</v>
      </c>
      <c r="C30" s="46">
        <v>61000</v>
      </c>
      <c r="D30" s="46">
        <v>61000</v>
      </c>
      <c r="E30" s="46">
        <v>61000</v>
      </c>
      <c r="F30" s="46">
        <v>61000</v>
      </c>
      <c r="G30" s="46">
        <v>61000</v>
      </c>
      <c r="H30" s="46">
        <v>61000</v>
      </c>
      <c r="I30" s="46">
        <v>61000</v>
      </c>
      <c r="J30" s="46">
        <v>12597</v>
      </c>
      <c r="K30" s="655">
        <f t="shared" si="2"/>
        <v>0.20650819672131149</v>
      </c>
    </row>
    <row r="31" spans="1:19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100</v>
      </c>
      <c r="I31" s="48">
        <v>100</v>
      </c>
      <c r="J31" s="48">
        <v>0</v>
      </c>
      <c r="K31" s="655">
        <f t="shared" si="2"/>
        <v>0</v>
      </c>
      <c r="L31" s="27">
        <f>SUM(C19:C31)</f>
        <v>175560</v>
      </c>
      <c r="M31" s="27">
        <f>SUM(G19:G31)</f>
        <v>175560</v>
      </c>
      <c r="N31" s="27">
        <f t="shared" ref="N31" si="7">SUM(J19:J31)</f>
        <v>40697</v>
      </c>
      <c r="R31" s="464"/>
      <c r="S31" s="464"/>
    </row>
    <row r="32" spans="1:19" ht="15.75" thickBot="1" x14ac:dyDescent="0.3">
      <c r="A32" s="727" t="s">
        <v>35</v>
      </c>
      <c r="B32" s="728"/>
      <c r="C32" s="2">
        <f t="shared" ref="C32:J32" si="8">SUM(C33)</f>
        <v>50</v>
      </c>
      <c r="D32" s="2">
        <f t="shared" si="8"/>
        <v>50</v>
      </c>
      <c r="E32" s="2">
        <f t="shared" si="8"/>
        <v>50</v>
      </c>
      <c r="F32" s="2">
        <f t="shared" si="8"/>
        <v>50</v>
      </c>
      <c r="G32" s="2">
        <f t="shared" si="8"/>
        <v>50</v>
      </c>
      <c r="H32" s="2">
        <f t="shared" si="8"/>
        <v>50</v>
      </c>
      <c r="I32" s="2">
        <f t="shared" si="8"/>
        <v>50</v>
      </c>
      <c r="J32" s="2">
        <f t="shared" si="8"/>
        <v>2</v>
      </c>
      <c r="K32" s="655">
        <f t="shared" si="2"/>
        <v>0.04</v>
      </c>
    </row>
    <row r="33" spans="1:12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50</v>
      </c>
      <c r="I33" s="38">
        <v>50</v>
      </c>
      <c r="J33" s="38">
        <v>2</v>
      </c>
      <c r="K33" s="655">
        <f t="shared" si="2"/>
        <v>0.04</v>
      </c>
    </row>
    <row r="34" spans="1:12" ht="15.75" thickBot="1" x14ac:dyDescent="0.3">
      <c r="A34" s="727" t="s">
        <v>37</v>
      </c>
      <c r="B34" s="728"/>
      <c r="C34" s="355">
        <f>SUM(C35:C40)</f>
        <v>47400</v>
      </c>
      <c r="D34" s="355">
        <f>SUM(D35:D40)</f>
        <v>47400</v>
      </c>
      <c r="E34" s="355">
        <f t="shared" ref="E34:J34" si="9">SUM(E35:E40)</f>
        <v>47405</v>
      </c>
      <c r="F34" s="355">
        <f t="shared" si="9"/>
        <v>47405</v>
      </c>
      <c r="G34" s="355">
        <f t="shared" si="9"/>
        <v>47405</v>
      </c>
      <c r="H34" s="355">
        <f t="shared" ref="H34:I34" si="10">SUM(H35:H40)</f>
        <v>47405</v>
      </c>
      <c r="I34" s="355">
        <f t="shared" si="10"/>
        <v>53405</v>
      </c>
      <c r="J34" s="355">
        <f t="shared" si="9"/>
        <v>7578</v>
      </c>
      <c r="K34" s="655">
        <f t="shared" si="2"/>
        <v>0.14189682613987453</v>
      </c>
    </row>
    <row r="35" spans="1:12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655">
        <v>0</v>
      </c>
    </row>
    <row r="36" spans="1:12" x14ac:dyDescent="0.25">
      <c r="A36" s="52">
        <v>292</v>
      </c>
      <c r="B36" s="53" t="s">
        <v>39</v>
      </c>
      <c r="C36" s="55">
        <v>300</v>
      </c>
      <c r="D36" s="55">
        <v>300</v>
      </c>
      <c r="E36" s="55">
        <v>300</v>
      </c>
      <c r="F36" s="55">
        <v>300</v>
      </c>
      <c r="G36" s="55">
        <v>300</v>
      </c>
      <c r="H36" s="55">
        <v>300</v>
      </c>
      <c r="I36" s="55">
        <v>300</v>
      </c>
      <c r="J36" s="55">
        <v>22</v>
      </c>
      <c r="K36" s="655">
        <f t="shared" si="2"/>
        <v>7.3333333333333334E-2</v>
      </c>
    </row>
    <row r="37" spans="1:12" x14ac:dyDescent="0.25">
      <c r="A37" s="57">
        <v>292</v>
      </c>
      <c r="B37" s="58" t="s">
        <v>40</v>
      </c>
      <c r="C37" s="61">
        <v>5000</v>
      </c>
      <c r="D37" s="61">
        <v>5000</v>
      </c>
      <c r="E37" s="61">
        <v>5000</v>
      </c>
      <c r="F37" s="61">
        <v>5000</v>
      </c>
      <c r="G37" s="61">
        <v>5000</v>
      </c>
      <c r="H37" s="61">
        <v>5000</v>
      </c>
      <c r="I37" s="61">
        <v>5000</v>
      </c>
      <c r="J37" s="61">
        <v>414</v>
      </c>
      <c r="K37" s="655">
        <f t="shared" si="2"/>
        <v>8.2799999999999999E-2</v>
      </c>
    </row>
    <row r="38" spans="1:12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500</v>
      </c>
      <c r="I38" s="60">
        <v>500</v>
      </c>
      <c r="J38" s="60">
        <v>6</v>
      </c>
      <c r="K38" s="655">
        <f t="shared" si="2"/>
        <v>1.2E-2</v>
      </c>
    </row>
    <row r="39" spans="1:12" x14ac:dyDescent="0.25">
      <c r="A39" s="57">
        <v>292</v>
      </c>
      <c r="B39" s="18" t="s">
        <v>42</v>
      </c>
      <c r="C39" s="64">
        <v>310</v>
      </c>
      <c r="D39" s="64">
        <v>310</v>
      </c>
      <c r="E39" s="619">
        <f>310+5</f>
        <v>315</v>
      </c>
      <c r="F39" s="64">
        <f>310+5</f>
        <v>315</v>
      </c>
      <c r="G39" s="64">
        <f>310+5</f>
        <v>315</v>
      </c>
      <c r="H39" s="64">
        <f>310+5</f>
        <v>315</v>
      </c>
      <c r="I39" s="64">
        <f>310+5</f>
        <v>315</v>
      </c>
      <c r="J39" s="64">
        <v>0</v>
      </c>
      <c r="K39" s="655">
        <f t="shared" si="2"/>
        <v>0</v>
      </c>
    </row>
    <row r="40" spans="1:12" ht="15.75" thickBot="1" x14ac:dyDescent="0.3">
      <c r="A40" s="57">
        <v>292</v>
      </c>
      <c r="B40" s="58" t="s">
        <v>221</v>
      </c>
      <c r="C40" s="60">
        <f>41600-C39</f>
        <v>41290</v>
      </c>
      <c r="D40" s="60">
        <f>41600-D39</f>
        <v>41290</v>
      </c>
      <c r="E40" s="60">
        <f>41290</f>
        <v>41290</v>
      </c>
      <c r="F40" s="60">
        <f>41290</f>
        <v>41290</v>
      </c>
      <c r="G40" s="60">
        <v>41290</v>
      </c>
      <c r="H40" s="60">
        <v>41290</v>
      </c>
      <c r="I40" s="622">
        <f>41290+6000</f>
        <v>47290</v>
      </c>
      <c r="J40" s="60">
        <v>7136</v>
      </c>
      <c r="K40" s="655">
        <f t="shared" si="2"/>
        <v>0.15089871008669908</v>
      </c>
    </row>
    <row r="41" spans="1:12" ht="15.75" thickBot="1" x14ac:dyDescent="0.3">
      <c r="A41" s="65" t="s">
        <v>44</v>
      </c>
      <c r="B41" s="359"/>
      <c r="C41" s="355">
        <f t="shared" ref="C41:I41" si="11">SUM(C42:C66)</f>
        <v>686340</v>
      </c>
      <c r="D41" s="355">
        <f t="shared" si="11"/>
        <v>686340</v>
      </c>
      <c r="E41" s="355">
        <f t="shared" si="11"/>
        <v>712565</v>
      </c>
      <c r="F41" s="355">
        <f t="shared" si="11"/>
        <v>718965</v>
      </c>
      <c r="G41" s="355">
        <f t="shared" si="11"/>
        <v>724965</v>
      </c>
      <c r="H41" s="355">
        <f t="shared" si="11"/>
        <v>728903</v>
      </c>
      <c r="I41" s="355">
        <f t="shared" si="11"/>
        <v>728903</v>
      </c>
      <c r="J41" s="355">
        <f t="shared" ref="J41" si="12">SUM(J42:J66)</f>
        <v>182398</v>
      </c>
      <c r="K41" s="655">
        <f t="shared" si="2"/>
        <v>0.25023631402257912</v>
      </c>
      <c r="L41" s="464"/>
    </row>
    <row r="42" spans="1:12" x14ac:dyDescent="0.25">
      <c r="A42" s="67">
        <v>311</v>
      </c>
      <c r="B42" s="360" t="s">
        <v>45</v>
      </c>
      <c r="C42" s="68">
        <v>0</v>
      </c>
      <c r="D42" s="68">
        <v>0</v>
      </c>
      <c r="E42" s="68">
        <v>0</v>
      </c>
      <c r="F42" s="696">
        <v>5000</v>
      </c>
      <c r="G42" s="68">
        <f>5000</f>
        <v>5000</v>
      </c>
      <c r="H42" s="68">
        <f>5000</f>
        <v>5000</v>
      </c>
      <c r="I42" s="68">
        <f>5000</f>
        <v>5000</v>
      </c>
      <c r="J42" s="68">
        <v>0</v>
      </c>
      <c r="K42" s="655">
        <f t="shared" si="2"/>
        <v>0</v>
      </c>
    </row>
    <row r="43" spans="1:12" x14ac:dyDescent="0.25">
      <c r="A43" s="71">
        <v>312</v>
      </c>
      <c r="B43" s="76" t="s">
        <v>252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655">
        <v>0</v>
      </c>
    </row>
    <row r="44" spans="1:12" x14ac:dyDescent="0.25">
      <c r="A44" s="67">
        <v>312</v>
      </c>
      <c r="B44" s="360" t="s">
        <v>279</v>
      </c>
      <c r="C44" s="68">
        <v>4000</v>
      </c>
      <c r="D44" s="68">
        <v>4000</v>
      </c>
      <c r="E44" s="68">
        <v>4000</v>
      </c>
      <c r="F44" s="68">
        <v>4000</v>
      </c>
      <c r="G44" s="68">
        <v>4000</v>
      </c>
      <c r="H44" s="68">
        <v>4000</v>
      </c>
      <c r="I44" s="68">
        <v>4000</v>
      </c>
      <c r="J44" s="68">
        <v>0</v>
      </c>
      <c r="K44" s="655">
        <f t="shared" si="2"/>
        <v>0</v>
      </c>
    </row>
    <row r="45" spans="1:12" x14ac:dyDescent="0.25">
      <c r="A45" s="67">
        <v>312</v>
      </c>
      <c r="B45" s="360" t="s">
        <v>272</v>
      </c>
      <c r="C45" s="70">
        <v>4750</v>
      </c>
      <c r="D45" s="70">
        <v>4750</v>
      </c>
      <c r="E45" s="70">
        <v>4750</v>
      </c>
      <c r="F45" s="70">
        <v>4750</v>
      </c>
      <c r="G45" s="70">
        <v>4750</v>
      </c>
      <c r="H45" s="70">
        <v>4750</v>
      </c>
      <c r="I45" s="70">
        <v>4750</v>
      </c>
      <c r="J45" s="70">
        <v>0</v>
      </c>
      <c r="K45" s="655">
        <f t="shared" si="2"/>
        <v>0</v>
      </c>
    </row>
    <row r="46" spans="1:12" x14ac:dyDescent="0.25">
      <c r="A46" s="69">
        <v>312</v>
      </c>
      <c r="B46" s="450" t="s">
        <v>273</v>
      </c>
      <c r="C46" s="70">
        <v>2000</v>
      </c>
      <c r="D46" s="70">
        <v>2000</v>
      </c>
      <c r="E46" s="70">
        <v>2000</v>
      </c>
      <c r="F46" s="70">
        <v>2000</v>
      </c>
      <c r="G46" s="70">
        <v>2000</v>
      </c>
      <c r="H46" s="70">
        <v>2000</v>
      </c>
      <c r="I46" s="70">
        <v>2000</v>
      </c>
      <c r="J46" s="70">
        <v>4635</v>
      </c>
      <c r="K46" s="655">
        <f t="shared" si="2"/>
        <v>2.3174999999999999</v>
      </c>
    </row>
    <row r="47" spans="1:12" x14ac:dyDescent="0.25">
      <c r="A47" s="71">
        <v>312</v>
      </c>
      <c r="B47" s="353" t="s">
        <v>231</v>
      </c>
      <c r="C47" s="16">
        <v>7900</v>
      </c>
      <c r="D47" s="16">
        <v>7900</v>
      </c>
      <c r="E47" s="16">
        <v>7900</v>
      </c>
      <c r="F47" s="16">
        <v>7900</v>
      </c>
      <c r="G47" s="16">
        <v>7900</v>
      </c>
      <c r="H47" s="16">
        <v>7900</v>
      </c>
      <c r="I47" s="16">
        <v>7900</v>
      </c>
      <c r="J47" s="16">
        <v>100</v>
      </c>
      <c r="K47" s="655">
        <f t="shared" si="2"/>
        <v>1.2658227848101266E-2</v>
      </c>
    </row>
    <row r="48" spans="1:12" x14ac:dyDescent="0.25">
      <c r="A48" s="71">
        <v>312</v>
      </c>
      <c r="B48" s="353" t="s">
        <v>232</v>
      </c>
      <c r="C48" s="16">
        <v>150</v>
      </c>
      <c r="D48" s="16">
        <v>150</v>
      </c>
      <c r="E48" s="16">
        <v>150</v>
      </c>
      <c r="F48" s="16">
        <v>150</v>
      </c>
      <c r="G48" s="16">
        <v>150</v>
      </c>
      <c r="H48" s="16">
        <v>150</v>
      </c>
      <c r="I48" s="16">
        <v>150</v>
      </c>
      <c r="J48" s="16">
        <v>0</v>
      </c>
      <c r="K48" s="655">
        <f t="shared" si="2"/>
        <v>0</v>
      </c>
    </row>
    <row r="49" spans="1:12" x14ac:dyDescent="0.25">
      <c r="A49" s="71">
        <v>312</v>
      </c>
      <c r="B49" s="118" t="s">
        <v>51</v>
      </c>
      <c r="C49" s="73">
        <v>2950</v>
      </c>
      <c r="D49" s="73">
        <v>2950</v>
      </c>
      <c r="E49" s="73">
        <v>2950</v>
      </c>
      <c r="F49" s="73">
        <v>2950</v>
      </c>
      <c r="G49" s="73">
        <v>2950</v>
      </c>
      <c r="H49" s="73">
        <v>2950</v>
      </c>
      <c r="I49" s="73">
        <v>2950</v>
      </c>
      <c r="J49" s="73">
        <v>0</v>
      </c>
      <c r="K49" s="655">
        <f t="shared" si="2"/>
        <v>0</v>
      </c>
    </row>
    <row r="50" spans="1:12" x14ac:dyDescent="0.25">
      <c r="A50" s="71">
        <v>312</v>
      </c>
      <c r="B50" s="76" t="s">
        <v>480</v>
      </c>
      <c r="C50" s="73">
        <v>0</v>
      </c>
      <c r="D50" s="73">
        <v>0</v>
      </c>
      <c r="E50" s="73">
        <v>0</v>
      </c>
      <c r="F50" s="73">
        <v>0</v>
      </c>
      <c r="G50" s="697">
        <f>6000</f>
        <v>6000</v>
      </c>
      <c r="H50" s="73">
        <f>6000</f>
        <v>6000</v>
      </c>
      <c r="I50" s="73">
        <f>6000</f>
        <v>6000</v>
      </c>
      <c r="J50" s="73">
        <v>0</v>
      </c>
      <c r="K50" s="655">
        <f t="shared" si="2"/>
        <v>0</v>
      </c>
    </row>
    <row r="51" spans="1:12" ht="15.75" thickBot="1" x14ac:dyDescent="0.3">
      <c r="A51" s="74">
        <v>312</v>
      </c>
      <c r="B51" s="82" t="s">
        <v>54</v>
      </c>
      <c r="C51" s="75">
        <v>40</v>
      </c>
      <c r="D51" s="75">
        <v>40</v>
      </c>
      <c r="E51" s="75">
        <v>40</v>
      </c>
      <c r="F51" s="75">
        <v>40</v>
      </c>
      <c r="G51" s="75">
        <v>40</v>
      </c>
      <c r="H51" s="75">
        <v>40</v>
      </c>
      <c r="I51" s="75">
        <v>40</v>
      </c>
      <c r="J51" s="75">
        <v>37</v>
      </c>
      <c r="K51" s="655">
        <f t="shared" si="2"/>
        <v>0.92500000000000004</v>
      </c>
    </row>
    <row r="52" spans="1:12" ht="15.75" thickBot="1" x14ac:dyDescent="0.3">
      <c r="A52" s="349">
        <v>312</v>
      </c>
      <c r="B52" s="361" t="s">
        <v>399</v>
      </c>
      <c r="C52" s="350">
        <v>4100</v>
      </c>
      <c r="D52" s="350">
        <v>4100</v>
      </c>
      <c r="E52" s="350">
        <v>4100</v>
      </c>
      <c r="F52" s="350">
        <v>4100</v>
      </c>
      <c r="G52" s="350">
        <v>4100</v>
      </c>
      <c r="H52" s="350">
        <v>4100</v>
      </c>
      <c r="I52" s="350">
        <v>4100</v>
      </c>
      <c r="J52" s="350">
        <v>0</v>
      </c>
      <c r="K52" s="655">
        <f t="shared" si="2"/>
        <v>0</v>
      </c>
    </row>
    <row r="53" spans="1:12" x14ac:dyDescent="0.25">
      <c r="A53" s="71">
        <v>312</v>
      </c>
      <c r="B53" s="85" t="s">
        <v>55</v>
      </c>
      <c r="C53" s="16">
        <v>19100</v>
      </c>
      <c r="D53" s="16">
        <v>19100</v>
      </c>
      <c r="E53" s="16">
        <v>19100</v>
      </c>
      <c r="F53" s="16">
        <v>19100</v>
      </c>
      <c r="G53" s="16">
        <v>19100</v>
      </c>
      <c r="H53" s="16">
        <v>19100</v>
      </c>
      <c r="I53" s="16">
        <v>19100</v>
      </c>
      <c r="J53" s="16">
        <v>4901</v>
      </c>
      <c r="K53" s="655">
        <f t="shared" si="2"/>
        <v>0.25659685863874343</v>
      </c>
    </row>
    <row r="54" spans="1:12" x14ac:dyDescent="0.25">
      <c r="A54" s="71">
        <v>312</v>
      </c>
      <c r="B54" s="118" t="s">
        <v>56</v>
      </c>
      <c r="C54" s="16">
        <v>11000</v>
      </c>
      <c r="D54" s="16">
        <v>11000</v>
      </c>
      <c r="E54" s="16">
        <v>11000</v>
      </c>
      <c r="F54" s="16">
        <v>11000</v>
      </c>
      <c r="G54" s="16">
        <v>11000</v>
      </c>
      <c r="H54" s="16">
        <v>11000</v>
      </c>
      <c r="I54" s="16">
        <v>11000</v>
      </c>
      <c r="J54" s="16">
        <v>2750</v>
      </c>
      <c r="K54" s="655">
        <f t="shared" si="2"/>
        <v>0.25</v>
      </c>
    </row>
    <row r="55" spans="1:12" ht="15.75" thickBot="1" x14ac:dyDescent="0.3">
      <c r="A55" s="77">
        <v>312</v>
      </c>
      <c r="B55" s="165" t="s">
        <v>57</v>
      </c>
      <c r="C55" s="79">
        <v>8600</v>
      </c>
      <c r="D55" s="79">
        <v>8600</v>
      </c>
      <c r="E55" s="79">
        <v>8600</v>
      </c>
      <c r="F55" s="79">
        <v>8600</v>
      </c>
      <c r="G55" s="79">
        <v>8600</v>
      </c>
      <c r="H55" s="79">
        <v>8600</v>
      </c>
      <c r="I55" s="79">
        <v>8600</v>
      </c>
      <c r="J55" s="79">
        <v>1400</v>
      </c>
      <c r="K55" s="655">
        <f t="shared" si="2"/>
        <v>0.16279069767441862</v>
      </c>
      <c r="L55" s="464"/>
    </row>
    <row r="56" spans="1:12" ht="15.75" thickBot="1" x14ac:dyDescent="0.3">
      <c r="A56" s="77">
        <v>312</v>
      </c>
      <c r="B56" s="165" t="s">
        <v>540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20">
        <v>3200</v>
      </c>
      <c r="I56" s="79">
        <v>3200</v>
      </c>
      <c r="J56" s="79"/>
      <c r="K56" s="655">
        <f t="shared" si="2"/>
        <v>0</v>
      </c>
      <c r="L56" s="464"/>
    </row>
    <row r="57" spans="1:12" ht="15.75" thickBot="1" x14ac:dyDescent="0.3">
      <c r="A57" s="74">
        <v>312</v>
      </c>
      <c r="B57" s="82" t="s">
        <v>60</v>
      </c>
      <c r="C57" s="75">
        <v>0</v>
      </c>
      <c r="D57" s="75">
        <v>0</v>
      </c>
      <c r="E57" s="633">
        <f>2000</f>
        <v>2000</v>
      </c>
      <c r="F57" s="75">
        <f>2000</f>
        <v>2000</v>
      </c>
      <c r="G57" s="75">
        <f>2000</f>
        <v>2000</v>
      </c>
      <c r="H57" s="75">
        <f>2000</f>
        <v>2000</v>
      </c>
      <c r="I57" s="75">
        <f>2000</f>
        <v>2000</v>
      </c>
      <c r="J57" s="75">
        <v>2000</v>
      </c>
      <c r="K57" s="655">
        <f t="shared" si="2"/>
        <v>1</v>
      </c>
    </row>
    <row r="58" spans="1:12" x14ac:dyDescent="0.25">
      <c r="A58" s="71">
        <v>312</v>
      </c>
      <c r="B58" s="352" t="s">
        <v>61</v>
      </c>
      <c r="C58" s="83">
        <v>5000</v>
      </c>
      <c r="D58" s="83">
        <v>5000</v>
      </c>
      <c r="E58" s="83">
        <v>5000</v>
      </c>
      <c r="F58" s="83">
        <v>5000</v>
      </c>
      <c r="G58" s="83">
        <v>5000</v>
      </c>
      <c r="H58" s="83">
        <v>5000</v>
      </c>
      <c r="I58" s="83">
        <v>5000</v>
      </c>
      <c r="J58" s="83">
        <v>4838</v>
      </c>
      <c r="K58" s="655">
        <f t="shared" si="2"/>
        <v>0.96760000000000002</v>
      </c>
    </row>
    <row r="59" spans="1:12" x14ac:dyDescent="0.25">
      <c r="A59" s="84">
        <v>312</v>
      </c>
      <c r="B59" s="362" t="s">
        <v>62</v>
      </c>
      <c r="C59" s="21">
        <v>3700</v>
      </c>
      <c r="D59" s="21">
        <v>3700</v>
      </c>
      <c r="E59" s="21">
        <v>3700</v>
      </c>
      <c r="F59" s="21">
        <v>3700</v>
      </c>
      <c r="G59" s="21">
        <v>3700</v>
      </c>
      <c r="H59" s="21">
        <v>3700</v>
      </c>
      <c r="I59" s="21">
        <v>3700</v>
      </c>
      <c r="J59" s="21">
        <v>0</v>
      </c>
      <c r="K59" s="655">
        <f t="shared" si="2"/>
        <v>0</v>
      </c>
    </row>
    <row r="60" spans="1:12" x14ac:dyDescent="0.25">
      <c r="A60" s="84">
        <v>312</v>
      </c>
      <c r="B60" s="363" t="s">
        <v>320</v>
      </c>
      <c r="C60" s="33">
        <v>3000</v>
      </c>
      <c r="D60" s="33">
        <v>3000</v>
      </c>
      <c r="E60" s="651">
        <f>3000+2406</f>
        <v>5406</v>
      </c>
      <c r="F60" s="33">
        <f>3000+2406</f>
        <v>5406</v>
      </c>
      <c r="G60" s="33">
        <f>3000+2406</f>
        <v>5406</v>
      </c>
      <c r="H60" s="33">
        <f>3000+2406</f>
        <v>5406</v>
      </c>
      <c r="I60" s="33">
        <f>3000+2406</f>
        <v>5406</v>
      </c>
      <c r="J60" s="33">
        <v>5406</v>
      </c>
      <c r="K60" s="655">
        <f t="shared" si="2"/>
        <v>1</v>
      </c>
    </row>
    <row r="61" spans="1:12" x14ac:dyDescent="0.25">
      <c r="A61" s="71">
        <v>312</v>
      </c>
      <c r="B61" s="118" t="s">
        <v>400</v>
      </c>
      <c r="C61" s="16">
        <f t="shared" ref="C61:I61" si="13">89800-64300</f>
        <v>25500</v>
      </c>
      <c r="D61" s="16">
        <f t="shared" si="13"/>
        <v>25500</v>
      </c>
      <c r="E61" s="16">
        <f t="shared" si="13"/>
        <v>25500</v>
      </c>
      <c r="F61" s="16">
        <f t="shared" si="13"/>
        <v>25500</v>
      </c>
      <c r="G61" s="16">
        <f t="shared" si="13"/>
        <v>25500</v>
      </c>
      <c r="H61" s="16">
        <f t="shared" si="13"/>
        <v>25500</v>
      </c>
      <c r="I61" s="16">
        <f t="shared" si="13"/>
        <v>25500</v>
      </c>
      <c r="J61" s="16">
        <v>0</v>
      </c>
      <c r="K61" s="655">
        <f t="shared" si="2"/>
        <v>0</v>
      </c>
    </row>
    <row r="62" spans="1:12" ht="15.75" thickBot="1" x14ac:dyDescent="0.3">
      <c r="A62" s="77">
        <v>312</v>
      </c>
      <c r="B62" s="165" t="s">
        <v>64</v>
      </c>
      <c r="C62" s="79">
        <v>46400</v>
      </c>
      <c r="D62" s="79">
        <v>46400</v>
      </c>
      <c r="E62" s="79">
        <v>46400</v>
      </c>
      <c r="F62" s="79">
        <v>46400</v>
      </c>
      <c r="G62" s="79">
        <v>46400</v>
      </c>
      <c r="H62" s="79">
        <v>46400</v>
      </c>
      <c r="I62" s="79">
        <v>46400</v>
      </c>
      <c r="J62" s="79">
        <v>11682</v>
      </c>
      <c r="K62" s="655">
        <f t="shared" si="2"/>
        <v>0.25176724137931034</v>
      </c>
    </row>
    <row r="63" spans="1:12" x14ac:dyDescent="0.25">
      <c r="A63" s="71">
        <v>315</v>
      </c>
      <c r="B63" s="76" t="s">
        <v>59</v>
      </c>
      <c r="C63" s="16">
        <v>3000</v>
      </c>
      <c r="D63" s="16">
        <v>3000</v>
      </c>
      <c r="E63" s="16">
        <v>3000</v>
      </c>
      <c r="F63" s="16">
        <v>3000</v>
      </c>
      <c r="G63" s="16">
        <v>3000</v>
      </c>
      <c r="H63" s="16">
        <v>3000</v>
      </c>
      <c r="I63" s="16">
        <v>3000</v>
      </c>
      <c r="J63" s="16">
        <v>0</v>
      </c>
      <c r="K63" s="655">
        <f t="shared" si="2"/>
        <v>0</v>
      </c>
    </row>
    <row r="64" spans="1:12" ht="15.75" thickBot="1" x14ac:dyDescent="0.3">
      <c r="A64" s="77">
        <v>315</v>
      </c>
      <c r="B64" s="78" t="s">
        <v>319</v>
      </c>
      <c r="C64" s="79">
        <v>200</v>
      </c>
      <c r="D64" s="79">
        <v>200</v>
      </c>
      <c r="E64" s="79">
        <v>200</v>
      </c>
      <c r="F64" s="79">
        <v>200</v>
      </c>
      <c r="G64" s="79">
        <v>200</v>
      </c>
      <c r="H64" s="79">
        <v>200</v>
      </c>
      <c r="I64" s="79">
        <v>200</v>
      </c>
      <c r="J64" s="79">
        <v>0</v>
      </c>
      <c r="K64" s="655">
        <f t="shared" si="2"/>
        <v>0</v>
      </c>
    </row>
    <row r="65" spans="1:18" ht="15.75" x14ac:dyDescent="0.25">
      <c r="A65" s="521">
        <v>312</v>
      </c>
      <c r="B65" s="522" t="s">
        <v>254</v>
      </c>
      <c r="C65" s="526">
        <v>0</v>
      </c>
      <c r="D65" s="526">
        <v>0</v>
      </c>
      <c r="E65" s="526">
        <v>0</v>
      </c>
      <c r="F65" s="526">
        <v>0</v>
      </c>
      <c r="G65" s="526">
        <v>0</v>
      </c>
      <c r="H65" s="526">
        <v>0</v>
      </c>
      <c r="I65" s="526">
        <v>0</v>
      </c>
      <c r="J65" s="526">
        <v>0</v>
      </c>
      <c r="K65" s="655">
        <v>0</v>
      </c>
    </row>
    <row r="66" spans="1:18" ht="16.5" thickBot="1" x14ac:dyDescent="0.3">
      <c r="A66" s="86">
        <v>312</v>
      </c>
      <c r="B66" s="87" t="s">
        <v>65</v>
      </c>
      <c r="C66" s="88">
        <v>534950</v>
      </c>
      <c r="D66" s="88">
        <v>534950</v>
      </c>
      <c r="E66" s="620">
        <f>534950+21819</f>
        <v>556769</v>
      </c>
      <c r="F66" s="620">
        <f>534950+21819+1400</f>
        <v>558169</v>
      </c>
      <c r="G66" s="695">
        <f>534950+21819+1400</f>
        <v>558169</v>
      </c>
      <c r="H66" s="620">
        <f>534950+21819+1400+600+138</f>
        <v>558907</v>
      </c>
      <c r="I66" s="695">
        <f>534950+21819+1400+600+138</f>
        <v>558907</v>
      </c>
      <c r="J66" s="88">
        <v>144649</v>
      </c>
      <c r="K66" s="655">
        <f t="shared" si="2"/>
        <v>0.25880692136616645</v>
      </c>
      <c r="L66" s="464">
        <f>D66-C66</f>
        <v>0</v>
      </c>
      <c r="M66" s="464">
        <f t="shared" ref="M66:Q74" si="14">E66-D66</f>
        <v>21819</v>
      </c>
      <c r="N66" s="464">
        <f t="shared" si="14"/>
        <v>1400</v>
      </c>
      <c r="O66" s="464">
        <f t="shared" si="14"/>
        <v>0</v>
      </c>
      <c r="P66" s="464">
        <f t="shared" si="14"/>
        <v>738</v>
      </c>
      <c r="Q66" s="464">
        <f t="shared" si="14"/>
        <v>0</v>
      </c>
      <c r="R66" s="464"/>
    </row>
    <row r="67" spans="1:18" ht="16.5" thickBot="1" x14ac:dyDescent="0.3">
      <c r="A67" s="89" t="s">
        <v>66</v>
      </c>
      <c r="B67" s="364"/>
      <c r="C67" s="90">
        <f t="shared" ref="C67:J67" si="15">SUM(C3+C11+C32+C34+C41)</f>
        <v>2231928</v>
      </c>
      <c r="D67" s="90">
        <f t="shared" si="15"/>
        <v>2231928</v>
      </c>
      <c r="E67" s="90">
        <f t="shared" si="15"/>
        <v>2258158</v>
      </c>
      <c r="F67" s="90">
        <f t="shared" si="15"/>
        <v>2264558</v>
      </c>
      <c r="G67" s="90">
        <f t="shared" si="15"/>
        <v>2270558</v>
      </c>
      <c r="H67" s="90">
        <f t="shared" si="15"/>
        <v>2274496</v>
      </c>
      <c r="I67" s="90">
        <f t="shared" si="15"/>
        <v>2285396</v>
      </c>
      <c r="J67" s="90">
        <f t="shared" si="15"/>
        <v>620938</v>
      </c>
      <c r="K67" s="655">
        <f t="shared" si="2"/>
        <v>0.27169820897559988</v>
      </c>
      <c r="L67" s="464">
        <f t="shared" ref="L67:L74" si="16">D67-C67</f>
        <v>0</v>
      </c>
      <c r="M67" s="464">
        <f t="shared" si="14"/>
        <v>26230</v>
      </c>
      <c r="N67" s="464">
        <f t="shared" si="14"/>
        <v>6400</v>
      </c>
      <c r="O67" s="464">
        <f t="shared" si="14"/>
        <v>6000</v>
      </c>
      <c r="P67" s="464">
        <f t="shared" si="14"/>
        <v>3938</v>
      </c>
      <c r="Q67" s="464">
        <f t="shared" si="14"/>
        <v>10900</v>
      </c>
      <c r="R67" s="464"/>
    </row>
    <row r="68" spans="1:18" x14ac:dyDescent="0.25">
      <c r="A68" s="91" t="s">
        <v>67</v>
      </c>
      <c r="B68" s="92" t="s">
        <v>68</v>
      </c>
      <c r="C68" s="93">
        <v>2450</v>
      </c>
      <c r="D68" s="93">
        <v>2450</v>
      </c>
      <c r="E68" s="93">
        <v>2450</v>
      </c>
      <c r="F68" s="93">
        <v>2450</v>
      </c>
      <c r="G68" s="93">
        <v>2450</v>
      </c>
      <c r="H68" s="93">
        <v>2450</v>
      </c>
      <c r="I68" s="93">
        <v>2450</v>
      </c>
      <c r="J68" s="93">
        <v>0</v>
      </c>
      <c r="K68" s="655">
        <f t="shared" ref="K68:K130" si="17">J68/I68</f>
        <v>0</v>
      </c>
      <c r="L68" s="464">
        <f t="shared" si="16"/>
        <v>0</v>
      </c>
      <c r="M68" s="464">
        <f t="shared" si="14"/>
        <v>0</v>
      </c>
      <c r="N68" s="464">
        <f t="shared" si="14"/>
        <v>0</v>
      </c>
      <c r="O68" s="464">
        <f t="shared" si="14"/>
        <v>0</v>
      </c>
      <c r="P68" s="464">
        <f t="shared" si="14"/>
        <v>0</v>
      </c>
      <c r="Q68" s="464">
        <f t="shared" si="14"/>
        <v>0</v>
      </c>
      <c r="R68" s="464"/>
    </row>
    <row r="69" spans="1:18" ht="15.75" thickBot="1" x14ac:dyDescent="0.3">
      <c r="A69" s="94" t="s">
        <v>67</v>
      </c>
      <c r="B69" s="92" t="s">
        <v>69</v>
      </c>
      <c r="C69" s="95">
        <v>2000</v>
      </c>
      <c r="D69" s="95">
        <v>2000</v>
      </c>
      <c r="E69" s="95">
        <v>2000</v>
      </c>
      <c r="F69" s="95">
        <v>2000</v>
      </c>
      <c r="G69" s="95">
        <v>2000</v>
      </c>
      <c r="H69" s="95">
        <v>2000</v>
      </c>
      <c r="I69" s="95">
        <v>2000</v>
      </c>
      <c r="J69" s="95">
        <v>456</v>
      </c>
      <c r="K69" s="655">
        <f t="shared" si="17"/>
        <v>0.22800000000000001</v>
      </c>
      <c r="L69" s="464">
        <f t="shared" si="16"/>
        <v>0</v>
      </c>
      <c r="M69" s="464">
        <f t="shared" si="14"/>
        <v>0</v>
      </c>
      <c r="N69" s="464">
        <f t="shared" si="14"/>
        <v>0</v>
      </c>
      <c r="O69" s="464">
        <f t="shared" si="14"/>
        <v>0</v>
      </c>
      <c r="P69" s="464">
        <f t="shared" si="14"/>
        <v>0</v>
      </c>
      <c r="Q69" s="464">
        <f t="shared" si="14"/>
        <v>0</v>
      </c>
      <c r="R69" s="464"/>
    </row>
    <row r="70" spans="1:18" ht="15.75" thickBot="1" x14ac:dyDescent="0.3">
      <c r="A70" s="813" t="s">
        <v>71</v>
      </c>
      <c r="B70" s="814"/>
      <c r="C70" s="99">
        <f t="shared" ref="C70:J70" si="18">SUM(C68:C69)</f>
        <v>4450</v>
      </c>
      <c r="D70" s="99">
        <f t="shared" si="18"/>
        <v>4450</v>
      </c>
      <c r="E70" s="99">
        <f t="shared" si="18"/>
        <v>4450</v>
      </c>
      <c r="F70" s="99">
        <f t="shared" si="18"/>
        <v>4450</v>
      </c>
      <c r="G70" s="99">
        <f t="shared" si="18"/>
        <v>4450</v>
      </c>
      <c r="H70" s="99">
        <f t="shared" si="18"/>
        <v>4450</v>
      </c>
      <c r="I70" s="99">
        <f t="shared" si="18"/>
        <v>4450</v>
      </c>
      <c r="J70" s="99">
        <f t="shared" si="18"/>
        <v>456</v>
      </c>
      <c r="K70" s="655">
        <f t="shared" si="17"/>
        <v>0.10247191011235955</v>
      </c>
      <c r="L70" s="464">
        <f t="shared" si="16"/>
        <v>0</v>
      </c>
      <c r="M70" s="464">
        <f t="shared" si="14"/>
        <v>0</v>
      </c>
      <c r="N70" s="464">
        <f t="shared" si="14"/>
        <v>0</v>
      </c>
      <c r="O70" s="464">
        <f t="shared" si="14"/>
        <v>0</v>
      </c>
      <c r="P70" s="464">
        <f t="shared" si="14"/>
        <v>0</v>
      </c>
      <c r="Q70" s="464">
        <f t="shared" si="14"/>
        <v>0</v>
      </c>
      <c r="R70" s="464"/>
    </row>
    <row r="71" spans="1:18" ht="15.75" thickBot="1" x14ac:dyDescent="0.3">
      <c r="A71" s="100" t="s">
        <v>67</v>
      </c>
      <c r="B71" s="101" t="s">
        <v>72</v>
      </c>
      <c r="C71" s="455">
        <v>11470</v>
      </c>
      <c r="D71" s="455">
        <v>11470</v>
      </c>
      <c r="E71" s="455">
        <v>11470</v>
      </c>
      <c r="F71" s="455">
        <v>11470</v>
      </c>
      <c r="G71" s="455">
        <v>11470</v>
      </c>
      <c r="H71" s="455">
        <v>11470</v>
      </c>
      <c r="I71" s="455">
        <v>11470</v>
      </c>
      <c r="J71" s="455">
        <v>4205</v>
      </c>
      <c r="K71" s="655">
        <f t="shared" si="17"/>
        <v>0.36660854402789889</v>
      </c>
      <c r="L71" s="464">
        <f t="shared" si="16"/>
        <v>0</v>
      </c>
      <c r="M71" s="464">
        <f t="shared" si="14"/>
        <v>0</v>
      </c>
      <c r="N71" s="464">
        <f t="shared" si="14"/>
        <v>0</v>
      </c>
      <c r="O71" s="464">
        <f t="shared" si="14"/>
        <v>0</v>
      </c>
      <c r="P71" s="464">
        <f t="shared" si="14"/>
        <v>0</v>
      </c>
      <c r="Q71" s="464">
        <f t="shared" si="14"/>
        <v>0</v>
      </c>
      <c r="R71" s="464"/>
    </row>
    <row r="72" spans="1:18" ht="15.75" thickBot="1" x14ac:dyDescent="0.3">
      <c r="A72" s="813" t="s">
        <v>275</v>
      </c>
      <c r="B72" s="814"/>
      <c r="C72" s="451">
        <f t="shared" ref="C72:J72" si="19">SUM(C71:C71)</f>
        <v>11470</v>
      </c>
      <c r="D72" s="451">
        <f t="shared" si="19"/>
        <v>11470</v>
      </c>
      <c r="E72" s="451">
        <f t="shared" si="19"/>
        <v>11470</v>
      </c>
      <c r="F72" s="451">
        <f t="shared" si="19"/>
        <v>11470</v>
      </c>
      <c r="G72" s="451">
        <f t="shared" si="19"/>
        <v>11470</v>
      </c>
      <c r="H72" s="451">
        <f t="shared" si="19"/>
        <v>11470</v>
      </c>
      <c r="I72" s="451">
        <f t="shared" si="19"/>
        <v>11470</v>
      </c>
      <c r="J72" s="451">
        <f t="shared" si="19"/>
        <v>4205</v>
      </c>
      <c r="K72" s="655">
        <f t="shared" si="17"/>
        <v>0.36660854402789889</v>
      </c>
      <c r="L72" s="464">
        <f t="shared" si="16"/>
        <v>0</v>
      </c>
      <c r="M72" s="464">
        <f t="shared" si="14"/>
        <v>0</v>
      </c>
      <c r="N72" s="464">
        <f t="shared" si="14"/>
        <v>0</v>
      </c>
      <c r="O72" s="464">
        <f t="shared" si="14"/>
        <v>0</v>
      </c>
      <c r="P72" s="464">
        <f t="shared" si="14"/>
        <v>0</v>
      </c>
      <c r="Q72" s="464">
        <f t="shared" si="14"/>
        <v>0</v>
      </c>
      <c r="R72" s="464"/>
    </row>
    <row r="73" spans="1:18" ht="16.5" thickBot="1" x14ac:dyDescent="0.3">
      <c r="A73" s="815" t="s">
        <v>73</v>
      </c>
      <c r="B73" s="816"/>
      <c r="C73" s="103">
        <f t="shared" ref="C73:J73" si="20">C70+C72</f>
        <v>15920</v>
      </c>
      <c r="D73" s="103">
        <f t="shared" si="20"/>
        <v>15920</v>
      </c>
      <c r="E73" s="103">
        <f t="shared" si="20"/>
        <v>15920</v>
      </c>
      <c r="F73" s="103">
        <f t="shared" si="20"/>
        <v>15920</v>
      </c>
      <c r="G73" s="103">
        <f t="shared" si="20"/>
        <v>15920</v>
      </c>
      <c r="H73" s="103">
        <f t="shared" si="20"/>
        <v>15920</v>
      </c>
      <c r="I73" s="103">
        <f t="shared" si="20"/>
        <v>15920</v>
      </c>
      <c r="J73" s="103">
        <f t="shared" si="20"/>
        <v>4661</v>
      </c>
      <c r="K73" s="655">
        <f t="shared" si="17"/>
        <v>0.29277638190954774</v>
      </c>
      <c r="L73" s="464">
        <f t="shared" si="16"/>
        <v>0</v>
      </c>
      <c r="M73" s="464">
        <f t="shared" si="14"/>
        <v>0</v>
      </c>
      <c r="N73" s="464">
        <f t="shared" si="14"/>
        <v>0</v>
      </c>
      <c r="O73" s="464">
        <f t="shared" si="14"/>
        <v>0</v>
      </c>
      <c r="P73" s="464">
        <f t="shared" si="14"/>
        <v>0</v>
      </c>
      <c r="Q73" s="464">
        <f t="shared" si="14"/>
        <v>0</v>
      </c>
      <c r="R73" s="464"/>
    </row>
    <row r="74" spans="1:18" ht="16.5" thickBot="1" x14ac:dyDescent="0.3">
      <c r="A74" s="89" t="s">
        <v>74</v>
      </c>
      <c r="B74" s="66"/>
      <c r="C74" s="90">
        <f t="shared" ref="C74:J74" si="21">C67+C73</f>
        <v>2247848</v>
      </c>
      <c r="D74" s="90">
        <f t="shared" si="21"/>
        <v>2247848</v>
      </c>
      <c r="E74" s="90">
        <f t="shared" si="21"/>
        <v>2274078</v>
      </c>
      <c r="F74" s="90">
        <f t="shared" si="21"/>
        <v>2280478</v>
      </c>
      <c r="G74" s="90">
        <f t="shared" si="21"/>
        <v>2286478</v>
      </c>
      <c r="H74" s="90">
        <f t="shared" si="21"/>
        <v>2290416</v>
      </c>
      <c r="I74" s="90">
        <f t="shared" si="21"/>
        <v>2301316</v>
      </c>
      <c r="J74" s="90">
        <f t="shared" si="21"/>
        <v>625599</v>
      </c>
      <c r="K74" s="655">
        <f t="shared" si="17"/>
        <v>0.27184402315892298</v>
      </c>
      <c r="L74" s="464">
        <f t="shared" si="16"/>
        <v>0</v>
      </c>
      <c r="M74" s="464">
        <f t="shared" si="14"/>
        <v>26230</v>
      </c>
      <c r="N74" s="464">
        <f t="shared" si="14"/>
        <v>6400</v>
      </c>
      <c r="O74" s="464">
        <f t="shared" si="14"/>
        <v>6000</v>
      </c>
      <c r="P74" s="464">
        <f t="shared" si="14"/>
        <v>3938</v>
      </c>
      <c r="Q74" s="464">
        <f t="shared" si="14"/>
        <v>10900</v>
      </c>
      <c r="R74" s="464"/>
    </row>
    <row r="75" spans="1:18" x14ac:dyDescent="0.25">
      <c r="A75" s="1"/>
      <c r="B75" s="1"/>
      <c r="C75" s="104"/>
      <c r="D75" s="104"/>
      <c r="E75" s="104"/>
      <c r="F75" s="104"/>
      <c r="G75" s="104"/>
      <c r="H75" s="104"/>
      <c r="I75" s="104"/>
      <c r="J75" s="104"/>
      <c r="K75" s="655"/>
    </row>
    <row r="76" spans="1:18" ht="15.75" x14ac:dyDescent="0.25">
      <c r="A76" s="105"/>
      <c r="B76" s="106"/>
      <c r="C76" s="107"/>
      <c r="D76" s="107"/>
      <c r="E76" s="107"/>
      <c r="F76" s="107"/>
      <c r="G76" s="107"/>
      <c r="H76" s="107"/>
      <c r="I76" s="107"/>
      <c r="J76" s="107"/>
      <c r="K76" s="655"/>
    </row>
    <row r="77" spans="1:18" ht="18.75" thickBot="1" x14ac:dyDescent="0.3">
      <c r="A77" s="817" t="s">
        <v>75</v>
      </c>
      <c r="B77" s="818"/>
      <c r="C77" s="818"/>
      <c r="D77" s="818"/>
      <c r="E77" s="818"/>
      <c r="F77" s="818"/>
      <c r="G77" s="818"/>
      <c r="H77" s="818"/>
      <c r="I77" s="818"/>
      <c r="J77" s="818"/>
      <c r="K77" s="655"/>
    </row>
    <row r="78" spans="1:18" ht="41.25" customHeight="1" thickBot="1" x14ac:dyDescent="0.3">
      <c r="A78" s="819" t="s">
        <v>1</v>
      </c>
      <c r="B78" s="820"/>
      <c r="C78" s="416" t="s">
        <v>376</v>
      </c>
      <c r="D78" s="416" t="s">
        <v>509</v>
      </c>
      <c r="E78" s="416" t="s">
        <v>511</v>
      </c>
      <c r="F78" s="416" t="s">
        <v>512</v>
      </c>
      <c r="G78" s="416" t="s">
        <v>377</v>
      </c>
      <c r="H78" s="416" t="s">
        <v>541</v>
      </c>
      <c r="I78" s="416" t="s">
        <v>497</v>
      </c>
      <c r="J78" s="416" t="s">
        <v>500</v>
      </c>
      <c r="K78" s="655"/>
    </row>
    <row r="79" spans="1:18" ht="15.75" thickBot="1" x14ac:dyDescent="0.3">
      <c r="A79" s="108" t="s">
        <v>76</v>
      </c>
      <c r="B79" s="109"/>
      <c r="C79" s="112">
        <f t="shared" ref="C79:J79" si="22">SUM(C80:C84)</f>
        <v>290310</v>
      </c>
      <c r="D79" s="112">
        <f t="shared" si="22"/>
        <v>290310</v>
      </c>
      <c r="E79" s="112">
        <f t="shared" si="22"/>
        <v>290310</v>
      </c>
      <c r="F79" s="112">
        <f t="shared" si="22"/>
        <v>290310</v>
      </c>
      <c r="G79" s="112">
        <f t="shared" si="22"/>
        <v>290310</v>
      </c>
      <c r="H79" s="112">
        <f t="shared" ref="H79:I79" si="23">SUM(H80:H84)</f>
        <v>290310</v>
      </c>
      <c r="I79" s="112">
        <f t="shared" si="23"/>
        <v>290910</v>
      </c>
      <c r="J79" s="112">
        <f t="shared" si="22"/>
        <v>57050</v>
      </c>
      <c r="K79" s="655">
        <f t="shared" si="17"/>
        <v>0.19610876216011824</v>
      </c>
    </row>
    <row r="80" spans="1:18" x14ac:dyDescent="0.25">
      <c r="A80" s="113" t="s">
        <v>77</v>
      </c>
      <c r="B80" s="85" t="s">
        <v>78</v>
      </c>
      <c r="C80" s="56">
        <f t="shared" ref="C80:H80" si="24">143650</f>
        <v>143650</v>
      </c>
      <c r="D80" s="56">
        <f t="shared" si="24"/>
        <v>143650</v>
      </c>
      <c r="E80" s="56">
        <f t="shared" si="24"/>
        <v>143650</v>
      </c>
      <c r="F80" s="56">
        <f t="shared" si="24"/>
        <v>143650</v>
      </c>
      <c r="G80" s="56">
        <f t="shared" si="24"/>
        <v>143650</v>
      </c>
      <c r="H80" s="56">
        <f t="shared" si="24"/>
        <v>143650</v>
      </c>
      <c r="I80" s="623">
        <f>143650+100</f>
        <v>143750</v>
      </c>
      <c r="J80" s="56">
        <v>20030</v>
      </c>
      <c r="K80" s="655">
        <f t="shared" si="17"/>
        <v>0.1393391304347826</v>
      </c>
    </row>
    <row r="81" spans="1:11" x14ac:dyDescent="0.25">
      <c r="A81" s="117" t="s">
        <v>79</v>
      </c>
      <c r="B81" s="118" t="s">
        <v>80</v>
      </c>
      <c r="C81" s="61">
        <v>83740</v>
      </c>
      <c r="D81" s="61">
        <v>83740</v>
      </c>
      <c r="E81" s="61">
        <v>83740</v>
      </c>
      <c r="F81" s="61">
        <v>83740</v>
      </c>
      <c r="G81" s="61">
        <v>83740</v>
      </c>
      <c r="H81" s="61">
        <v>83740</v>
      </c>
      <c r="I81" s="725">
        <f>83740+500</f>
        <v>84240</v>
      </c>
      <c r="J81" s="61">
        <v>21150</v>
      </c>
      <c r="K81" s="655">
        <f t="shared" si="17"/>
        <v>0.25106837606837606</v>
      </c>
    </row>
    <row r="82" spans="1:11" x14ac:dyDescent="0.25">
      <c r="A82" s="117" t="s">
        <v>81</v>
      </c>
      <c r="B82" s="118" t="s">
        <v>82</v>
      </c>
      <c r="C82" s="61">
        <f t="shared" ref="C82:I82" si="25">4000-1000</f>
        <v>3000</v>
      </c>
      <c r="D82" s="61">
        <f t="shared" si="25"/>
        <v>3000</v>
      </c>
      <c r="E82" s="61">
        <f t="shared" si="25"/>
        <v>3000</v>
      </c>
      <c r="F82" s="61">
        <f t="shared" si="25"/>
        <v>3000</v>
      </c>
      <c r="G82" s="61">
        <f t="shared" si="25"/>
        <v>3000</v>
      </c>
      <c r="H82" s="61">
        <f t="shared" si="25"/>
        <v>3000</v>
      </c>
      <c r="I82" s="61">
        <f t="shared" si="25"/>
        <v>3000</v>
      </c>
      <c r="J82" s="61">
        <v>1153</v>
      </c>
      <c r="K82" s="655">
        <f t="shared" si="17"/>
        <v>0.38433333333333336</v>
      </c>
    </row>
    <row r="83" spans="1:11" x14ac:dyDescent="0.25">
      <c r="A83" s="121" t="s">
        <v>83</v>
      </c>
      <c r="B83" s="118" t="s">
        <v>84</v>
      </c>
      <c r="C83" s="61">
        <v>55920</v>
      </c>
      <c r="D83" s="61">
        <v>55920</v>
      </c>
      <c r="E83" s="61">
        <v>55920</v>
      </c>
      <c r="F83" s="61">
        <v>55920</v>
      </c>
      <c r="G83" s="61">
        <v>55920</v>
      </c>
      <c r="H83" s="61">
        <v>55920</v>
      </c>
      <c r="I83" s="61">
        <v>55920</v>
      </c>
      <c r="J83" s="61">
        <v>14717</v>
      </c>
      <c r="K83" s="655">
        <f t="shared" si="17"/>
        <v>0.26317954220314738</v>
      </c>
    </row>
    <row r="84" spans="1:11" ht="15.75" thickBot="1" x14ac:dyDescent="0.3">
      <c r="A84" s="123" t="s">
        <v>85</v>
      </c>
      <c r="B84" s="124" t="s">
        <v>236</v>
      </c>
      <c r="C84" s="128">
        <v>4000</v>
      </c>
      <c r="D84" s="128">
        <v>4000</v>
      </c>
      <c r="E84" s="128">
        <v>4000</v>
      </c>
      <c r="F84" s="128">
        <v>4000</v>
      </c>
      <c r="G84" s="128">
        <v>4000</v>
      </c>
      <c r="H84" s="128">
        <v>4000</v>
      </c>
      <c r="I84" s="128">
        <v>4000</v>
      </c>
      <c r="J84" s="128">
        <v>0</v>
      </c>
      <c r="K84" s="655">
        <f t="shared" si="17"/>
        <v>0</v>
      </c>
    </row>
    <row r="85" spans="1:11" ht="15.75" thickBot="1" x14ac:dyDescent="0.3">
      <c r="A85" s="129" t="s">
        <v>86</v>
      </c>
      <c r="B85" s="130"/>
      <c r="C85" s="112">
        <f t="shared" ref="C85:J85" si="26">SUM(C86)</f>
        <v>14610</v>
      </c>
      <c r="D85" s="112">
        <f t="shared" si="26"/>
        <v>14610</v>
      </c>
      <c r="E85" s="112">
        <f t="shared" si="26"/>
        <v>14615</v>
      </c>
      <c r="F85" s="112">
        <f t="shared" si="26"/>
        <v>14615</v>
      </c>
      <c r="G85" s="112">
        <f t="shared" si="26"/>
        <v>12615</v>
      </c>
      <c r="H85" s="112">
        <f t="shared" si="26"/>
        <v>12615</v>
      </c>
      <c r="I85" s="112">
        <f t="shared" si="26"/>
        <v>12615</v>
      </c>
      <c r="J85" s="112">
        <f t="shared" si="26"/>
        <v>2703</v>
      </c>
      <c r="K85" s="655">
        <f t="shared" si="17"/>
        <v>0.21426872770511296</v>
      </c>
    </row>
    <row r="86" spans="1:11" ht="15.75" thickBot="1" x14ac:dyDescent="0.3">
      <c r="A86" s="131" t="s">
        <v>87</v>
      </c>
      <c r="B86" s="106" t="s">
        <v>281</v>
      </c>
      <c r="C86" s="134">
        <v>14610</v>
      </c>
      <c r="D86" s="134">
        <v>14610</v>
      </c>
      <c r="E86" s="621">
        <f>14610+5</f>
        <v>14615</v>
      </c>
      <c r="F86" s="134">
        <f>14610+5</f>
        <v>14615</v>
      </c>
      <c r="G86" s="621">
        <f>14610+5-2000</f>
        <v>12615</v>
      </c>
      <c r="H86" s="134">
        <f>14610+5-2000</f>
        <v>12615</v>
      </c>
      <c r="I86" s="134">
        <f>14610+5-2000</f>
        <v>12615</v>
      </c>
      <c r="J86" s="134">
        <v>2703</v>
      </c>
      <c r="K86" s="655">
        <f t="shared" si="17"/>
        <v>0.21426872770511296</v>
      </c>
    </row>
    <row r="87" spans="1:11" ht="15.75" thickBot="1" x14ac:dyDescent="0.3">
      <c r="A87" s="129" t="s">
        <v>88</v>
      </c>
      <c r="B87" s="130"/>
      <c r="C87" s="112">
        <f t="shared" ref="C87:J87" si="27">SUM(C88:C89)</f>
        <v>16500</v>
      </c>
      <c r="D87" s="112">
        <f t="shared" si="27"/>
        <v>16500</v>
      </c>
      <c r="E87" s="112">
        <f t="shared" si="27"/>
        <v>16500</v>
      </c>
      <c r="F87" s="112">
        <f t="shared" si="27"/>
        <v>16500</v>
      </c>
      <c r="G87" s="112">
        <f t="shared" si="27"/>
        <v>17000</v>
      </c>
      <c r="H87" s="112">
        <f t="shared" ref="H87:I87" si="28">SUM(H88:H89)</f>
        <v>17000</v>
      </c>
      <c r="I87" s="112">
        <f t="shared" si="28"/>
        <v>17000</v>
      </c>
      <c r="J87" s="112">
        <f t="shared" si="27"/>
        <v>2350</v>
      </c>
      <c r="K87" s="655">
        <f t="shared" si="17"/>
        <v>0.13823529411764707</v>
      </c>
    </row>
    <row r="88" spans="1:11" x14ac:dyDescent="0.25">
      <c r="A88" s="135" t="s">
        <v>89</v>
      </c>
      <c r="B88" s="136" t="s">
        <v>90</v>
      </c>
      <c r="C88" s="139">
        <v>14900</v>
      </c>
      <c r="D88" s="139">
        <v>14900</v>
      </c>
      <c r="E88" s="139">
        <f>14900</f>
        <v>14900</v>
      </c>
      <c r="F88" s="139">
        <f>14900</f>
        <v>14900</v>
      </c>
      <c r="G88" s="643">
        <f>14900+500</f>
        <v>15400</v>
      </c>
      <c r="H88" s="139">
        <f>14900+500</f>
        <v>15400</v>
      </c>
      <c r="I88" s="139">
        <f>14900+500</f>
        <v>15400</v>
      </c>
      <c r="J88" s="139">
        <v>2098</v>
      </c>
      <c r="K88" s="655">
        <f t="shared" si="17"/>
        <v>0.13623376623376623</v>
      </c>
    </row>
    <row r="89" spans="1:11" ht="15.75" thickBot="1" x14ac:dyDescent="0.3">
      <c r="A89" s="140" t="s">
        <v>91</v>
      </c>
      <c r="B89" s="141" t="s">
        <v>92</v>
      </c>
      <c r="C89" s="128">
        <v>1600</v>
      </c>
      <c r="D89" s="128">
        <v>1600</v>
      </c>
      <c r="E89" s="128">
        <v>1600</v>
      </c>
      <c r="F89" s="128">
        <v>1600</v>
      </c>
      <c r="G89" s="128">
        <v>1600</v>
      </c>
      <c r="H89" s="128">
        <v>1600</v>
      </c>
      <c r="I89" s="128">
        <v>1600</v>
      </c>
      <c r="J89" s="128">
        <v>252</v>
      </c>
      <c r="K89" s="655">
        <f t="shared" si="17"/>
        <v>0.1575</v>
      </c>
    </row>
    <row r="90" spans="1:11" ht="15.75" thickBot="1" x14ac:dyDescent="0.3">
      <c r="A90" s="108" t="s">
        <v>93</v>
      </c>
      <c r="B90" s="144"/>
      <c r="C90" s="112">
        <f t="shared" ref="C90:J90" si="29">SUM(C91:C93)</f>
        <v>71400</v>
      </c>
      <c r="D90" s="112">
        <f t="shared" si="29"/>
        <v>71400</v>
      </c>
      <c r="E90" s="112">
        <f t="shared" si="29"/>
        <v>71400</v>
      </c>
      <c r="F90" s="112">
        <f t="shared" si="29"/>
        <v>71400</v>
      </c>
      <c r="G90" s="112">
        <f t="shared" si="29"/>
        <v>71400</v>
      </c>
      <c r="H90" s="112">
        <f t="shared" ref="H90:I90" si="30">SUM(H91:H93)</f>
        <v>71400</v>
      </c>
      <c r="I90" s="112">
        <f t="shared" si="30"/>
        <v>71400</v>
      </c>
      <c r="J90" s="112">
        <f t="shared" si="29"/>
        <v>19149</v>
      </c>
      <c r="K90" s="655">
        <f t="shared" si="17"/>
        <v>0.26819327731092435</v>
      </c>
    </row>
    <row r="91" spans="1:11" x14ac:dyDescent="0.25">
      <c r="A91" s="145" t="s">
        <v>94</v>
      </c>
      <c r="B91" s="146" t="s">
        <v>95</v>
      </c>
      <c r="C91" s="55">
        <v>25300</v>
      </c>
      <c r="D91" s="55">
        <v>25300</v>
      </c>
      <c r="E91" s="55">
        <v>25300</v>
      </c>
      <c r="F91" s="55">
        <v>25300</v>
      </c>
      <c r="G91" s="55">
        <v>25300</v>
      </c>
      <c r="H91" s="55">
        <v>25300</v>
      </c>
      <c r="I91" s="55">
        <v>25300</v>
      </c>
      <c r="J91" s="55">
        <v>5021</v>
      </c>
      <c r="K91" s="655">
        <f t="shared" si="17"/>
        <v>0.1984584980237154</v>
      </c>
    </row>
    <row r="92" spans="1:11" x14ac:dyDescent="0.25">
      <c r="A92" s="121" t="s">
        <v>96</v>
      </c>
      <c r="B92" s="118" t="s">
        <v>97</v>
      </c>
      <c r="C92" s="60">
        <v>24300</v>
      </c>
      <c r="D92" s="60">
        <v>24300</v>
      </c>
      <c r="E92" s="60">
        <v>24300</v>
      </c>
      <c r="F92" s="60">
        <v>24300</v>
      </c>
      <c r="G92" s="60">
        <v>24300</v>
      </c>
      <c r="H92" s="60">
        <v>24300</v>
      </c>
      <c r="I92" s="60">
        <v>24300</v>
      </c>
      <c r="J92" s="60">
        <v>4614</v>
      </c>
      <c r="K92" s="655">
        <f t="shared" si="17"/>
        <v>0.18987654320987654</v>
      </c>
    </row>
    <row r="93" spans="1:11" ht="15.75" thickBot="1" x14ac:dyDescent="0.3">
      <c r="A93" s="121" t="s">
        <v>98</v>
      </c>
      <c r="B93" s="118" t="s">
        <v>99</v>
      </c>
      <c r="C93" s="60">
        <v>21800</v>
      </c>
      <c r="D93" s="60">
        <v>21800</v>
      </c>
      <c r="E93" s="60">
        <v>21800</v>
      </c>
      <c r="F93" s="60">
        <v>21800</v>
      </c>
      <c r="G93" s="60">
        <v>21800</v>
      </c>
      <c r="H93" s="60">
        <v>21800</v>
      </c>
      <c r="I93" s="60">
        <v>21800</v>
      </c>
      <c r="J93" s="60">
        <v>9514</v>
      </c>
      <c r="K93" s="655">
        <f t="shared" si="17"/>
        <v>0.43642201834862387</v>
      </c>
    </row>
    <row r="94" spans="1:11" ht="15.75" thickBot="1" x14ac:dyDescent="0.3">
      <c r="A94" s="821" t="s">
        <v>100</v>
      </c>
      <c r="B94" s="822"/>
      <c r="C94" s="112">
        <f t="shared" ref="C94:J94" si="31">SUM(C95:C98)</f>
        <v>124900</v>
      </c>
      <c r="D94" s="112">
        <f t="shared" si="31"/>
        <v>124900</v>
      </c>
      <c r="E94" s="112">
        <f t="shared" si="31"/>
        <v>124900</v>
      </c>
      <c r="F94" s="112">
        <f t="shared" si="31"/>
        <v>124900</v>
      </c>
      <c r="G94" s="112">
        <f t="shared" si="31"/>
        <v>123900</v>
      </c>
      <c r="H94" s="112">
        <f t="shared" ref="H94:I94" si="32">SUM(H95:H98)</f>
        <v>123900</v>
      </c>
      <c r="I94" s="112">
        <f t="shared" si="32"/>
        <v>123900</v>
      </c>
      <c r="J94" s="112">
        <f t="shared" si="31"/>
        <v>21680</v>
      </c>
      <c r="K94" s="655">
        <f t="shared" si="17"/>
        <v>0.17497982243744956</v>
      </c>
    </row>
    <row r="95" spans="1:11" x14ac:dyDescent="0.25">
      <c r="A95" s="153" t="s">
        <v>101</v>
      </c>
      <c r="B95" s="154" t="s">
        <v>102</v>
      </c>
      <c r="C95" s="139">
        <v>76800</v>
      </c>
      <c r="D95" s="139">
        <v>76800</v>
      </c>
      <c r="E95" s="139">
        <v>76800</v>
      </c>
      <c r="F95" s="139">
        <v>76800</v>
      </c>
      <c r="G95" s="139">
        <v>76800</v>
      </c>
      <c r="H95" s="139">
        <v>76800</v>
      </c>
      <c r="I95" s="139">
        <v>76800</v>
      </c>
      <c r="J95" s="139">
        <v>11398</v>
      </c>
      <c r="K95" s="655">
        <f t="shared" si="17"/>
        <v>0.14841145833333333</v>
      </c>
    </row>
    <row r="96" spans="1:11" x14ac:dyDescent="0.25">
      <c r="A96" s="121" t="s">
        <v>103</v>
      </c>
      <c r="B96" s="118" t="s">
        <v>104</v>
      </c>
      <c r="C96" s="152">
        <v>36500</v>
      </c>
      <c r="D96" s="152">
        <v>36500</v>
      </c>
      <c r="E96" s="152">
        <v>36500</v>
      </c>
      <c r="F96" s="152">
        <v>36500</v>
      </c>
      <c r="G96" s="644">
        <f>36500-1000</f>
        <v>35500</v>
      </c>
      <c r="H96" s="152">
        <f>36500-1000</f>
        <v>35500</v>
      </c>
      <c r="I96" s="152">
        <f>36500-1000</f>
        <v>35500</v>
      </c>
      <c r="J96" s="152">
        <v>10182</v>
      </c>
      <c r="K96" s="655">
        <f t="shared" si="17"/>
        <v>0.28681690140845073</v>
      </c>
    </row>
    <row r="97" spans="1:11" x14ac:dyDescent="0.25">
      <c r="A97" s="131" t="s">
        <v>105</v>
      </c>
      <c r="B97" s="159" t="s">
        <v>106</v>
      </c>
      <c r="C97" s="163">
        <v>1500</v>
      </c>
      <c r="D97" s="163">
        <v>1500</v>
      </c>
      <c r="E97" s="163">
        <v>1500</v>
      </c>
      <c r="F97" s="163">
        <v>1500</v>
      </c>
      <c r="G97" s="163">
        <v>1500</v>
      </c>
      <c r="H97" s="163">
        <v>1500</v>
      </c>
      <c r="I97" s="163">
        <v>1500</v>
      </c>
      <c r="J97" s="163">
        <v>0</v>
      </c>
      <c r="K97" s="655">
        <f t="shared" si="17"/>
        <v>0</v>
      </c>
    </row>
    <row r="98" spans="1:11" ht="15.75" thickBot="1" x14ac:dyDescent="0.3">
      <c r="A98" s="164" t="s">
        <v>107</v>
      </c>
      <c r="B98" s="165" t="s">
        <v>108</v>
      </c>
      <c r="C98" s="168">
        <v>10100</v>
      </c>
      <c r="D98" s="168">
        <v>10100</v>
      </c>
      <c r="E98" s="168">
        <v>10100</v>
      </c>
      <c r="F98" s="168">
        <v>10100</v>
      </c>
      <c r="G98" s="168">
        <v>10100</v>
      </c>
      <c r="H98" s="168">
        <v>10100</v>
      </c>
      <c r="I98" s="168">
        <v>10100</v>
      </c>
      <c r="J98" s="168">
        <v>100</v>
      </c>
      <c r="K98" s="655">
        <f t="shared" si="17"/>
        <v>9.9009900990099011E-3</v>
      </c>
    </row>
    <row r="99" spans="1:11" ht="15.75" thickBot="1" x14ac:dyDescent="0.3">
      <c r="A99" s="108" t="s">
        <v>109</v>
      </c>
      <c r="B99" s="144"/>
      <c r="C99" s="110">
        <f t="shared" ref="C99:J99" si="33">SUM(C100:C102)</f>
        <v>204648</v>
      </c>
      <c r="D99" s="110">
        <f t="shared" si="33"/>
        <v>204648</v>
      </c>
      <c r="E99" s="110">
        <f t="shared" si="33"/>
        <v>204648</v>
      </c>
      <c r="F99" s="110">
        <f t="shared" si="33"/>
        <v>204648</v>
      </c>
      <c r="G99" s="110">
        <f t="shared" si="33"/>
        <v>200648</v>
      </c>
      <c r="H99" s="110">
        <f t="shared" ref="H99:I99" si="34">SUM(H100:H102)</f>
        <v>200648</v>
      </c>
      <c r="I99" s="110">
        <f t="shared" si="34"/>
        <v>201248</v>
      </c>
      <c r="J99" s="110">
        <f t="shared" si="33"/>
        <v>26370</v>
      </c>
      <c r="K99" s="655">
        <f t="shared" si="17"/>
        <v>0.1310323580855462</v>
      </c>
    </row>
    <row r="100" spans="1:11" x14ac:dyDescent="0.25">
      <c r="A100" s="145" t="s">
        <v>110</v>
      </c>
      <c r="B100" s="85" t="s">
        <v>111</v>
      </c>
      <c r="C100" s="116">
        <v>156748</v>
      </c>
      <c r="D100" s="116">
        <v>156748</v>
      </c>
      <c r="E100" s="116">
        <v>156748</v>
      </c>
      <c r="F100" s="116">
        <v>156748</v>
      </c>
      <c r="G100" s="645">
        <f>156748+5500</f>
        <v>162248</v>
      </c>
      <c r="H100" s="116">
        <f>156748+5500</f>
        <v>162248</v>
      </c>
      <c r="I100" s="116">
        <f>156748+5500</f>
        <v>162248</v>
      </c>
      <c r="J100" s="116">
        <v>21086</v>
      </c>
      <c r="K100" s="655">
        <f t="shared" si="17"/>
        <v>0.1299615403579705</v>
      </c>
    </row>
    <row r="101" spans="1:11" x14ac:dyDescent="0.25">
      <c r="A101" s="170" t="s">
        <v>112</v>
      </c>
      <c r="B101" s="118" t="s">
        <v>113</v>
      </c>
      <c r="C101" s="152">
        <v>29700</v>
      </c>
      <c r="D101" s="152">
        <v>29700</v>
      </c>
      <c r="E101" s="152">
        <v>29700</v>
      </c>
      <c r="F101" s="152">
        <v>29700</v>
      </c>
      <c r="G101" s="644">
        <f>29700-8000</f>
        <v>21700</v>
      </c>
      <c r="H101" s="152">
        <f>29700-8000</f>
        <v>21700</v>
      </c>
      <c r="I101" s="152">
        <f>29700-8000</f>
        <v>21700</v>
      </c>
      <c r="J101" s="152">
        <v>2980</v>
      </c>
      <c r="K101" s="655">
        <f t="shared" si="17"/>
        <v>0.13732718894009216</v>
      </c>
    </row>
    <row r="102" spans="1:11" ht="15.75" thickBot="1" x14ac:dyDescent="0.3">
      <c r="A102" s="171" t="s">
        <v>114</v>
      </c>
      <c r="B102" s="165" t="s">
        <v>115</v>
      </c>
      <c r="C102" s="174">
        <v>18200</v>
      </c>
      <c r="D102" s="174">
        <v>18200</v>
      </c>
      <c r="E102" s="174">
        <v>18200</v>
      </c>
      <c r="F102" s="174">
        <v>18200</v>
      </c>
      <c r="G102" s="646">
        <f>18200+1500-3000</f>
        <v>16700</v>
      </c>
      <c r="H102" s="174">
        <f>18200+1500-3000</f>
        <v>16700</v>
      </c>
      <c r="I102" s="646">
        <f>18200+1500-3000+600</f>
        <v>17300</v>
      </c>
      <c r="J102" s="174">
        <v>2304</v>
      </c>
      <c r="K102" s="655">
        <f t="shared" si="17"/>
        <v>0.13317919075144508</v>
      </c>
    </row>
    <row r="103" spans="1:11" ht="15.75" thickBot="1" x14ac:dyDescent="0.3">
      <c r="A103" s="175" t="s">
        <v>116</v>
      </c>
      <c r="B103" s="176"/>
      <c r="C103" s="177">
        <f t="shared" ref="C103:J103" si="35">SUM(C104:C107)</f>
        <v>4850</v>
      </c>
      <c r="D103" s="177">
        <f t="shared" si="35"/>
        <v>4850</v>
      </c>
      <c r="E103" s="177">
        <f t="shared" si="35"/>
        <v>4850</v>
      </c>
      <c r="F103" s="177">
        <f t="shared" si="35"/>
        <v>4850</v>
      </c>
      <c r="G103" s="177">
        <f t="shared" si="35"/>
        <v>3850</v>
      </c>
      <c r="H103" s="177">
        <f t="shared" ref="H103:I103" si="36">SUM(H104:H107)</f>
        <v>3850</v>
      </c>
      <c r="I103" s="177">
        <f t="shared" si="36"/>
        <v>3850</v>
      </c>
      <c r="J103" s="177">
        <f t="shared" si="35"/>
        <v>1164</v>
      </c>
      <c r="K103" s="655">
        <f t="shared" si="17"/>
        <v>0.30233766233766235</v>
      </c>
    </row>
    <row r="104" spans="1:11" x14ac:dyDescent="0.25">
      <c r="A104" s="135" t="s">
        <v>117</v>
      </c>
      <c r="B104" s="154" t="s">
        <v>118</v>
      </c>
      <c r="C104" s="181">
        <v>50</v>
      </c>
      <c r="D104" s="181">
        <v>50</v>
      </c>
      <c r="E104" s="181">
        <v>50</v>
      </c>
      <c r="F104" s="181">
        <v>50</v>
      </c>
      <c r="G104" s="181">
        <v>50</v>
      </c>
      <c r="H104" s="181">
        <v>50</v>
      </c>
      <c r="I104" s="181">
        <v>50</v>
      </c>
      <c r="J104" s="181">
        <v>0</v>
      </c>
      <c r="K104" s="655">
        <f t="shared" si="17"/>
        <v>0</v>
      </c>
    </row>
    <row r="105" spans="1:11" x14ac:dyDescent="0.25">
      <c r="A105" s="170" t="s">
        <v>119</v>
      </c>
      <c r="B105" s="118" t="s">
        <v>120</v>
      </c>
      <c r="C105" s="184">
        <v>50</v>
      </c>
      <c r="D105" s="184">
        <v>50</v>
      </c>
      <c r="E105" s="184">
        <v>50</v>
      </c>
      <c r="F105" s="184">
        <v>50</v>
      </c>
      <c r="G105" s="184">
        <v>50</v>
      </c>
      <c r="H105" s="184">
        <v>50</v>
      </c>
      <c r="I105" s="184">
        <v>50</v>
      </c>
      <c r="J105" s="184">
        <v>24</v>
      </c>
      <c r="K105" s="655">
        <f t="shared" si="17"/>
        <v>0.48</v>
      </c>
    </row>
    <row r="106" spans="1:11" x14ac:dyDescent="0.25">
      <c r="A106" s="170" t="s">
        <v>121</v>
      </c>
      <c r="B106" s="118" t="s">
        <v>122</v>
      </c>
      <c r="C106" s="60">
        <v>750</v>
      </c>
      <c r="D106" s="60">
        <v>750</v>
      </c>
      <c r="E106" s="60">
        <v>750</v>
      </c>
      <c r="F106" s="60">
        <v>750</v>
      </c>
      <c r="G106" s="60">
        <v>750</v>
      </c>
      <c r="H106" s="60">
        <v>750</v>
      </c>
      <c r="I106" s="60">
        <v>750</v>
      </c>
      <c r="J106" s="60">
        <v>140</v>
      </c>
      <c r="K106" s="655">
        <f t="shared" si="17"/>
        <v>0.18666666666666668</v>
      </c>
    </row>
    <row r="107" spans="1:11" ht="15.75" thickBot="1" x14ac:dyDescent="0.3">
      <c r="A107" s="187" t="s">
        <v>123</v>
      </c>
      <c r="B107" s="188" t="s">
        <v>260</v>
      </c>
      <c r="C107" s="191">
        <v>4000</v>
      </c>
      <c r="D107" s="191">
        <v>4000</v>
      </c>
      <c r="E107" s="191">
        <v>4000</v>
      </c>
      <c r="F107" s="191">
        <v>4000</v>
      </c>
      <c r="G107" s="698">
        <f>4000-1000</f>
        <v>3000</v>
      </c>
      <c r="H107" s="128">
        <f>4000-1000</f>
        <v>3000</v>
      </c>
      <c r="I107" s="128">
        <f>4000-1000</f>
        <v>3000</v>
      </c>
      <c r="J107" s="191">
        <v>1000</v>
      </c>
      <c r="K107" s="655">
        <f t="shared" si="17"/>
        <v>0.33333333333333331</v>
      </c>
    </row>
    <row r="108" spans="1:11" ht="15.75" thickBot="1" x14ac:dyDescent="0.3">
      <c r="A108" s="192" t="s">
        <v>124</v>
      </c>
      <c r="B108" s="193"/>
      <c r="C108" s="194">
        <f t="shared" ref="C108:J108" si="37">SUM(C109:C113)</f>
        <v>109550</v>
      </c>
      <c r="D108" s="194">
        <f t="shared" si="37"/>
        <v>109550</v>
      </c>
      <c r="E108" s="194">
        <f t="shared" si="37"/>
        <v>111550</v>
      </c>
      <c r="F108" s="194">
        <f t="shared" si="37"/>
        <v>116550</v>
      </c>
      <c r="G108" s="194">
        <f t="shared" si="37"/>
        <v>119250</v>
      </c>
      <c r="H108" s="194">
        <f t="shared" ref="H108:I108" si="38">SUM(H109:H113)</f>
        <v>122450</v>
      </c>
      <c r="I108" s="194">
        <f t="shared" si="38"/>
        <v>128050</v>
      </c>
      <c r="J108" s="194">
        <f t="shared" si="37"/>
        <v>27200</v>
      </c>
      <c r="K108" s="655">
        <f t="shared" si="17"/>
        <v>0.21241702459976572</v>
      </c>
    </row>
    <row r="109" spans="1:11" x14ac:dyDescent="0.25">
      <c r="A109" s="153" t="s">
        <v>125</v>
      </c>
      <c r="B109" s="154" t="s">
        <v>126</v>
      </c>
      <c r="C109" s="139">
        <v>24000</v>
      </c>
      <c r="D109" s="139">
        <v>24000</v>
      </c>
      <c r="E109" s="139">
        <v>24000</v>
      </c>
      <c r="F109" s="139">
        <v>24000</v>
      </c>
      <c r="G109" s="643">
        <f>24000+1500</f>
        <v>25500</v>
      </c>
      <c r="H109" s="139">
        <f>24000+1500</f>
        <v>25500</v>
      </c>
      <c r="I109" s="139">
        <f>24000+1500</f>
        <v>25500</v>
      </c>
      <c r="J109" s="139">
        <v>18441</v>
      </c>
      <c r="K109" s="655">
        <f t="shared" si="17"/>
        <v>0.72317647058823531</v>
      </c>
    </row>
    <row r="110" spans="1:11" x14ac:dyDescent="0.25">
      <c r="A110" s="196" t="s">
        <v>127</v>
      </c>
      <c r="B110" s="197" t="s">
        <v>128</v>
      </c>
      <c r="C110" s="55">
        <v>53650</v>
      </c>
      <c r="D110" s="55">
        <v>53650</v>
      </c>
      <c r="E110" s="634">
        <f>53650+2000</f>
        <v>55650</v>
      </c>
      <c r="F110" s="634">
        <f>53650+2000+5000</f>
        <v>60650</v>
      </c>
      <c r="G110" s="634">
        <f>53650+2000+5000+2000-2000+100</f>
        <v>60750</v>
      </c>
      <c r="H110" s="634">
        <f>53650+2000+5000+2000-2000+100+3200</f>
        <v>63950</v>
      </c>
      <c r="I110" s="634">
        <f>53650+2000+5000+2000-2000+100+3200+5000</f>
        <v>68950</v>
      </c>
      <c r="J110" s="55">
        <v>6167</v>
      </c>
      <c r="K110" s="655">
        <f t="shared" si="17"/>
        <v>8.9441624365482239E-2</v>
      </c>
    </row>
    <row r="111" spans="1:11" x14ac:dyDescent="0.25">
      <c r="A111" s="196" t="s">
        <v>129</v>
      </c>
      <c r="B111" s="85" t="s">
        <v>130</v>
      </c>
      <c r="C111" s="55">
        <v>5100</v>
      </c>
      <c r="D111" s="55">
        <v>5100</v>
      </c>
      <c r="E111" s="55">
        <v>5100</v>
      </c>
      <c r="F111" s="55">
        <v>5100</v>
      </c>
      <c r="G111" s="55">
        <v>5100</v>
      </c>
      <c r="H111" s="55">
        <v>5100</v>
      </c>
      <c r="I111" s="634">
        <f>5100+600</f>
        <v>5700</v>
      </c>
      <c r="J111" s="55">
        <v>1557</v>
      </c>
      <c r="K111" s="655">
        <f t="shared" si="17"/>
        <v>0.2731578947368421</v>
      </c>
    </row>
    <row r="112" spans="1:11" x14ac:dyDescent="0.25">
      <c r="A112" s="196" t="s">
        <v>131</v>
      </c>
      <c r="B112" s="85" t="s">
        <v>132</v>
      </c>
      <c r="C112" s="55">
        <v>15600</v>
      </c>
      <c r="D112" s="55">
        <v>15600</v>
      </c>
      <c r="E112" s="55">
        <v>15600</v>
      </c>
      <c r="F112" s="55">
        <v>15600</v>
      </c>
      <c r="G112" s="634">
        <f>15600+1100</f>
        <v>16700</v>
      </c>
      <c r="H112" s="55">
        <f>15600+1100</f>
        <v>16700</v>
      </c>
      <c r="I112" s="55">
        <f>15600+1100</f>
        <v>16700</v>
      </c>
      <c r="J112" s="55">
        <v>1035</v>
      </c>
      <c r="K112" s="655">
        <f t="shared" si="17"/>
        <v>6.1976047904191617E-2</v>
      </c>
    </row>
    <row r="113" spans="1:17" ht="15.75" thickBot="1" x14ac:dyDescent="0.3">
      <c r="A113" s="164" t="s">
        <v>133</v>
      </c>
      <c r="B113" s="165" t="s">
        <v>134</v>
      </c>
      <c r="C113" s="186">
        <v>11200</v>
      </c>
      <c r="D113" s="186">
        <v>11200</v>
      </c>
      <c r="E113" s="186">
        <v>11200</v>
      </c>
      <c r="F113" s="186">
        <v>11200</v>
      </c>
      <c r="G113" s="186">
        <v>11200</v>
      </c>
      <c r="H113" s="186">
        <v>11200</v>
      </c>
      <c r="I113" s="186">
        <v>11200</v>
      </c>
      <c r="J113" s="186">
        <v>0</v>
      </c>
      <c r="K113" s="655">
        <f t="shared" si="17"/>
        <v>0</v>
      </c>
    </row>
    <row r="114" spans="1:17" ht="15.75" thickBot="1" x14ac:dyDescent="0.3">
      <c r="A114" s="129" t="s">
        <v>135</v>
      </c>
      <c r="B114" s="130"/>
      <c r="C114" s="110">
        <f t="shared" ref="C114:J114" si="39">SUM(C115:C121)</f>
        <v>380850</v>
      </c>
      <c r="D114" s="110">
        <f t="shared" si="39"/>
        <v>380850</v>
      </c>
      <c r="E114" s="110">
        <f t="shared" si="39"/>
        <v>383256</v>
      </c>
      <c r="F114" s="110">
        <f t="shared" si="39"/>
        <v>385991</v>
      </c>
      <c r="G114" s="110">
        <f t="shared" si="39"/>
        <v>385991</v>
      </c>
      <c r="H114" s="110">
        <f t="shared" si="39"/>
        <v>385991</v>
      </c>
      <c r="I114" s="110">
        <f t="shared" si="39"/>
        <v>386991</v>
      </c>
      <c r="J114" s="110">
        <f t="shared" si="39"/>
        <v>90355</v>
      </c>
      <c r="K114" s="655">
        <f t="shared" si="17"/>
        <v>0.23348088198433556</v>
      </c>
    </row>
    <row r="115" spans="1:17" x14ac:dyDescent="0.25">
      <c r="A115" s="200" t="s">
        <v>136</v>
      </c>
      <c r="B115" s="201" t="s">
        <v>137</v>
      </c>
      <c r="C115" s="205">
        <f>163900</f>
        <v>163900</v>
      </c>
      <c r="D115" s="205">
        <f>163900</f>
        <v>163900</v>
      </c>
      <c r="E115" s="652">
        <f>163900+2406</f>
        <v>166306</v>
      </c>
      <c r="F115" s="205">
        <f>163900+2406</f>
        <v>166306</v>
      </c>
      <c r="G115" s="205">
        <f>163900+2406</f>
        <v>166306</v>
      </c>
      <c r="H115" s="205">
        <f>163900+2406</f>
        <v>166306</v>
      </c>
      <c r="I115" s="205">
        <f>163900+2406</f>
        <v>166306</v>
      </c>
      <c r="J115" s="205">
        <v>33893</v>
      </c>
      <c r="K115" s="655">
        <f t="shared" si="17"/>
        <v>0.20379902108162062</v>
      </c>
    </row>
    <row r="116" spans="1:17" x14ac:dyDescent="0.25">
      <c r="A116" s="209" t="s">
        <v>142</v>
      </c>
      <c r="B116" s="210" t="s">
        <v>143</v>
      </c>
      <c r="C116" s="61">
        <v>3600</v>
      </c>
      <c r="D116" s="61">
        <v>3600</v>
      </c>
      <c r="E116" s="61">
        <v>3600</v>
      </c>
      <c r="F116" s="61">
        <v>3600</v>
      </c>
      <c r="G116" s="61">
        <v>3600</v>
      </c>
      <c r="H116" s="61">
        <v>3600</v>
      </c>
      <c r="I116" s="725">
        <f>3600+1000</f>
        <v>4600</v>
      </c>
      <c r="J116" s="61">
        <v>1453</v>
      </c>
      <c r="K116" s="655">
        <f t="shared" si="17"/>
        <v>0.31586956521739129</v>
      </c>
    </row>
    <row r="117" spans="1:17" x14ac:dyDescent="0.25">
      <c r="A117" s="209" t="s">
        <v>144</v>
      </c>
      <c r="B117" s="210" t="s">
        <v>145</v>
      </c>
      <c r="C117" s="61">
        <v>32330</v>
      </c>
      <c r="D117" s="61">
        <v>32330</v>
      </c>
      <c r="E117" s="61">
        <v>32330</v>
      </c>
      <c r="F117" s="61">
        <v>32330</v>
      </c>
      <c r="G117" s="61">
        <v>32330</v>
      </c>
      <c r="H117" s="61">
        <v>32330</v>
      </c>
      <c r="I117" s="61">
        <v>32330</v>
      </c>
      <c r="J117" s="61">
        <v>4795</v>
      </c>
      <c r="K117" s="655">
        <f t="shared" si="17"/>
        <v>0.14831425920197958</v>
      </c>
    </row>
    <row r="118" spans="1:17" x14ac:dyDescent="0.25">
      <c r="A118" s="209" t="s">
        <v>146</v>
      </c>
      <c r="B118" s="210" t="s">
        <v>147</v>
      </c>
      <c r="C118" s="60">
        <v>31830</v>
      </c>
      <c r="D118" s="60">
        <v>31830</v>
      </c>
      <c r="E118" s="60">
        <v>31830</v>
      </c>
      <c r="F118" s="60">
        <v>31830</v>
      </c>
      <c r="G118" s="60">
        <v>31830</v>
      </c>
      <c r="H118" s="60">
        <v>31830</v>
      </c>
      <c r="I118" s="60">
        <v>31830</v>
      </c>
      <c r="J118" s="60">
        <v>6637</v>
      </c>
      <c r="K118" s="655">
        <f t="shared" si="17"/>
        <v>0.20851398052152056</v>
      </c>
    </row>
    <row r="119" spans="1:17" x14ac:dyDescent="0.25">
      <c r="A119" s="209" t="s">
        <v>148</v>
      </c>
      <c r="B119" s="210" t="s">
        <v>233</v>
      </c>
      <c r="C119" s="60">
        <v>131840</v>
      </c>
      <c r="D119" s="60">
        <v>131840</v>
      </c>
      <c r="E119" s="60">
        <f>131840</f>
        <v>131840</v>
      </c>
      <c r="F119" s="60">
        <f>131840+2735</f>
        <v>134575</v>
      </c>
      <c r="G119" s="60">
        <f>131840+2735</f>
        <v>134575</v>
      </c>
      <c r="H119" s="60">
        <f>131840+2735</f>
        <v>134575</v>
      </c>
      <c r="I119" s="60">
        <f>131840+2735</f>
        <v>134575</v>
      </c>
      <c r="J119" s="60">
        <v>42057</v>
      </c>
      <c r="K119" s="655">
        <f t="shared" si="17"/>
        <v>0.31251718372654652</v>
      </c>
    </row>
    <row r="120" spans="1:17" x14ac:dyDescent="0.25">
      <c r="A120" s="211" t="s">
        <v>149</v>
      </c>
      <c r="B120" s="210" t="s">
        <v>234</v>
      </c>
      <c r="C120" s="215">
        <v>11300</v>
      </c>
      <c r="D120" s="215">
        <v>11300</v>
      </c>
      <c r="E120" s="215">
        <v>11300</v>
      </c>
      <c r="F120" s="215">
        <v>11300</v>
      </c>
      <c r="G120" s="215">
        <v>11300</v>
      </c>
      <c r="H120" s="215">
        <v>11300</v>
      </c>
      <c r="I120" s="215">
        <v>11300</v>
      </c>
      <c r="J120" s="215">
        <v>1470</v>
      </c>
      <c r="K120" s="655">
        <f t="shared" si="17"/>
        <v>0.13008849557522123</v>
      </c>
    </row>
    <row r="121" spans="1:17" ht="15.75" thickBot="1" x14ac:dyDescent="0.3">
      <c r="A121" s="209" t="s">
        <v>150</v>
      </c>
      <c r="B121" s="210" t="s">
        <v>261</v>
      </c>
      <c r="C121" s="215">
        <v>6050</v>
      </c>
      <c r="D121" s="215">
        <v>6050</v>
      </c>
      <c r="E121" s="215">
        <v>6050</v>
      </c>
      <c r="F121" s="215">
        <v>6050</v>
      </c>
      <c r="G121" s="215">
        <v>6050</v>
      </c>
      <c r="H121" s="215">
        <v>6050</v>
      </c>
      <c r="I121" s="215">
        <v>6050</v>
      </c>
      <c r="J121" s="215">
        <v>50</v>
      </c>
      <c r="K121" s="655">
        <f t="shared" si="17"/>
        <v>8.2644628099173556E-3</v>
      </c>
    </row>
    <row r="122" spans="1:17" ht="15.75" thickBot="1" x14ac:dyDescent="0.3">
      <c r="A122" s="108" t="s">
        <v>151</v>
      </c>
      <c r="B122" s="109"/>
      <c r="C122" s="112">
        <f t="shared" ref="C122:J122" si="40">SUM(C123:C127)</f>
        <v>286950</v>
      </c>
      <c r="D122" s="112">
        <f t="shared" si="40"/>
        <v>286950</v>
      </c>
      <c r="E122" s="112">
        <f t="shared" si="40"/>
        <v>286950</v>
      </c>
      <c r="F122" s="112">
        <f t="shared" si="40"/>
        <v>286950</v>
      </c>
      <c r="G122" s="112">
        <f t="shared" si="40"/>
        <v>297750</v>
      </c>
      <c r="H122" s="112">
        <f t="shared" ref="H122:I122" si="41">SUM(H123:H127)</f>
        <v>297750</v>
      </c>
      <c r="I122" s="112">
        <f t="shared" si="41"/>
        <v>300850</v>
      </c>
      <c r="J122" s="112">
        <f t="shared" si="40"/>
        <v>40842</v>
      </c>
      <c r="K122" s="655">
        <f t="shared" si="17"/>
        <v>0.13575535981386072</v>
      </c>
    </row>
    <row r="123" spans="1:17" x14ac:dyDescent="0.25">
      <c r="A123" s="196" t="s">
        <v>152</v>
      </c>
      <c r="B123" s="85" t="s">
        <v>282</v>
      </c>
      <c r="C123" s="55">
        <f>268900</f>
        <v>268900</v>
      </c>
      <c r="D123" s="55">
        <f>268900</f>
        <v>268900</v>
      </c>
      <c r="E123" s="55">
        <f>268900</f>
        <v>268900</v>
      </c>
      <c r="F123" s="55">
        <f>268900</f>
        <v>268900</v>
      </c>
      <c r="G123" s="634">
        <f>268900+800+1000</f>
        <v>270700</v>
      </c>
      <c r="H123" s="55">
        <f>268900+800+1000</f>
        <v>270700</v>
      </c>
      <c r="I123" s="634">
        <f>268900+800+1000+100+3000</f>
        <v>273800</v>
      </c>
      <c r="J123" s="55">
        <v>38623</v>
      </c>
      <c r="K123" s="655">
        <f t="shared" si="17"/>
        <v>0.1410628195763331</v>
      </c>
      <c r="L123" s="407"/>
      <c r="M123" s="407"/>
    </row>
    <row r="124" spans="1:17" x14ac:dyDescent="0.25">
      <c r="A124" s="196" t="s">
        <v>153</v>
      </c>
      <c r="B124" s="85" t="s">
        <v>154</v>
      </c>
      <c r="C124" s="55">
        <v>450</v>
      </c>
      <c r="D124" s="55">
        <v>450</v>
      </c>
      <c r="E124" s="55">
        <v>450</v>
      </c>
      <c r="F124" s="55">
        <v>450</v>
      </c>
      <c r="G124" s="55">
        <v>450</v>
      </c>
      <c r="H124" s="55">
        <v>450</v>
      </c>
      <c r="I124" s="55">
        <v>450</v>
      </c>
      <c r="J124" s="55">
        <v>100</v>
      </c>
      <c r="K124" s="655">
        <f t="shared" si="17"/>
        <v>0.22222222222222221</v>
      </c>
      <c r="L124" s="407"/>
      <c r="M124" s="407"/>
    </row>
    <row r="125" spans="1:17" x14ac:dyDescent="0.25">
      <c r="A125" s="121" t="s">
        <v>155</v>
      </c>
      <c r="B125" s="118" t="s">
        <v>156</v>
      </c>
      <c r="C125" s="60">
        <v>16600</v>
      </c>
      <c r="D125" s="60">
        <v>16600</v>
      </c>
      <c r="E125" s="60">
        <v>16600</v>
      </c>
      <c r="F125" s="60">
        <v>16600</v>
      </c>
      <c r="G125" s="60">
        <v>16600</v>
      </c>
      <c r="H125" s="60">
        <v>16600</v>
      </c>
      <c r="I125" s="60">
        <v>16600</v>
      </c>
      <c r="J125" s="60">
        <v>2119</v>
      </c>
      <c r="K125" s="655">
        <f t="shared" si="17"/>
        <v>0.12765060240963855</v>
      </c>
    </row>
    <row r="126" spans="1:17" x14ac:dyDescent="0.25">
      <c r="A126" s="121" t="s">
        <v>157</v>
      </c>
      <c r="B126" s="118" t="s">
        <v>481</v>
      </c>
      <c r="C126" s="60">
        <v>500</v>
      </c>
      <c r="D126" s="60">
        <v>500</v>
      </c>
      <c r="E126" s="60">
        <v>500</v>
      </c>
      <c r="F126" s="60">
        <v>500</v>
      </c>
      <c r="G126" s="622">
        <f>500+9000</f>
        <v>9500</v>
      </c>
      <c r="H126" s="60">
        <f>500+9000</f>
        <v>9500</v>
      </c>
      <c r="I126" s="60">
        <f>500+9000</f>
        <v>9500</v>
      </c>
      <c r="J126" s="60">
        <v>0</v>
      </c>
      <c r="K126" s="655">
        <f t="shared" si="17"/>
        <v>0</v>
      </c>
    </row>
    <row r="127" spans="1:17" ht="15.75" thickBot="1" x14ac:dyDescent="0.3">
      <c r="A127" s="164" t="s">
        <v>159</v>
      </c>
      <c r="B127" s="165" t="s">
        <v>160</v>
      </c>
      <c r="C127" s="186">
        <v>500</v>
      </c>
      <c r="D127" s="186">
        <v>500</v>
      </c>
      <c r="E127" s="186">
        <v>500</v>
      </c>
      <c r="F127" s="186">
        <v>500</v>
      </c>
      <c r="G127" s="186">
        <v>500</v>
      </c>
      <c r="H127" s="186">
        <v>500</v>
      </c>
      <c r="I127" s="186">
        <v>500</v>
      </c>
      <c r="J127" s="186">
        <v>0</v>
      </c>
      <c r="K127" s="655">
        <f t="shared" si="17"/>
        <v>0</v>
      </c>
    </row>
    <row r="128" spans="1:17" ht="16.5" thickBot="1" x14ac:dyDescent="0.3">
      <c r="A128" s="216" t="s">
        <v>161</v>
      </c>
      <c r="B128" s="176"/>
      <c r="C128" s="219">
        <f t="shared" ref="C128:J128" si="42">SUM(C79+C85+C87+C90+C94+C99+C103+C108+C114+C122)</f>
        <v>1504568</v>
      </c>
      <c r="D128" s="219">
        <f t="shared" si="42"/>
        <v>1504568</v>
      </c>
      <c r="E128" s="219">
        <f t="shared" si="42"/>
        <v>1508979</v>
      </c>
      <c r="F128" s="219">
        <f t="shared" si="42"/>
        <v>1516714</v>
      </c>
      <c r="G128" s="219">
        <f t="shared" si="42"/>
        <v>1522714</v>
      </c>
      <c r="H128" s="219">
        <f t="shared" si="42"/>
        <v>1525914</v>
      </c>
      <c r="I128" s="219">
        <f t="shared" si="42"/>
        <v>1536814</v>
      </c>
      <c r="J128" s="219">
        <f t="shared" si="42"/>
        <v>288863</v>
      </c>
      <c r="K128" s="655">
        <f t="shared" si="17"/>
        <v>0.18796223876148968</v>
      </c>
      <c r="L128" s="464">
        <f>D128-C128</f>
        <v>0</v>
      </c>
      <c r="M128" s="464">
        <f t="shared" ref="M128:Q139" si="43">E128-D128</f>
        <v>4411</v>
      </c>
      <c r="N128" s="464">
        <f t="shared" si="43"/>
        <v>7735</v>
      </c>
      <c r="O128" s="464">
        <f t="shared" si="43"/>
        <v>6000</v>
      </c>
      <c r="P128" s="464">
        <f t="shared" si="43"/>
        <v>3200</v>
      </c>
      <c r="Q128" s="464">
        <f t="shared" si="43"/>
        <v>10900</v>
      </c>
    </row>
    <row r="129" spans="1:17" x14ac:dyDescent="0.25">
      <c r="A129" s="220" t="s">
        <v>140</v>
      </c>
      <c r="B129" s="221" t="s">
        <v>163</v>
      </c>
      <c r="C129" s="224">
        <f t="shared" ref="C129:J129" si="44">C66</f>
        <v>534950</v>
      </c>
      <c r="D129" s="224">
        <f t="shared" si="44"/>
        <v>534950</v>
      </c>
      <c r="E129" s="652">
        <f t="shared" si="44"/>
        <v>556769</v>
      </c>
      <c r="F129" s="652">
        <f t="shared" si="44"/>
        <v>558169</v>
      </c>
      <c r="G129" s="224">
        <f t="shared" si="44"/>
        <v>558169</v>
      </c>
      <c r="H129" s="652">
        <f t="shared" si="44"/>
        <v>558907</v>
      </c>
      <c r="I129" s="224">
        <f t="shared" si="44"/>
        <v>558907</v>
      </c>
      <c r="J129" s="224">
        <f t="shared" si="44"/>
        <v>144649</v>
      </c>
      <c r="K129" s="655">
        <f t="shared" si="17"/>
        <v>0.25880692136616645</v>
      </c>
      <c r="L129" s="464">
        <f t="shared" ref="L129:L139" si="45">D129-C129</f>
        <v>0</v>
      </c>
      <c r="M129" s="464">
        <f t="shared" si="43"/>
        <v>21819</v>
      </c>
      <c r="N129" s="464">
        <f t="shared" si="43"/>
        <v>1400</v>
      </c>
      <c r="O129" s="464">
        <f t="shared" si="43"/>
        <v>0</v>
      </c>
      <c r="P129" s="464">
        <f t="shared" si="43"/>
        <v>738</v>
      </c>
      <c r="Q129" s="464">
        <f t="shared" si="43"/>
        <v>0</v>
      </c>
    </row>
    <row r="130" spans="1:17" x14ac:dyDescent="0.25">
      <c r="A130" s="225" t="s">
        <v>140</v>
      </c>
      <c r="B130" s="226" t="s">
        <v>164</v>
      </c>
      <c r="C130" s="229">
        <f t="shared" ref="C130:J130" si="46">C68</f>
        <v>2450</v>
      </c>
      <c r="D130" s="229">
        <f t="shared" si="46"/>
        <v>2450</v>
      </c>
      <c r="E130" s="229">
        <f t="shared" si="46"/>
        <v>2450</v>
      </c>
      <c r="F130" s="229">
        <f t="shared" si="46"/>
        <v>2450</v>
      </c>
      <c r="G130" s="229">
        <f t="shared" si="46"/>
        <v>2450</v>
      </c>
      <c r="H130" s="229">
        <f t="shared" si="46"/>
        <v>2450</v>
      </c>
      <c r="I130" s="229">
        <f t="shared" si="46"/>
        <v>2450</v>
      </c>
      <c r="J130" s="229">
        <f t="shared" si="46"/>
        <v>0</v>
      </c>
      <c r="K130" s="655">
        <f t="shared" si="17"/>
        <v>0</v>
      </c>
      <c r="L130" s="464">
        <f t="shared" si="45"/>
        <v>0</v>
      </c>
      <c r="M130" s="464">
        <f t="shared" si="43"/>
        <v>0</v>
      </c>
      <c r="N130" s="464">
        <f t="shared" si="43"/>
        <v>0</v>
      </c>
      <c r="O130" s="464">
        <f t="shared" si="43"/>
        <v>0</v>
      </c>
      <c r="P130" s="464">
        <f t="shared" si="43"/>
        <v>0</v>
      </c>
      <c r="Q130" s="464">
        <f t="shared" si="43"/>
        <v>0</v>
      </c>
    </row>
    <row r="131" spans="1:17" ht="15.75" thickBot="1" x14ac:dyDescent="0.3">
      <c r="A131" s="230" t="s">
        <v>140</v>
      </c>
      <c r="B131" s="231" t="s">
        <v>166</v>
      </c>
      <c r="C131" s="234">
        <v>0</v>
      </c>
      <c r="D131" s="234">
        <v>0</v>
      </c>
      <c r="E131" s="234">
        <v>0</v>
      </c>
      <c r="F131" s="234">
        <v>0</v>
      </c>
      <c r="G131" s="234">
        <v>0</v>
      </c>
      <c r="H131" s="234">
        <v>0</v>
      </c>
      <c r="I131" s="234">
        <v>0</v>
      </c>
      <c r="J131" s="234">
        <v>0</v>
      </c>
      <c r="K131" s="655">
        <v>0</v>
      </c>
      <c r="L131" s="464">
        <f t="shared" si="45"/>
        <v>0</v>
      </c>
      <c r="M131" s="464">
        <f t="shared" si="43"/>
        <v>0</v>
      </c>
      <c r="N131" s="464">
        <f t="shared" si="43"/>
        <v>0</v>
      </c>
      <c r="O131" s="464">
        <f t="shared" si="43"/>
        <v>0</v>
      </c>
      <c r="P131" s="464">
        <f t="shared" si="43"/>
        <v>0</v>
      </c>
      <c r="Q131" s="464">
        <f t="shared" si="43"/>
        <v>0</v>
      </c>
    </row>
    <row r="132" spans="1:17" x14ac:dyDescent="0.25">
      <c r="A132" s="235" t="s">
        <v>142</v>
      </c>
      <c r="B132" s="236" t="s">
        <v>167</v>
      </c>
      <c r="C132" s="239">
        <v>32600</v>
      </c>
      <c r="D132" s="239">
        <v>32600</v>
      </c>
      <c r="E132" s="239">
        <v>32600</v>
      </c>
      <c r="F132" s="239">
        <v>32600</v>
      </c>
      <c r="G132" s="239">
        <v>32600</v>
      </c>
      <c r="H132" s="239">
        <v>32600</v>
      </c>
      <c r="I132" s="239">
        <v>32600</v>
      </c>
      <c r="J132" s="239">
        <v>8151</v>
      </c>
      <c r="K132" s="655">
        <f t="shared" ref="K132:K188" si="47">J132/I132</f>
        <v>0.25003067484662578</v>
      </c>
      <c r="L132" s="464">
        <f t="shared" si="45"/>
        <v>0</v>
      </c>
      <c r="M132" s="464">
        <f t="shared" si="43"/>
        <v>0</v>
      </c>
      <c r="N132" s="464">
        <f t="shared" si="43"/>
        <v>0</v>
      </c>
      <c r="O132" s="464">
        <f t="shared" si="43"/>
        <v>0</v>
      </c>
      <c r="P132" s="464">
        <f t="shared" si="43"/>
        <v>0</v>
      </c>
      <c r="Q132" s="464">
        <f t="shared" si="43"/>
        <v>0</v>
      </c>
    </row>
    <row r="133" spans="1:17" ht="15.75" thickBot="1" x14ac:dyDescent="0.3">
      <c r="A133" s="225" t="s">
        <v>142</v>
      </c>
      <c r="B133" s="226" t="s">
        <v>168</v>
      </c>
      <c r="C133" s="229">
        <f t="shared" ref="C133:J133" si="48">C69</f>
        <v>2000</v>
      </c>
      <c r="D133" s="229">
        <f t="shared" si="48"/>
        <v>2000</v>
      </c>
      <c r="E133" s="229">
        <f t="shared" si="48"/>
        <v>2000</v>
      </c>
      <c r="F133" s="229">
        <f t="shared" si="48"/>
        <v>2000</v>
      </c>
      <c r="G133" s="229">
        <f t="shared" si="48"/>
        <v>2000</v>
      </c>
      <c r="H133" s="229">
        <f t="shared" si="48"/>
        <v>2000</v>
      </c>
      <c r="I133" s="229">
        <f t="shared" si="48"/>
        <v>2000</v>
      </c>
      <c r="J133" s="229">
        <f t="shared" si="48"/>
        <v>456</v>
      </c>
      <c r="K133" s="655">
        <f t="shared" si="47"/>
        <v>0.22800000000000001</v>
      </c>
      <c r="L133" s="464">
        <f t="shared" si="45"/>
        <v>0</v>
      </c>
      <c r="M133" s="464">
        <f t="shared" si="43"/>
        <v>0</v>
      </c>
      <c r="N133" s="464">
        <f t="shared" si="43"/>
        <v>0</v>
      </c>
      <c r="O133" s="464">
        <f t="shared" si="43"/>
        <v>0</v>
      </c>
      <c r="P133" s="464">
        <f t="shared" si="43"/>
        <v>0</v>
      </c>
      <c r="Q133" s="464">
        <f t="shared" si="43"/>
        <v>0</v>
      </c>
    </row>
    <row r="134" spans="1:17" ht="15.75" thickBot="1" x14ac:dyDescent="0.3">
      <c r="A134" s="823" t="s">
        <v>169</v>
      </c>
      <c r="B134" s="824"/>
      <c r="C134" s="242">
        <f t="shared" ref="C134:J134" si="49">SUM(C129:C133)</f>
        <v>572000</v>
      </c>
      <c r="D134" s="242">
        <f t="shared" si="49"/>
        <v>572000</v>
      </c>
      <c r="E134" s="242">
        <f t="shared" si="49"/>
        <v>593819</v>
      </c>
      <c r="F134" s="242">
        <f t="shared" si="49"/>
        <v>595219</v>
      </c>
      <c r="G134" s="242">
        <f t="shared" si="49"/>
        <v>595219</v>
      </c>
      <c r="H134" s="242">
        <f t="shared" si="49"/>
        <v>595957</v>
      </c>
      <c r="I134" s="242">
        <f t="shared" si="49"/>
        <v>595957</v>
      </c>
      <c r="J134" s="242">
        <f t="shared" si="49"/>
        <v>153256</v>
      </c>
      <c r="K134" s="655">
        <f t="shared" si="47"/>
        <v>0.25715949305067309</v>
      </c>
      <c r="L134" s="464">
        <f t="shared" si="45"/>
        <v>0</v>
      </c>
      <c r="M134" s="464">
        <f t="shared" si="43"/>
        <v>21819</v>
      </c>
      <c r="N134" s="464">
        <f t="shared" si="43"/>
        <v>1400</v>
      </c>
      <c r="O134" s="464">
        <f t="shared" si="43"/>
        <v>0</v>
      </c>
      <c r="P134" s="464">
        <f t="shared" si="43"/>
        <v>738</v>
      </c>
      <c r="Q134" s="464">
        <f t="shared" si="43"/>
        <v>0</v>
      </c>
    </row>
    <row r="135" spans="1:17" x14ac:dyDescent="0.25">
      <c r="A135" s="243" t="s">
        <v>142</v>
      </c>
      <c r="B135" s="244" t="s">
        <v>170</v>
      </c>
      <c r="C135" s="247">
        <f t="shared" ref="C135:I135" si="50">264110-C136</f>
        <v>252640</v>
      </c>
      <c r="D135" s="247">
        <f t="shared" si="50"/>
        <v>252640</v>
      </c>
      <c r="E135" s="247">
        <f t="shared" si="50"/>
        <v>252640</v>
      </c>
      <c r="F135" s="247">
        <f t="shared" si="50"/>
        <v>252640</v>
      </c>
      <c r="G135" s="247">
        <f t="shared" si="50"/>
        <v>252640</v>
      </c>
      <c r="H135" s="247">
        <f t="shared" si="50"/>
        <v>252640</v>
      </c>
      <c r="I135" s="247">
        <f t="shared" si="50"/>
        <v>252640</v>
      </c>
      <c r="J135" s="247">
        <v>63159</v>
      </c>
      <c r="K135" s="655">
        <f t="shared" si="47"/>
        <v>0.24999604179860671</v>
      </c>
      <c r="L135" s="464">
        <f t="shared" si="45"/>
        <v>0</v>
      </c>
      <c r="M135" s="464">
        <f t="shared" si="43"/>
        <v>0</v>
      </c>
      <c r="N135" s="464">
        <f t="shared" si="43"/>
        <v>0</v>
      </c>
      <c r="O135" s="464">
        <f t="shared" si="43"/>
        <v>0</v>
      </c>
      <c r="P135" s="464">
        <f t="shared" si="43"/>
        <v>0</v>
      </c>
      <c r="Q135" s="464">
        <f t="shared" si="43"/>
        <v>0</v>
      </c>
    </row>
    <row r="136" spans="1:17" ht="15.75" thickBot="1" x14ac:dyDescent="0.3">
      <c r="A136" s="248" t="s">
        <v>142</v>
      </c>
      <c r="B136" s="249" t="s">
        <v>171</v>
      </c>
      <c r="C136" s="93">
        <f t="shared" ref="C136:J136" si="51">C71</f>
        <v>11470</v>
      </c>
      <c r="D136" s="93">
        <f t="shared" si="51"/>
        <v>11470</v>
      </c>
      <c r="E136" s="93">
        <f t="shared" si="51"/>
        <v>11470</v>
      </c>
      <c r="F136" s="93">
        <f t="shared" si="51"/>
        <v>11470</v>
      </c>
      <c r="G136" s="93">
        <f t="shared" si="51"/>
        <v>11470</v>
      </c>
      <c r="H136" s="93">
        <f t="shared" si="51"/>
        <v>11470</v>
      </c>
      <c r="I136" s="93">
        <f t="shared" si="51"/>
        <v>11470</v>
      </c>
      <c r="J136" s="93">
        <f t="shared" si="51"/>
        <v>4205</v>
      </c>
      <c r="K136" s="655">
        <f t="shared" si="47"/>
        <v>0.36660854402789889</v>
      </c>
      <c r="L136" s="464">
        <f t="shared" si="45"/>
        <v>0</v>
      </c>
      <c r="M136" s="464">
        <f t="shared" si="43"/>
        <v>0</v>
      </c>
      <c r="N136" s="464">
        <f t="shared" si="43"/>
        <v>0</v>
      </c>
      <c r="O136" s="464">
        <f t="shared" si="43"/>
        <v>0</v>
      </c>
      <c r="P136" s="464">
        <f t="shared" si="43"/>
        <v>0</v>
      </c>
      <c r="Q136" s="464">
        <f t="shared" si="43"/>
        <v>0</v>
      </c>
    </row>
    <row r="137" spans="1:17" ht="15.75" thickBot="1" x14ac:dyDescent="0.3">
      <c r="A137" s="805" t="s">
        <v>172</v>
      </c>
      <c r="B137" s="806"/>
      <c r="C137" s="254">
        <f t="shared" ref="C137:J137" si="52">SUM(C135:C136)</f>
        <v>264110</v>
      </c>
      <c r="D137" s="254">
        <f t="shared" si="52"/>
        <v>264110</v>
      </c>
      <c r="E137" s="254">
        <f t="shared" si="52"/>
        <v>264110</v>
      </c>
      <c r="F137" s="254">
        <f t="shared" si="52"/>
        <v>264110</v>
      </c>
      <c r="G137" s="254">
        <f t="shared" si="52"/>
        <v>264110</v>
      </c>
      <c r="H137" s="254">
        <f t="shared" si="52"/>
        <v>264110</v>
      </c>
      <c r="I137" s="254">
        <f t="shared" si="52"/>
        <v>264110</v>
      </c>
      <c r="J137" s="254">
        <f t="shared" si="52"/>
        <v>67364</v>
      </c>
      <c r="K137" s="655">
        <f t="shared" si="47"/>
        <v>0.25506039150354021</v>
      </c>
      <c r="L137" s="464">
        <f t="shared" si="45"/>
        <v>0</v>
      </c>
      <c r="M137" s="464">
        <f t="shared" si="43"/>
        <v>0</v>
      </c>
      <c r="N137" s="464">
        <f t="shared" si="43"/>
        <v>0</v>
      </c>
      <c r="O137" s="464">
        <f t="shared" si="43"/>
        <v>0</v>
      </c>
      <c r="P137" s="464">
        <f t="shared" si="43"/>
        <v>0</v>
      </c>
      <c r="Q137" s="464">
        <f t="shared" si="43"/>
        <v>0</v>
      </c>
    </row>
    <row r="138" spans="1:17" ht="18" customHeight="1" thickBot="1" x14ac:dyDescent="0.3">
      <c r="A138" s="827" t="s">
        <v>173</v>
      </c>
      <c r="B138" s="828"/>
      <c r="C138" s="257">
        <f t="shared" ref="C138:J138" si="53">C134+C137</f>
        <v>836110</v>
      </c>
      <c r="D138" s="257">
        <f t="shared" si="53"/>
        <v>836110</v>
      </c>
      <c r="E138" s="257">
        <f t="shared" si="53"/>
        <v>857929</v>
      </c>
      <c r="F138" s="257">
        <f t="shared" si="53"/>
        <v>859329</v>
      </c>
      <c r="G138" s="257">
        <f t="shared" si="53"/>
        <v>859329</v>
      </c>
      <c r="H138" s="257">
        <f t="shared" si="53"/>
        <v>860067</v>
      </c>
      <c r="I138" s="257">
        <f t="shared" si="53"/>
        <v>860067</v>
      </c>
      <c r="J138" s="257">
        <f t="shared" si="53"/>
        <v>220620</v>
      </c>
      <c r="K138" s="655">
        <f t="shared" si="47"/>
        <v>0.25651489942062655</v>
      </c>
      <c r="L138" s="464">
        <f t="shared" si="45"/>
        <v>0</v>
      </c>
      <c r="M138" s="464">
        <f t="shared" si="43"/>
        <v>21819</v>
      </c>
      <c r="N138" s="464">
        <f t="shared" si="43"/>
        <v>1400</v>
      </c>
      <c r="O138" s="464">
        <f t="shared" si="43"/>
        <v>0</v>
      </c>
      <c r="P138" s="464">
        <f t="shared" si="43"/>
        <v>738</v>
      </c>
      <c r="Q138" s="464">
        <f t="shared" si="43"/>
        <v>0</v>
      </c>
    </row>
    <row r="139" spans="1:17" ht="24" customHeight="1" thickBot="1" x14ac:dyDescent="0.3">
      <c r="A139" s="258" t="s">
        <v>174</v>
      </c>
      <c r="B139" s="144"/>
      <c r="C139" s="261">
        <f t="shared" ref="C139:J139" si="54">C128+C138</f>
        <v>2340678</v>
      </c>
      <c r="D139" s="261">
        <f t="shared" si="54"/>
        <v>2340678</v>
      </c>
      <c r="E139" s="261">
        <f t="shared" si="54"/>
        <v>2366908</v>
      </c>
      <c r="F139" s="261">
        <f t="shared" si="54"/>
        <v>2376043</v>
      </c>
      <c r="G139" s="261">
        <f t="shared" si="54"/>
        <v>2382043</v>
      </c>
      <c r="H139" s="261">
        <f t="shared" si="54"/>
        <v>2385981</v>
      </c>
      <c r="I139" s="261">
        <f t="shared" si="54"/>
        <v>2396881</v>
      </c>
      <c r="J139" s="261">
        <f t="shared" si="54"/>
        <v>509483</v>
      </c>
      <c r="K139" s="655">
        <f t="shared" si="47"/>
        <v>0.2125608238373119</v>
      </c>
      <c r="L139" s="464">
        <f t="shared" si="45"/>
        <v>0</v>
      </c>
      <c r="M139" s="464">
        <f t="shared" si="43"/>
        <v>26230</v>
      </c>
      <c r="N139" s="464">
        <f t="shared" si="43"/>
        <v>9135</v>
      </c>
      <c r="O139" s="464">
        <f t="shared" si="43"/>
        <v>6000</v>
      </c>
      <c r="P139" s="464">
        <f t="shared" si="43"/>
        <v>3938</v>
      </c>
      <c r="Q139" s="464">
        <f t="shared" si="43"/>
        <v>10900</v>
      </c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55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655"/>
    </row>
    <row r="142" spans="1:17" ht="18.75" thickBot="1" x14ac:dyDescent="0.3">
      <c r="A142" s="829" t="s">
        <v>175</v>
      </c>
      <c r="B142" s="830"/>
      <c r="C142" s="830"/>
      <c r="D142" s="830"/>
      <c r="E142" s="830"/>
      <c r="F142" s="830"/>
      <c r="G142" s="830"/>
      <c r="H142" s="830"/>
      <c r="I142" s="830"/>
      <c r="J142" s="830"/>
      <c r="K142" s="655"/>
      <c r="L142" s="1"/>
    </row>
    <row r="143" spans="1:17" ht="36.75" customHeight="1" thickBot="1" x14ac:dyDescent="0.3">
      <c r="A143" s="819" t="s">
        <v>1</v>
      </c>
      <c r="B143" s="831"/>
      <c r="C143" s="416" t="s">
        <v>376</v>
      </c>
      <c r="D143" s="416" t="s">
        <v>509</v>
      </c>
      <c r="E143" s="416" t="s">
        <v>511</v>
      </c>
      <c r="F143" s="416" t="s">
        <v>512</v>
      </c>
      <c r="G143" s="416" t="s">
        <v>377</v>
      </c>
      <c r="H143" s="416" t="s">
        <v>541</v>
      </c>
      <c r="I143" s="416" t="s">
        <v>497</v>
      </c>
      <c r="J143" s="416" t="s">
        <v>378</v>
      </c>
      <c r="K143" s="655"/>
      <c r="L143" s="1"/>
    </row>
    <row r="144" spans="1:17" ht="16.5" thickBot="1" x14ac:dyDescent="0.3">
      <c r="A144" s="832" t="s">
        <v>176</v>
      </c>
      <c r="B144" s="833"/>
      <c r="C144" s="262">
        <f t="shared" ref="C144:J144" si="55">SUM(C145:C153)</f>
        <v>774720</v>
      </c>
      <c r="D144" s="262">
        <f t="shared" si="55"/>
        <v>774720</v>
      </c>
      <c r="E144" s="262">
        <f t="shared" si="55"/>
        <v>774720</v>
      </c>
      <c r="F144" s="262">
        <f t="shared" si="55"/>
        <v>774720</v>
      </c>
      <c r="G144" s="262">
        <f t="shared" si="55"/>
        <v>778710</v>
      </c>
      <c r="H144" s="262">
        <f t="shared" si="55"/>
        <v>778710</v>
      </c>
      <c r="I144" s="262">
        <f t="shared" si="55"/>
        <v>781210</v>
      </c>
      <c r="J144" s="262">
        <f t="shared" si="55"/>
        <v>49456</v>
      </c>
      <c r="K144" s="655">
        <f t="shared" si="47"/>
        <v>6.3306921314371295E-2</v>
      </c>
      <c r="L144" s="464">
        <f>D144-C144</f>
        <v>0</v>
      </c>
      <c r="M144" s="464">
        <f t="shared" ref="M144:Q144" si="56">E144-D144</f>
        <v>0</v>
      </c>
      <c r="N144" s="464">
        <f t="shared" si="56"/>
        <v>0</v>
      </c>
      <c r="O144" s="464">
        <f t="shared" si="56"/>
        <v>3990</v>
      </c>
      <c r="P144" s="464">
        <f t="shared" si="56"/>
        <v>0</v>
      </c>
      <c r="Q144" s="464">
        <f t="shared" si="56"/>
        <v>2500</v>
      </c>
    </row>
    <row r="145" spans="1:23" x14ac:dyDescent="0.25">
      <c r="A145" s="627">
        <v>231</v>
      </c>
      <c r="B145" s="628" t="s">
        <v>382</v>
      </c>
      <c r="C145" s="629">
        <v>0</v>
      </c>
      <c r="D145" s="629">
        <v>0</v>
      </c>
      <c r="E145" s="630">
        <f>2000</f>
        <v>2000</v>
      </c>
      <c r="F145" s="630">
        <f>2000-2000</f>
        <v>0</v>
      </c>
      <c r="G145" s="630">
        <f>2000-2000+3990</f>
        <v>3990</v>
      </c>
      <c r="H145" s="629">
        <f>2000-2000+3990</f>
        <v>3990</v>
      </c>
      <c r="I145" s="629">
        <f>2000-2000+3990</f>
        <v>3990</v>
      </c>
      <c r="J145" s="629">
        <v>3990</v>
      </c>
      <c r="K145" s="655">
        <f t="shared" si="47"/>
        <v>1</v>
      </c>
    </row>
    <row r="146" spans="1:23" ht="15.75" thickBot="1" x14ac:dyDescent="0.3">
      <c r="A146" s="3">
        <v>233</v>
      </c>
      <c r="B146" s="328" t="s">
        <v>177</v>
      </c>
      <c r="C146" s="626">
        <v>3000</v>
      </c>
      <c r="D146" s="626">
        <v>3000</v>
      </c>
      <c r="E146" s="729">
        <f>3000-2000</f>
        <v>1000</v>
      </c>
      <c r="F146" s="729">
        <f>3000-2000+2000</f>
        <v>3000</v>
      </c>
      <c r="G146" s="626">
        <f>3000-2000+2000</f>
        <v>3000</v>
      </c>
      <c r="H146" s="626">
        <f>3000-2000+2000</f>
        <v>3000</v>
      </c>
      <c r="I146" s="626">
        <f>3000-2000+2000</f>
        <v>3000</v>
      </c>
      <c r="J146" s="626"/>
      <c r="K146" s="655">
        <f t="shared" si="47"/>
        <v>0</v>
      </c>
      <c r="L146" s="1"/>
    </row>
    <row r="147" spans="1:23" ht="15.75" thickBot="1" x14ac:dyDescent="0.3">
      <c r="A147" s="442">
        <v>321</v>
      </c>
      <c r="B147" s="443" t="s">
        <v>262</v>
      </c>
      <c r="C147" s="458">
        <v>5000</v>
      </c>
      <c r="D147" s="458">
        <v>5000</v>
      </c>
      <c r="E147" s="458">
        <v>5000</v>
      </c>
      <c r="F147" s="458">
        <v>5000</v>
      </c>
      <c r="G147" s="458">
        <v>5000</v>
      </c>
      <c r="H147" s="458">
        <v>5000</v>
      </c>
      <c r="I147" s="458">
        <v>5000</v>
      </c>
      <c r="J147" s="458">
        <v>120</v>
      </c>
      <c r="K147" s="655">
        <f t="shared" si="47"/>
        <v>2.4E-2</v>
      </c>
      <c r="L147" s="642">
        <f>SUM(G145:G147)</f>
        <v>11990</v>
      </c>
      <c r="M147" s="656">
        <f>L147+G177</f>
        <v>11990</v>
      </c>
    </row>
    <row r="148" spans="1:23" x14ac:dyDescent="0.25">
      <c r="A148" s="265">
        <v>322</v>
      </c>
      <c r="B148" s="292" t="s">
        <v>415</v>
      </c>
      <c r="C148" s="412">
        <v>0</v>
      </c>
      <c r="D148" s="412">
        <v>0</v>
      </c>
      <c r="E148" s="412">
        <v>0</v>
      </c>
      <c r="F148" s="412">
        <v>0</v>
      </c>
      <c r="G148" s="412">
        <v>0</v>
      </c>
      <c r="H148" s="412">
        <v>0</v>
      </c>
      <c r="I148" s="412">
        <v>0</v>
      </c>
      <c r="J148" s="412"/>
      <c r="K148" s="655">
        <v>0</v>
      </c>
      <c r="L148" s="1"/>
    </row>
    <row r="149" spans="1:23" x14ac:dyDescent="0.25">
      <c r="A149" s="268">
        <v>322</v>
      </c>
      <c r="B149" s="72" t="s">
        <v>181</v>
      </c>
      <c r="C149" s="270">
        <v>300000</v>
      </c>
      <c r="D149" s="270">
        <v>300000</v>
      </c>
      <c r="E149" s="270">
        <v>300000</v>
      </c>
      <c r="F149" s="270">
        <v>300000</v>
      </c>
      <c r="G149" s="270">
        <v>300000</v>
      </c>
      <c r="H149" s="270">
        <v>300000</v>
      </c>
      <c r="I149" s="270">
        <v>300000</v>
      </c>
      <c r="J149" s="270"/>
      <c r="K149" s="655">
        <f t="shared" si="47"/>
        <v>0</v>
      </c>
      <c r="L149" s="1"/>
    </row>
    <row r="150" spans="1:23" x14ac:dyDescent="0.25">
      <c r="A150" s="265">
        <v>322</v>
      </c>
      <c r="B150" s="72" t="s">
        <v>263</v>
      </c>
      <c r="C150" s="270">
        <v>15000</v>
      </c>
      <c r="D150" s="270">
        <v>15000</v>
      </c>
      <c r="E150" s="270">
        <v>15000</v>
      </c>
      <c r="F150" s="270">
        <v>15000</v>
      </c>
      <c r="G150" s="270">
        <v>15000</v>
      </c>
      <c r="H150" s="270">
        <v>15000</v>
      </c>
      <c r="I150" s="270">
        <v>15000</v>
      </c>
      <c r="J150" s="267"/>
      <c r="K150" s="655">
        <f t="shared" si="47"/>
        <v>0</v>
      </c>
      <c r="L150" s="1"/>
    </row>
    <row r="151" spans="1:23" x14ac:dyDescent="0.25">
      <c r="A151" s="271">
        <v>322</v>
      </c>
      <c r="B151" s="274" t="s">
        <v>248</v>
      </c>
      <c r="C151" s="273">
        <v>19000</v>
      </c>
      <c r="D151" s="273">
        <v>19000</v>
      </c>
      <c r="E151" s="273">
        <v>19000</v>
      </c>
      <c r="F151" s="273">
        <v>19000</v>
      </c>
      <c r="G151" s="273">
        <v>19000</v>
      </c>
      <c r="H151" s="273">
        <v>19000</v>
      </c>
      <c r="I151" s="273">
        <v>19000</v>
      </c>
      <c r="J151" s="267"/>
      <c r="K151" s="655">
        <f t="shared" si="47"/>
        <v>0</v>
      </c>
      <c r="L151" s="1"/>
    </row>
    <row r="152" spans="1:23" x14ac:dyDescent="0.25">
      <c r="A152" s="271">
        <v>322</v>
      </c>
      <c r="B152" s="76" t="s">
        <v>242</v>
      </c>
      <c r="C152" s="273">
        <v>355220</v>
      </c>
      <c r="D152" s="273">
        <v>355220</v>
      </c>
      <c r="E152" s="273">
        <v>355220</v>
      </c>
      <c r="F152" s="273">
        <v>355220</v>
      </c>
      <c r="G152" s="273">
        <v>355220</v>
      </c>
      <c r="H152" s="273">
        <v>355220</v>
      </c>
      <c r="I152" s="273">
        <v>355220</v>
      </c>
      <c r="J152" s="267"/>
      <c r="K152" s="655">
        <f t="shared" si="47"/>
        <v>0</v>
      </c>
      <c r="L152" s="1"/>
    </row>
    <row r="153" spans="1:23" ht="15.75" thickBot="1" x14ac:dyDescent="0.3">
      <c r="A153" s="268">
        <v>322</v>
      </c>
      <c r="B153" s="72" t="s">
        <v>243</v>
      </c>
      <c r="C153" s="270">
        <f t="shared" ref="C153:H153" si="57">166800-89300</f>
        <v>77500</v>
      </c>
      <c r="D153" s="270">
        <f t="shared" si="57"/>
        <v>77500</v>
      </c>
      <c r="E153" s="270">
        <f t="shared" si="57"/>
        <v>77500</v>
      </c>
      <c r="F153" s="270">
        <f t="shared" si="57"/>
        <v>77500</v>
      </c>
      <c r="G153" s="270">
        <f t="shared" si="57"/>
        <v>77500</v>
      </c>
      <c r="H153" s="270">
        <f t="shared" si="57"/>
        <v>77500</v>
      </c>
      <c r="I153" s="721">
        <f>166800-89300+2500</f>
        <v>80000</v>
      </c>
      <c r="J153" s="267">
        <f>45346</f>
        <v>45346</v>
      </c>
      <c r="K153" s="655">
        <f t="shared" si="47"/>
        <v>0.56682500000000002</v>
      </c>
      <c r="L153" s="642">
        <f>SUM(G148:G153)</f>
        <v>766720</v>
      </c>
    </row>
    <row r="154" spans="1:23" ht="16.5" thickBot="1" x14ac:dyDescent="0.3">
      <c r="A154" s="832" t="s">
        <v>182</v>
      </c>
      <c r="B154" s="833"/>
      <c r="C154" s="262">
        <f t="shared" ref="C154:J154" si="58">SUM(C155:C170)</f>
        <v>1267700</v>
      </c>
      <c r="D154" s="262">
        <f t="shared" si="58"/>
        <v>1267700</v>
      </c>
      <c r="E154" s="262">
        <f t="shared" si="58"/>
        <v>1267700</v>
      </c>
      <c r="F154" s="262">
        <f t="shared" si="58"/>
        <v>1267700</v>
      </c>
      <c r="G154" s="262">
        <f t="shared" si="58"/>
        <v>1267700</v>
      </c>
      <c r="H154" s="262">
        <f t="shared" si="58"/>
        <v>1267700</v>
      </c>
      <c r="I154" s="262">
        <f t="shared" si="58"/>
        <v>1270200</v>
      </c>
      <c r="J154" s="262">
        <f t="shared" si="58"/>
        <v>76104</v>
      </c>
      <c r="K154" s="655">
        <f t="shared" si="47"/>
        <v>5.9914974019839397E-2</v>
      </c>
      <c r="L154" s="642">
        <f>C154-C144</f>
        <v>492980</v>
      </c>
      <c r="M154" s="27"/>
      <c r="N154" s="27"/>
      <c r="U154" s="464"/>
      <c r="V154" s="464"/>
      <c r="W154" s="464"/>
    </row>
    <row r="155" spans="1:23" x14ac:dyDescent="0.25">
      <c r="A155" s="286" t="s">
        <v>96</v>
      </c>
      <c r="B155" s="275" t="s">
        <v>186</v>
      </c>
      <c r="C155" s="287">
        <v>1500</v>
      </c>
      <c r="D155" s="287">
        <v>1500</v>
      </c>
      <c r="E155" s="287">
        <v>1500</v>
      </c>
      <c r="F155" s="287">
        <v>1500</v>
      </c>
      <c r="G155" s="287">
        <v>1500</v>
      </c>
      <c r="H155" s="287">
        <v>1500</v>
      </c>
      <c r="I155" s="287">
        <v>1500</v>
      </c>
      <c r="J155" s="287"/>
      <c r="K155" s="655">
        <f t="shared" si="47"/>
        <v>0</v>
      </c>
      <c r="L155" s="27">
        <f>D154-C154</f>
        <v>0</v>
      </c>
      <c r="M155" s="27">
        <f t="shared" ref="M155:Q155" si="59">E154-D154</f>
        <v>0</v>
      </c>
      <c r="N155" s="27">
        <f t="shared" si="59"/>
        <v>0</v>
      </c>
      <c r="O155" s="27">
        <f t="shared" si="59"/>
        <v>0</v>
      </c>
      <c r="P155" s="27">
        <f t="shared" si="59"/>
        <v>0</v>
      </c>
      <c r="Q155" s="27">
        <f t="shared" si="59"/>
        <v>2500</v>
      </c>
    </row>
    <row r="156" spans="1:23" ht="15.75" thickBot="1" x14ac:dyDescent="0.3">
      <c r="A156" s="282" t="s">
        <v>98</v>
      </c>
      <c r="B156" s="408" t="s">
        <v>245</v>
      </c>
      <c r="C156" s="284">
        <v>20600</v>
      </c>
      <c r="D156" s="284">
        <v>20600</v>
      </c>
      <c r="E156" s="284">
        <v>20600</v>
      </c>
      <c r="F156" s="284">
        <v>20600</v>
      </c>
      <c r="G156" s="284">
        <v>20600</v>
      </c>
      <c r="H156" s="284">
        <v>20600</v>
      </c>
      <c r="I156" s="284">
        <v>20600</v>
      </c>
      <c r="J156" s="284"/>
      <c r="K156" s="655">
        <f t="shared" si="47"/>
        <v>0</v>
      </c>
      <c r="L156" s="27"/>
    </row>
    <row r="157" spans="1:23" ht="15.75" thickBot="1" x14ac:dyDescent="0.3">
      <c r="A157" s="657" t="s">
        <v>103</v>
      </c>
      <c r="B157" s="658" t="s">
        <v>241</v>
      </c>
      <c r="C157" s="411">
        <v>325000</v>
      </c>
      <c r="D157" s="411">
        <v>325000</v>
      </c>
      <c r="E157" s="411">
        <v>325000</v>
      </c>
      <c r="F157" s="411">
        <v>325000</v>
      </c>
      <c r="G157" s="411">
        <v>325000</v>
      </c>
      <c r="H157" s="411">
        <v>325000</v>
      </c>
      <c r="I157" s="411">
        <v>325000</v>
      </c>
      <c r="J157" s="411"/>
      <c r="K157" s="655">
        <f t="shared" si="47"/>
        <v>0</v>
      </c>
      <c r="L157" s="1"/>
    </row>
    <row r="158" spans="1:23" x14ac:dyDescent="0.25">
      <c r="A158" s="288" t="s">
        <v>190</v>
      </c>
      <c r="B158" s="289" t="s">
        <v>191</v>
      </c>
      <c r="C158" s="290">
        <v>43000</v>
      </c>
      <c r="D158" s="290">
        <v>43000</v>
      </c>
      <c r="E158" s="290">
        <v>43000</v>
      </c>
      <c r="F158" s="290">
        <v>43000</v>
      </c>
      <c r="G158" s="716">
        <f>43000-18000</f>
        <v>25000</v>
      </c>
      <c r="H158" s="290">
        <f>43000-18000</f>
        <v>25000</v>
      </c>
      <c r="I158" s="290">
        <f>43000-18000</f>
        <v>25000</v>
      </c>
      <c r="J158" s="290"/>
      <c r="K158" s="655">
        <f t="shared" si="47"/>
        <v>0</v>
      </c>
      <c r="L158" s="1"/>
    </row>
    <row r="159" spans="1:23" x14ac:dyDescent="0.25">
      <c r="A159" s="297" t="s">
        <v>190</v>
      </c>
      <c r="B159" s="294" t="s">
        <v>247</v>
      </c>
      <c r="C159" s="281">
        <v>29000</v>
      </c>
      <c r="D159" s="281">
        <v>29000</v>
      </c>
      <c r="E159" s="281">
        <v>29000</v>
      </c>
      <c r="F159" s="281">
        <v>29000</v>
      </c>
      <c r="G159" s="281">
        <v>29000</v>
      </c>
      <c r="H159" s="281">
        <v>29000</v>
      </c>
      <c r="I159" s="281">
        <v>29000</v>
      </c>
      <c r="J159" s="281">
        <v>492</v>
      </c>
      <c r="K159" s="655">
        <f t="shared" si="47"/>
        <v>1.6965517241379312E-2</v>
      </c>
      <c r="L159" s="27"/>
    </row>
    <row r="160" spans="1:23" x14ac:dyDescent="0.25">
      <c r="A160" s="297" t="s">
        <v>110</v>
      </c>
      <c r="B160" s="431" t="s">
        <v>230</v>
      </c>
      <c r="C160" s="281">
        <v>15800</v>
      </c>
      <c r="D160" s="281">
        <v>15800</v>
      </c>
      <c r="E160" s="281">
        <v>15800</v>
      </c>
      <c r="F160" s="281">
        <v>15800</v>
      </c>
      <c r="G160" s="281">
        <v>15800</v>
      </c>
      <c r="H160" s="281">
        <v>15800</v>
      </c>
      <c r="I160" s="281">
        <v>15800</v>
      </c>
      <c r="J160" s="281"/>
      <c r="K160" s="655">
        <f t="shared" si="47"/>
        <v>0</v>
      </c>
      <c r="L160" s="27"/>
    </row>
    <row r="161" spans="1:17" x14ac:dyDescent="0.25">
      <c r="A161" s="297" t="s">
        <v>110</v>
      </c>
      <c r="B161" s="650" t="s">
        <v>395</v>
      </c>
      <c r="C161" s="281">
        <v>0</v>
      </c>
      <c r="D161" s="281">
        <v>0</v>
      </c>
      <c r="E161" s="281">
        <v>0</v>
      </c>
      <c r="F161" s="281">
        <v>0</v>
      </c>
      <c r="G161" s="281">
        <v>0</v>
      </c>
      <c r="H161" s="281">
        <v>0</v>
      </c>
      <c r="I161" s="281">
        <v>0</v>
      </c>
      <c r="J161" s="281"/>
      <c r="K161" s="655">
        <v>0</v>
      </c>
      <c r="L161" s="27"/>
    </row>
    <row r="162" spans="1:17" ht="15.75" thickBot="1" x14ac:dyDescent="0.3">
      <c r="A162" s="299" t="s">
        <v>110</v>
      </c>
      <c r="B162" s="445" t="s">
        <v>239</v>
      </c>
      <c r="C162" s="284">
        <v>30000</v>
      </c>
      <c r="D162" s="284">
        <v>30000</v>
      </c>
      <c r="E162" s="284">
        <v>30000</v>
      </c>
      <c r="F162" s="284">
        <v>30000</v>
      </c>
      <c r="G162" s="284">
        <v>30000</v>
      </c>
      <c r="H162" s="284">
        <v>30000</v>
      </c>
      <c r="I162" s="284">
        <v>30000</v>
      </c>
      <c r="J162" s="284"/>
      <c r="K162" s="655">
        <f t="shared" si="47"/>
        <v>0</v>
      </c>
      <c r="L162" s="27"/>
    </row>
    <row r="163" spans="1:17" x14ac:dyDescent="0.25">
      <c r="A163" s="300" t="s">
        <v>125</v>
      </c>
      <c r="B163" s="298" t="s">
        <v>192</v>
      </c>
      <c r="C163" s="287">
        <v>0</v>
      </c>
      <c r="D163" s="287">
        <v>0</v>
      </c>
      <c r="E163" s="287">
        <v>0</v>
      </c>
      <c r="F163" s="287">
        <v>0</v>
      </c>
      <c r="G163" s="287">
        <v>0</v>
      </c>
      <c r="H163" s="287">
        <v>0</v>
      </c>
      <c r="I163" s="287">
        <v>0</v>
      </c>
      <c r="J163" s="287"/>
      <c r="K163" s="655">
        <v>0</v>
      </c>
      <c r="L163" s="27"/>
    </row>
    <row r="164" spans="1:17" x14ac:dyDescent="0.25">
      <c r="A164" s="303" t="s">
        <v>125</v>
      </c>
      <c r="B164" s="304" t="s">
        <v>195</v>
      </c>
      <c r="C164" s="293">
        <v>21000</v>
      </c>
      <c r="D164" s="293">
        <v>21000</v>
      </c>
      <c r="E164" s="293">
        <v>21000</v>
      </c>
      <c r="F164" s="293">
        <v>21000</v>
      </c>
      <c r="G164" s="293">
        <v>21000</v>
      </c>
      <c r="H164" s="293">
        <v>21000</v>
      </c>
      <c r="I164" s="293">
        <v>21000</v>
      </c>
      <c r="J164" s="290"/>
      <c r="K164" s="655">
        <f t="shared" si="47"/>
        <v>0</v>
      </c>
      <c r="L164" s="27"/>
    </row>
    <row r="165" spans="1:17" x14ac:dyDescent="0.25">
      <c r="A165" s="303" t="s">
        <v>125</v>
      </c>
      <c r="B165" s="304" t="s">
        <v>240</v>
      </c>
      <c r="C165" s="293">
        <v>8000</v>
      </c>
      <c r="D165" s="293">
        <v>8000</v>
      </c>
      <c r="E165" s="293">
        <v>8000</v>
      </c>
      <c r="F165" s="293">
        <v>8000</v>
      </c>
      <c r="G165" s="293">
        <v>8000</v>
      </c>
      <c r="H165" s="293">
        <v>8000</v>
      </c>
      <c r="I165" s="293">
        <v>8000</v>
      </c>
      <c r="J165" s="293"/>
      <c r="K165" s="655">
        <f t="shared" si="47"/>
        <v>0</v>
      </c>
      <c r="L165" s="1"/>
    </row>
    <row r="166" spans="1:17" x14ac:dyDescent="0.25">
      <c r="A166" s="303" t="s">
        <v>127</v>
      </c>
      <c r="B166" s="304" t="s">
        <v>238</v>
      </c>
      <c r="C166" s="281">
        <v>100000</v>
      </c>
      <c r="D166" s="281">
        <v>100000</v>
      </c>
      <c r="E166" s="281">
        <v>100000</v>
      </c>
      <c r="F166" s="281">
        <v>100000</v>
      </c>
      <c r="G166" s="281">
        <v>100000</v>
      </c>
      <c r="H166" s="281">
        <v>100000</v>
      </c>
      <c r="I166" s="281">
        <v>100000</v>
      </c>
      <c r="J166" s="281"/>
      <c r="K166" s="655">
        <f t="shared" si="47"/>
        <v>0</v>
      </c>
      <c r="L166" s="1"/>
    </row>
    <row r="167" spans="1:17" x14ac:dyDescent="0.25">
      <c r="A167" s="303" t="s">
        <v>127</v>
      </c>
      <c r="B167" s="294" t="s">
        <v>267</v>
      </c>
      <c r="C167" s="281">
        <v>200000</v>
      </c>
      <c r="D167" s="281">
        <v>200000</v>
      </c>
      <c r="E167" s="281">
        <v>200000</v>
      </c>
      <c r="F167" s="281">
        <v>200000</v>
      </c>
      <c r="G167" s="281">
        <v>200000</v>
      </c>
      <c r="H167" s="281">
        <v>200000</v>
      </c>
      <c r="I167" s="281">
        <v>200000</v>
      </c>
      <c r="J167" s="281"/>
      <c r="K167" s="655">
        <f t="shared" si="47"/>
        <v>0</v>
      </c>
      <c r="L167" s="1"/>
    </row>
    <row r="168" spans="1:17" ht="15.75" thickBot="1" x14ac:dyDescent="0.3">
      <c r="A168" s="299" t="s">
        <v>131</v>
      </c>
      <c r="B168" s="659" t="s">
        <v>394</v>
      </c>
      <c r="C168" s="284">
        <v>0</v>
      </c>
      <c r="D168" s="284">
        <v>0</v>
      </c>
      <c r="E168" s="284">
        <v>0</v>
      </c>
      <c r="F168" s="284">
        <v>0</v>
      </c>
      <c r="G168" s="284">
        <v>0</v>
      </c>
      <c r="H168" s="284">
        <v>0</v>
      </c>
      <c r="I168" s="284">
        <v>0</v>
      </c>
      <c r="J168" s="284"/>
      <c r="K168" s="655">
        <v>0</v>
      </c>
      <c r="L168" s="1"/>
    </row>
    <row r="169" spans="1:17" x14ac:dyDescent="0.25">
      <c r="A169" s="308" t="s">
        <v>136</v>
      </c>
      <c r="B169" s="275" t="s">
        <v>269</v>
      </c>
      <c r="C169" s="287">
        <v>381000</v>
      </c>
      <c r="D169" s="287">
        <v>381000</v>
      </c>
      <c r="E169" s="287">
        <v>381000</v>
      </c>
      <c r="F169" s="287">
        <v>381000</v>
      </c>
      <c r="G169" s="287">
        <v>381000</v>
      </c>
      <c r="H169" s="287">
        <v>381000</v>
      </c>
      <c r="I169" s="287">
        <v>381000</v>
      </c>
      <c r="J169" s="287"/>
      <c r="K169" s="655">
        <f t="shared" si="47"/>
        <v>0</v>
      </c>
      <c r="L169" s="1"/>
    </row>
    <row r="170" spans="1:17" ht="15.75" thickBot="1" x14ac:dyDescent="0.3">
      <c r="A170" s="310" t="s">
        <v>152</v>
      </c>
      <c r="B170" s="446" t="s">
        <v>386</v>
      </c>
      <c r="C170" s="284">
        <f>186800-94000</f>
        <v>92800</v>
      </c>
      <c r="D170" s="284">
        <f>186800-94000</f>
        <v>92800</v>
      </c>
      <c r="E170" s="284">
        <f>186800-94000</f>
        <v>92800</v>
      </c>
      <c r="F170" s="284">
        <f>186800-94000</f>
        <v>92800</v>
      </c>
      <c r="G170" s="632">
        <f>186800-94000+18000</f>
        <v>110800</v>
      </c>
      <c r="H170" s="284">
        <f>186800-94000+18000</f>
        <v>110800</v>
      </c>
      <c r="I170" s="632">
        <f>186800-94000+18000+2500</f>
        <v>113300</v>
      </c>
      <c r="J170" s="284">
        <v>75612</v>
      </c>
      <c r="K170" s="655">
        <f t="shared" si="47"/>
        <v>0.66736098852603709</v>
      </c>
      <c r="L170" s="1"/>
    </row>
    <row r="171" spans="1:17" x14ac:dyDescent="0.25">
      <c r="A171" s="311"/>
      <c r="B171" s="312"/>
      <c r="C171" s="313"/>
      <c r="D171" s="313"/>
      <c r="E171" s="313"/>
      <c r="F171" s="313"/>
      <c r="G171" s="313"/>
      <c r="H171" s="313"/>
      <c r="I171" s="313"/>
      <c r="J171" s="313"/>
      <c r="K171" s="655"/>
      <c r="L171" s="313"/>
    </row>
    <row r="172" spans="1:17" x14ac:dyDescent="0.25">
      <c r="A172" s="314"/>
      <c r="B172" s="315"/>
      <c r="C172" s="316"/>
      <c r="D172" s="316"/>
      <c r="E172" s="316"/>
      <c r="F172" s="316"/>
      <c r="G172" s="316"/>
      <c r="H172" s="316"/>
      <c r="I172" s="316"/>
      <c r="J172" s="316"/>
      <c r="K172" s="655"/>
      <c r="L172" s="316"/>
    </row>
    <row r="173" spans="1:17" ht="18.75" thickBot="1" x14ac:dyDescent="0.3">
      <c r="A173" s="834" t="s">
        <v>197</v>
      </c>
      <c r="B173" s="835"/>
      <c r="C173" s="835"/>
      <c r="D173" s="835"/>
      <c r="E173" s="835"/>
      <c r="F173" s="835"/>
      <c r="G173" s="835"/>
      <c r="H173" s="835"/>
      <c r="I173" s="835"/>
      <c r="J173" s="835"/>
      <c r="K173" s="655"/>
      <c r="L173" s="1"/>
    </row>
    <row r="174" spans="1:17" ht="46.5" customHeight="1" thickBot="1" x14ac:dyDescent="0.3">
      <c r="A174" s="819" t="s">
        <v>1</v>
      </c>
      <c r="B174" s="831"/>
      <c r="C174" s="416" t="s">
        <v>376</v>
      </c>
      <c r="D174" s="416" t="s">
        <v>509</v>
      </c>
      <c r="E174" s="416" t="s">
        <v>511</v>
      </c>
      <c r="F174" s="416" t="s">
        <v>512</v>
      </c>
      <c r="G174" s="416" t="s">
        <v>377</v>
      </c>
      <c r="H174" s="416" t="s">
        <v>541</v>
      </c>
      <c r="I174" s="416" t="s">
        <v>497</v>
      </c>
      <c r="J174" s="416" t="s">
        <v>378</v>
      </c>
      <c r="K174" s="655">
        <v>0</v>
      </c>
      <c r="L174" s="1"/>
    </row>
    <row r="175" spans="1:17" ht="16.5" thickBot="1" x14ac:dyDescent="0.3">
      <c r="A175" s="447" t="s">
        <v>198</v>
      </c>
      <c r="B175" s="448"/>
      <c r="C175" s="449">
        <f t="shared" ref="C175:J175" si="60">SUM(C176:C184)</f>
        <v>586880</v>
      </c>
      <c r="D175" s="449">
        <f t="shared" si="60"/>
        <v>586880</v>
      </c>
      <c r="E175" s="449">
        <f t="shared" si="60"/>
        <v>586880</v>
      </c>
      <c r="F175" s="449">
        <f t="shared" si="60"/>
        <v>589615</v>
      </c>
      <c r="G175" s="449">
        <f t="shared" si="60"/>
        <v>589635</v>
      </c>
      <c r="H175" s="449">
        <f t="shared" si="60"/>
        <v>589635</v>
      </c>
      <c r="I175" s="449">
        <f t="shared" si="60"/>
        <v>589635</v>
      </c>
      <c r="J175" s="449">
        <f t="shared" si="60"/>
        <v>68157</v>
      </c>
      <c r="K175" s="655">
        <f t="shared" si="47"/>
        <v>0.11559184919484088</v>
      </c>
      <c r="L175" s="27">
        <f t="shared" ref="L175:Q175" si="61">D175-C175</f>
        <v>0</v>
      </c>
      <c r="M175" s="27">
        <f t="shared" si="61"/>
        <v>0</v>
      </c>
      <c r="N175" s="27">
        <f t="shared" si="61"/>
        <v>2735</v>
      </c>
      <c r="O175" s="27">
        <f t="shared" si="61"/>
        <v>20</v>
      </c>
      <c r="P175" s="27">
        <f t="shared" si="61"/>
        <v>0</v>
      </c>
      <c r="Q175" s="27">
        <f t="shared" si="61"/>
        <v>0</v>
      </c>
    </row>
    <row r="176" spans="1:17" x14ac:dyDescent="0.25">
      <c r="A176" s="317">
        <v>453</v>
      </c>
      <c r="B176" s="318" t="s">
        <v>401</v>
      </c>
      <c r="C176" s="319">
        <v>1500</v>
      </c>
      <c r="D176" s="319">
        <v>1500</v>
      </c>
      <c r="E176" s="319">
        <v>1500</v>
      </c>
      <c r="F176" s="319">
        <v>1500</v>
      </c>
      <c r="G176" s="319">
        <v>1500</v>
      </c>
      <c r="H176" s="319">
        <v>1500</v>
      </c>
      <c r="I176" s="319">
        <v>1500</v>
      </c>
      <c r="J176" s="319">
        <v>0</v>
      </c>
      <c r="K176" s="655">
        <f t="shared" si="47"/>
        <v>0</v>
      </c>
      <c r="L176" s="1"/>
    </row>
    <row r="177" spans="1:23" x14ac:dyDescent="0.25">
      <c r="A177" s="317">
        <v>453</v>
      </c>
      <c r="B177" s="318" t="s">
        <v>402</v>
      </c>
      <c r="C177" s="319">
        <v>0</v>
      </c>
      <c r="D177" s="319">
        <v>0</v>
      </c>
      <c r="E177" s="319">
        <v>0</v>
      </c>
      <c r="F177" s="319">
        <v>0</v>
      </c>
      <c r="G177" s="319">
        <v>0</v>
      </c>
      <c r="H177" s="319">
        <v>0</v>
      </c>
      <c r="I177" s="319">
        <v>0</v>
      </c>
      <c r="J177" s="319">
        <v>0</v>
      </c>
      <c r="K177" s="655">
        <v>0</v>
      </c>
      <c r="L177" s="663"/>
    </row>
    <row r="178" spans="1:23" x14ac:dyDescent="0.25">
      <c r="A178" s="435">
        <v>453</v>
      </c>
      <c r="B178" s="436" t="s">
        <v>318</v>
      </c>
      <c r="C178" s="64">
        <f>3000+19000</f>
        <v>22000</v>
      </c>
      <c r="D178" s="64">
        <f>3000+19000</f>
        <v>22000</v>
      </c>
      <c r="E178" s="64">
        <f>3000+19000</f>
        <v>22000</v>
      </c>
      <c r="F178" s="619">
        <f>3000+19000+2155+580</f>
        <v>24735</v>
      </c>
      <c r="G178" s="64">
        <f>3000+19000+2155+580</f>
        <v>24735</v>
      </c>
      <c r="H178" s="64">
        <f>3000+19000+2155+580</f>
        <v>24735</v>
      </c>
      <c r="I178" s="64">
        <f>3000+19000+2155+580</f>
        <v>24735</v>
      </c>
      <c r="J178" s="64">
        <f>3000+19571</f>
        <v>22571</v>
      </c>
      <c r="K178" s="655">
        <f t="shared" si="47"/>
        <v>0.91251263391954718</v>
      </c>
      <c r="L178" s="27">
        <f>E178-C178</f>
        <v>0</v>
      </c>
    </row>
    <row r="179" spans="1:23" x14ac:dyDescent="0.25">
      <c r="A179" s="317">
        <v>453</v>
      </c>
      <c r="B179" s="436" t="s">
        <v>324</v>
      </c>
      <c r="C179" s="319">
        <v>64300</v>
      </c>
      <c r="D179" s="319">
        <v>64300</v>
      </c>
      <c r="E179" s="319">
        <v>64300</v>
      </c>
      <c r="F179" s="319">
        <v>64300</v>
      </c>
      <c r="G179" s="319">
        <v>64300</v>
      </c>
      <c r="H179" s="319">
        <v>64300</v>
      </c>
      <c r="I179" s="319">
        <v>64300</v>
      </c>
      <c r="J179" s="319">
        <v>14810</v>
      </c>
      <c r="K179" s="655">
        <f t="shared" si="47"/>
        <v>0.23032659409020217</v>
      </c>
      <c r="L179" s="27"/>
    </row>
    <row r="180" spans="1:23" ht="15.75" thickBot="1" x14ac:dyDescent="0.3">
      <c r="A180" s="320">
        <v>453</v>
      </c>
      <c r="B180" s="321" t="s">
        <v>317</v>
      </c>
      <c r="C180" s="322">
        <v>6000</v>
      </c>
      <c r="D180" s="322">
        <v>6000</v>
      </c>
      <c r="E180" s="322">
        <v>6000</v>
      </c>
      <c r="F180" s="322">
        <v>6000</v>
      </c>
      <c r="G180" s="322">
        <v>6000</v>
      </c>
      <c r="H180" s="322">
        <v>6000</v>
      </c>
      <c r="I180" s="322">
        <v>6000</v>
      </c>
      <c r="J180" s="322">
        <v>0</v>
      </c>
      <c r="K180" s="655">
        <f t="shared" si="47"/>
        <v>0</v>
      </c>
      <c r="L180" s="27">
        <f>SUM(C176:C180)</f>
        <v>93800</v>
      </c>
      <c r="N180" s="27"/>
      <c r="U180" s="464"/>
      <c r="V180" s="464"/>
      <c r="W180" s="464"/>
    </row>
    <row r="181" spans="1:23" x14ac:dyDescent="0.25">
      <c r="A181" s="402">
        <v>454</v>
      </c>
      <c r="B181" s="401" t="s">
        <v>200</v>
      </c>
      <c r="C181" s="403">
        <v>492980</v>
      </c>
      <c r="D181" s="403">
        <v>492980</v>
      </c>
      <c r="E181" s="403">
        <v>492980</v>
      </c>
      <c r="F181" s="403">
        <v>492980</v>
      </c>
      <c r="G181" s="403">
        <v>492980</v>
      </c>
      <c r="H181" s="403">
        <v>492980</v>
      </c>
      <c r="I181" s="403">
        <v>492980</v>
      </c>
      <c r="J181" s="403">
        <v>30772</v>
      </c>
      <c r="K181" s="655">
        <f t="shared" si="47"/>
        <v>6.2420382165605096E-2</v>
      </c>
      <c r="L181" s="1"/>
    </row>
    <row r="182" spans="1:23" x14ac:dyDescent="0.25">
      <c r="A182" s="435">
        <v>456</v>
      </c>
      <c r="B182" s="436" t="s">
        <v>201</v>
      </c>
      <c r="C182" s="64">
        <v>100</v>
      </c>
      <c r="D182" s="64">
        <v>100</v>
      </c>
      <c r="E182" s="64">
        <v>100</v>
      </c>
      <c r="F182" s="64">
        <v>100</v>
      </c>
      <c r="G182" s="64">
        <v>100</v>
      </c>
      <c r="H182" s="64">
        <v>100</v>
      </c>
      <c r="I182" s="64">
        <v>100</v>
      </c>
      <c r="J182" s="64">
        <v>4</v>
      </c>
      <c r="K182" s="655">
        <f t="shared" si="47"/>
        <v>0.04</v>
      </c>
      <c r="L182" s="27"/>
      <c r="M182" s="464"/>
      <c r="N182" s="464"/>
      <c r="O182" s="464"/>
    </row>
    <row r="183" spans="1:23" ht="15.75" thickBot="1" x14ac:dyDescent="0.3">
      <c r="A183" s="402">
        <v>456</v>
      </c>
      <c r="B183" s="401" t="s">
        <v>380</v>
      </c>
      <c r="C183" s="322">
        <v>0</v>
      </c>
      <c r="D183" s="322">
        <v>0</v>
      </c>
      <c r="E183" s="322">
        <v>0</v>
      </c>
      <c r="F183" s="322">
        <v>0</v>
      </c>
      <c r="G183" s="624">
        <v>20</v>
      </c>
      <c r="H183" s="322">
        <v>20</v>
      </c>
      <c r="I183" s="322">
        <v>20</v>
      </c>
      <c r="J183" s="322">
        <v>0</v>
      </c>
      <c r="K183" s="655">
        <f t="shared" si="47"/>
        <v>0</v>
      </c>
      <c r="L183" s="27"/>
      <c r="M183" s="27"/>
      <c r="N183" s="27"/>
    </row>
    <row r="184" spans="1:23" ht="15.75" thickBot="1" x14ac:dyDescent="0.3">
      <c r="A184" s="404">
        <v>513</v>
      </c>
      <c r="B184" s="405" t="s">
        <v>202</v>
      </c>
      <c r="C184" s="618">
        <v>0</v>
      </c>
      <c r="D184" s="618">
        <v>0</v>
      </c>
      <c r="E184" s="618">
        <v>0</v>
      </c>
      <c r="F184" s="618">
        <v>0</v>
      </c>
      <c r="G184" s="618">
        <v>0</v>
      </c>
      <c r="H184" s="618">
        <v>0</v>
      </c>
      <c r="I184" s="618">
        <v>0</v>
      </c>
      <c r="J184" s="618">
        <v>0</v>
      </c>
      <c r="K184" s="655">
        <v>0</v>
      </c>
      <c r="L184" s="27"/>
    </row>
    <row r="185" spans="1:23" ht="16.5" thickBot="1" x14ac:dyDescent="0.3">
      <c r="A185" s="447" t="s">
        <v>203</v>
      </c>
      <c r="B185" s="448"/>
      <c r="C185" s="449">
        <f t="shared" ref="C185:J185" si="62">SUM(C186:C188)</f>
        <v>1070</v>
      </c>
      <c r="D185" s="449">
        <f t="shared" si="62"/>
        <v>1070</v>
      </c>
      <c r="E185" s="449">
        <f t="shared" si="62"/>
        <v>1070</v>
      </c>
      <c r="F185" s="449">
        <f t="shared" si="62"/>
        <v>1070</v>
      </c>
      <c r="G185" s="449">
        <f t="shared" si="62"/>
        <v>1090</v>
      </c>
      <c r="H185" s="449">
        <f t="shared" ref="H185:I185" si="63">SUM(H186:H188)</f>
        <v>1090</v>
      </c>
      <c r="I185" s="449">
        <f t="shared" si="63"/>
        <v>1090</v>
      </c>
      <c r="J185" s="449">
        <f t="shared" si="62"/>
        <v>242</v>
      </c>
      <c r="K185" s="655">
        <f t="shared" si="47"/>
        <v>0.22201834862385322</v>
      </c>
      <c r="L185" s="464">
        <f t="shared" ref="L185:Q185" si="64">D185-C185</f>
        <v>0</v>
      </c>
      <c r="M185" s="464">
        <f t="shared" si="64"/>
        <v>0</v>
      </c>
      <c r="N185" s="464">
        <f t="shared" si="64"/>
        <v>0</v>
      </c>
      <c r="O185" s="464">
        <f t="shared" si="64"/>
        <v>20</v>
      </c>
      <c r="P185" s="464">
        <f t="shared" si="64"/>
        <v>0</v>
      </c>
      <c r="Q185" s="464">
        <f t="shared" si="64"/>
        <v>0</v>
      </c>
    </row>
    <row r="186" spans="1:23" ht="15" customHeight="1" x14ac:dyDescent="0.25">
      <c r="A186" s="323">
        <v>819</v>
      </c>
      <c r="B186" s="324" t="s">
        <v>204</v>
      </c>
      <c r="C186" s="205">
        <v>100</v>
      </c>
      <c r="D186" s="205">
        <v>100</v>
      </c>
      <c r="E186" s="205">
        <v>100</v>
      </c>
      <c r="F186" s="205">
        <v>100</v>
      </c>
      <c r="G186" s="205">
        <v>100</v>
      </c>
      <c r="H186" s="205">
        <v>100</v>
      </c>
      <c r="I186" s="205">
        <v>100</v>
      </c>
      <c r="J186" s="205">
        <v>4</v>
      </c>
      <c r="K186" s="655">
        <f t="shared" si="47"/>
        <v>0.04</v>
      </c>
      <c r="L186" s="1"/>
    </row>
    <row r="187" spans="1:23" x14ac:dyDescent="0.25">
      <c r="A187" s="325">
        <v>819</v>
      </c>
      <c r="B187" s="326" t="s">
        <v>379</v>
      </c>
      <c r="C187" s="56">
        <v>0</v>
      </c>
      <c r="D187" s="56">
        <v>0</v>
      </c>
      <c r="E187" s="56">
        <v>0</v>
      </c>
      <c r="F187" s="56">
        <v>0</v>
      </c>
      <c r="G187" s="623">
        <v>20</v>
      </c>
      <c r="H187" s="56">
        <v>20</v>
      </c>
      <c r="I187" s="56">
        <v>20</v>
      </c>
      <c r="J187" s="56">
        <v>0</v>
      </c>
      <c r="K187" s="655">
        <f t="shared" si="47"/>
        <v>0</v>
      </c>
      <c r="L187" s="1"/>
    </row>
    <row r="188" spans="1:23" ht="15.75" thickBot="1" x14ac:dyDescent="0.3">
      <c r="A188" s="327">
        <v>821</v>
      </c>
      <c r="B188" s="328" t="s">
        <v>205</v>
      </c>
      <c r="C188" s="128">
        <v>970</v>
      </c>
      <c r="D188" s="128">
        <v>970</v>
      </c>
      <c r="E188" s="128">
        <v>970</v>
      </c>
      <c r="F188" s="128">
        <v>970</v>
      </c>
      <c r="G188" s="128">
        <v>970</v>
      </c>
      <c r="H188" s="128">
        <v>970</v>
      </c>
      <c r="I188" s="128">
        <v>970</v>
      </c>
      <c r="J188" s="128">
        <v>238</v>
      </c>
      <c r="K188" s="655">
        <f t="shared" si="47"/>
        <v>0.24536082474226803</v>
      </c>
      <c r="L188" s="1"/>
    </row>
    <row r="189" spans="1:23" x14ac:dyDescent="0.25">
      <c r="A189" s="314"/>
      <c r="B189" s="329"/>
      <c r="C189" s="161"/>
      <c r="D189" s="161"/>
      <c r="E189" s="161"/>
      <c r="F189" s="161"/>
      <c r="G189" s="161"/>
      <c r="H189" s="161"/>
      <c r="I189" s="161"/>
      <c r="J189" s="161"/>
      <c r="K189" s="407"/>
      <c r="L189" s="161"/>
    </row>
    <row r="190" spans="1:23" ht="15.75" x14ac:dyDescent="0.25">
      <c r="A190" s="105"/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</row>
    <row r="191" spans="1:23" ht="18.75" thickBot="1" x14ac:dyDescent="0.3">
      <c r="A191" s="836" t="s">
        <v>206</v>
      </c>
      <c r="B191" s="837"/>
      <c r="C191" s="837"/>
      <c r="D191" s="837"/>
      <c r="E191" s="837"/>
      <c r="F191" s="837"/>
      <c r="G191" s="837"/>
      <c r="H191" s="837"/>
      <c r="I191" s="837"/>
      <c r="J191" s="837"/>
      <c r="K191" s="104"/>
    </row>
    <row r="192" spans="1:23" ht="40.5" customHeight="1" thickBot="1" x14ac:dyDescent="0.3">
      <c r="A192" s="838" t="s">
        <v>1</v>
      </c>
      <c r="B192" s="839"/>
      <c r="C192" s="416" t="s">
        <v>376</v>
      </c>
      <c r="D192" s="416" t="s">
        <v>509</v>
      </c>
      <c r="E192" s="416" t="s">
        <v>511</v>
      </c>
      <c r="F192" s="416" t="s">
        <v>512</v>
      </c>
      <c r="G192" s="416" t="s">
        <v>377</v>
      </c>
      <c r="H192" s="416" t="s">
        <v>541</v>
      </c>
      <c r="I192" s="416" t="s">
        <v>497</v>
      </c>
      <c r="J192" s="416" t="s">
        <v>378</v>
      </c>
      <c r="K192" s="104"/>
    </row>
    <row r="193" spans="1:17" ht="15.75" x14ac:dyDescent="0.25">
      <c r="A193" s="330" t="s">
        <v>207</v>
      </c>
      <c r="B193" s="29"/>
      <c r="C193" s="331">
        <f t="shared" ref="C193:J193" si="65">C74</f>
        <v>2247848</v>
      </c>
      <c r="D193" s="331">
        <f t="shared" si="65"/>
        <v>2247848</v>
      </c>
      <c r="E193" s="331">
        <f t="shared" si="65"/>
        <v>2274078</v>
      </c>
      <c r="F193" s="331">
        <f t="shared" si="65"/>
        <v>2280478</v>
      </c>
      <c r="G193" s="331">
        <f t="shared" si="65"/>
        <v>2286478</v>
      </c>
      <c r="H193" s="331">
        <f t="shared" si="65"/>
        <v>2290416</v>
      </c>
      <c r="I193" s="331">
        <f t="shared" si="65"/>
        <v>2301316</v>
      </c>
      <c r="J193" s="331">
        <f t="shared" si="65"/>
        <v>625599</v>
      </c>
      <c r="K193" s="104"/>
    </row>
    <row r="194" spans="1:17" ht="15.75" x14ac:dyDescent="0.25">
      <c r="A194" s="332" t="s">
        <v>208</v>
      </c>
      <c r="B194" s="333"/>
      <c r="C194" s="334">
        <f t="shared" ref="C194:J194" si="66">C139</f>
        <v>2340678</v>
      </c>
      <c r="D194" s="334">
        <f t="shared" si="66"/>
        <v>2340678</v>
      </c>
      <c r="E194" s="334">
        <f t="shared" si="66"/>
        <v>2366908</v>
      </c>
      <c r="F194" s="334">
        <f t="shared" si="66"/>
        <v>2376043</v>
      </c>
      <c r="G194" s="334">
        <f t="shared" si="66"/>
        <v>2382043</v>
      </c>
      <c r="H194" s="334">
        <f t="shared" si="66"/>
        <v>2385981</v>
      </c>
      <c r="I194" s="334">
        <f t="shared" si="66"/>
        <v>2396881</v>
      </c>
      <c r="J194" s="334">
        <f t="shared" si="66"/>
        <v>509483</v>
      </c>
      <c r="K194" s="104"/>
    </row>
    <row r="195" spans="1:17" ht="15.75" x14ac:dyDescent="0.25">
      <c r="A195" s="840" t="s">
        <v>209</v>
      </c>
      <c r="B195" s="841"/>
      <c r="C195" s="335">
        <f t="shared" ref="C195:J195" si="67">C193-C194</f>
        <v>-92830</v>
      </c>
      <c r="D195" s="335">
        <f t="shared" si="67"/>
        <v>-92830</v>
      </c>
      <c r="E195" s="335">
        <f t="shared" si="67"/>
        <v>-92830</v>
      </c>
      <c r="F195" s="335">
        <f t="shared" si="67"/>
        <v>-95565</v>
      </c>
      <c r="G195" s="335">
        <f t="shared" si="67"/>
        <v>-95565</v>
      </c>
      <c r="H195" s="335">
        <f t="shared" ref="H195:I195" si="68">H193-H194</f>
        <v>-95565</v>
      </c>
      <c r="I195" s="335">
        <f t="shared" si="68"/>
        <v>-95565</v>
      </c>
      <c r="J195" s="335">
        <f t="shared" si="67"/>
        <v>116116</v>
      </c>
      <c r="K195" s="104"/>
    </row>
    <row r="196" spans="1:17" ht="15.75" x14ac:dyDescent="0.25">
      <c r="A196" s="332" t="s">
        <v>210</v>
      </c>
      <c r="B196" s="18"/>
      <c r="C196" s="334">
        <f t="shared" ref="C196:J196" si="69">C144</f>
        <v>774720</v>
      </c>
      <c r="D196" s="334">
        <f t="shared" si="69"/>
        <v>774720</v>
      </c>
      <c r="E196" s="334">
        <f t="shared" si="69"/>
        <v>774720</v>
      </c>
      <c r="F196" s="334">
        <f t="shared" si="69"/>
        <v>774720</v>
      </c>
      <c r="G196" s="334">
        <f t="shared" si="69"/>
        <v>778710</v>
      </c>
      <c r="H196" s="334">
        <f t="shared" si="69"/>
        <v>778710</v>
      </c>
      <c r="I196" s="334">
        <f t="shared" si="69"/>
        <v>781210</v>
      </c>
      <c r="J196" s="334">
        <f t="shared" si="69"/>
        <v>49456</v>
      </c>
      <c r="K196" s="104"/>
    </row>
    <row r="197" spans="1:17" ht="15.75" x14ac:dyDescent="0.25">
      <c r="A197" s="332" t="s">
        <v>211</v>
      </c>
      <c r="B197" s="18"/>
      <c r="C197" s="20">
        <f t="shared" ref="C197:J197" si="70">C154</f>
        <v>1267700</v>
      </c>
      <c r="D197" s="20">
        <f t="shared" si="70"/>
        <v>1267700</v>
      </c>
      <c r="E197" s="20">
        <f t="shared" si="70"/>
        <v>1267700</v>
      </c>
      <c r="F197" s="20">
        <f t="shared" si="70"/>
        <v>1267700</v>
      </c>
      <c r="G197" s="20">
        <f t="shared" si="70"/>
        <v>1267700</v>
      </c>
      <c r="H197" s="20">
        <f t="shared" si="70"/>
        <v>1267700</v>
      </c>
      <c r="I197" s="20">
        <f t="shared" si="70"/>
        <v>1270200</v>
      </c>
      <c r="J197" s="20">
        <f t="shared" si="70"/>
        <v>76104</v>
      </c>
      <c r="K197" s="104"/>
    </row>
    <row r="198" spans="1:17" ht="15.75" x14ac:dyDescent="0.25">
      <c r="A198" s="840" t="s">
        <v>212</v>
      </c>
      <c r="B198" s="841"/>
      <c r="C198" s="335">
        <f t="shared" ref="C198:J198" si="71">C196-C197</f>
        <v>-492980</v>
      </c>
      <c r="D198" s="335">
        <f t="shared" si="71"/>
        <v>-492980</v>
      </c>
      <c r="E198" s="335">
        <f t="shared" si="71"/>
        <v>-492980</v>
      </c>
      <c r="F198" s="335">
        <f t="shared" si="71"/>
        <v>-492980</v>
      </c>
      <c r="G198" s="335">
        <f t="shared" si="71"/>
        <v>-488990</v>
      </c>
      <c r="H198" s="335">
        <f t="shared" ref="H198:I198" si="72">H196-H197</f>
        <v>-488990</v>
      </c>
      <c r="I198" s="335">
        <f t="shared" si="72"/>
        <v>-488990</v>
      </c>
      <c r="J198" s="335">
        <f t="shared" si="71"/>
        <v>-26648</v>
      </c>
      <c r="K198" s="104"/>
    </row>
    <row r="199" spans="1:17" ht="15.75" x14ac:dyDescent="0.25">
      <c r="A199" s="336" t="s">
        <v>213</v>
      </c>
      <c r="B199" s="337"/>
      <c r="C199" s="338">
        <f t="shared" ref="C199:J199" si="73">C175</f>
        <v>586880</v>
      </c>
      <c r="D199" s="338">
        <f t="shared" si="73"/>
        <v>586880</v>
      </c>
      <c r="E199" s="338">
        <f t="shared" si="73"/>
        <v>586880</v>
      </c>
      <c r="F199" s="338">
        <f t="shared" si="73"/>
        <v>589615</v>
      </c>
      <c r="G199" s="338">
        <f t="shared" si="73"/>
        <v>589635</v>
      </c>
      <c r="H199" s="338">
        <f t="shared" si="73"/>
        <v>589635</v>
      </c>
      <c r="I199" s="338">
        <f t="shared" si="73"/>
        <v>589635</v>
      </c>
      <c r="J199" s="338">
        <f t="shared" si="73"/>
        <v>68157</v>
      </c>
      <c r="K199" s="104"/>
    </row>
    <row r="200" spans="1:17" ht="15.75" x14ac:dyDescent="0.25">
      <c r="A200" s="336" t="s">
        <v>214</v>
      </c>
      <c r="B200" s="337"/>
      <c r="C200" s="338">
        <f t="shared" ref="C200:J200" si="74">C185</f>
        <v>1070</v>
      </c>
      <c r="D200" s="338">
        <f t="shared" si="74"/>
        <v>1070</v>
      </c>
      <c r="E200" s="338">
        <f t="shared" si="74"/>
        <v>1070</v>
      </c>
      <c r="F200" s="338">
        <f t="shared" si="74"/>
        <v>1070</v>
      </c>
      <c r="G200" s="338">
        <f t="shared" si="74"/>
        <v>1090</v>
      </c>
      <c r="H200" s="338">
        <f t="shared" ref="H200:I200" si="75">H185</f>
        <v>1090</v>
      </c>
      <c r="I200" s="338">
        <f t="shared" si="75"/>
        <v>1090</v>
      </c>
      <c r="J200" s="338">
        <f t="shared" si="74"/>
        <v>242</v>
      </c>
      <c r="K200" s="104"/>
    </row>
    <row r="201" spans="1:17" ht="16.5" thickBot="1" x14ac:dyDescent="0.3">
      <c r="A201" s="825" t="s">
        <v>215</v>
      </c>
      <c r="B201" s="826"/>
      <c r="C201" s="339">
        <f t="shared" ref="C201:J201" si="76">C199-C200</f>
        <v>585810</v>
      </c>
      <c r="D201" s="339">
        <f t="shared" si="76"/>
        <v>585810</v>
      </c>
      <c r="E201" s="339">
        <f t="shared" si="76"/>
        <v>585810</v>
      </c>
      <c r="F201" s="339">
        <f t="shared" si="76"/>
        <v>588545</v>
      </c>
      <c r="G201" s="339">
        <f t="shared" si="76"/>
        <v>588545</v>
      </c>
      <c r="H201" s="339">
        <f t="shared" ref="H201:I201" si="77">H199-H200</f>
        <v>588545</v>
      </c>
      <c r="I201" s="339">
        <f t="shared" si="77"/>
        <v>588545</v>
      </c>
      <c r="J201" s="339">
        <f t="shared" si="76"/>
        <v>67915</v>
      </c>
      <c r="K201" s="104"/>
    </row>
    <row r="202" spans="1:17" ht="16.5" thickBot="1" x14ac:dyDescent="0.3">
      <c r="A202" s="340" t="s">
        <v>216</v>
      </c>
      <c r="B202" s="341"/>
      <c r="C202" s="342">
        <f t="shared" ref="C202:J202" si="78">C195+C198+C201</f>
        <v>0</v>
      </c>
      <c r="D202" s="342">
        <f t="shared" si="78"/>
        <v>0</v>
      </c>
      <c r="E202" s="342">
        <f t="shared" si="78"/>
        <v>0</v>
      </c>
      <c r="F202" s="342">
        <f t="shared" si="78"/>
        <v>0</v>
      </c>
      <c r="G202" s="342">
        <f t="shared" si="78"/>
        <v>3990</v>
      </c>
      <c r="H202" s="342">
        <f t="shared" ref="H202:I202" si="79">H195+H198+H201</f>
        <v>3990</v>
      </c>
      <c r="I202" s="342">
        <f t="shared" si="79"/>
        <v>3990</v>
      </c>
      <c r="J202" s="342">
        <f t="shared" si="78"/>
        <v>157383</v>
      </c>
      <c r="K202" s="104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04"/>
    </row>
    <row r="204" spans="1:17" x14ac:dyDescent="0.25">
      <c r="A204" s="1"/>
      <c r="B204" s="343" t="s">
        <v>332</v>
      </c>
      <c r="C204" s="27">
        <f t="shared" ref="C204:J205" si="80">C193+C196+C199</f>
        <v>3609448</v>
      </c>
      <c r="D204" s="27">
        <f t="shared" si="80"/>
        <v>3609448</v>
      </c>
      <c r="E204" s="27">
        <f t="shared" si="80"/>
        <v>3635678</v>
      </c>
      <c r="F204" s="27">
        <f t="shared" si="80"/>
        <v>3644813</v>
      </c>
      <c r="G204" s="27">
        <f t="shared" si="80"/>
        <v>3654823</v>
      </c>
      <c r="H204" s="27">
        <f t="shared" ref="H204:I204" si="81">H193+H196+H199</f>
        <v>3658761</v>
      </c>
      <c r="I204" s="27">
        <f t="shared" si="81"/>
        <v>3672161</v>
      </c>
      <c r="J204" s="27">
        <f t="shared" si="80"/>
        <v>743212</v>
      </c>
      <c r="K204" s="104"/>
      <c r="L204" s="663">
        <f t="shared" ref="L204:O205" si="82">D204-C204</f>
        <v>0</v>
      </c>
      <c r="M204" s="663">
        <f t="shared" si="82"/>
        <v>26230</v>
      </c>
      <c r="N204" s="663">
        <f t="shared" si="82"/>
        <v>9135</v>
      </c>
      <c r="O204" s="663">
        <f t="shared" si="82"/>
        <v>10010</v>
      </c>
      <c r="P204" s="663">
        <f t="shared" ref="P204:Q205" si="83">H204-G204</f>
        <v>3938</v>
      </c>
      <c r="Q204" s="663">
        <f t="shared" si="83"/>
        <v>13400</v>
      </c>
    </row>
    <row r="205" spans="1:17" x14ac:dyDescent="0.25">
      <c r="A205" s="1"/>
      <c r="B205" s="343" t="s">
        <v>333</v>
      </c>
      <c r="C205" s="27">
        <f t="shared" si="80"/>
        <v>3609448</v>
      </c>
      <c r="D205" s="27">
        <f t="shared" si="80"/>
        <v>3609448</v>
      </c>
      <c r="E205" s="27">
        <f t="shared" si="80"/>
        <v>3635678</v>
      </c>
      <c r="F205" s="27">
        <f t="shared" si="80"/>
        <v>3644813</v>
      </c>
      <c r="G205" s="27">
        <f t="shared" si="80"/>
        <v>3650833</v>
      </c>
      <c r="H205" s="27">
        <f t="shared" ref="H205:I205" si="84">H194+H197+H200</f>
        <v>3654771</v>
      </c>
      <c r="I205" s="27">
        <f t="shared" si="84"/>
        <v>3668171</v>
      </c>
      <c r="J205" s="27">
        <f t="shared" si="80"/>
        <v>585829</v>
      </c>
      <c r="K205" s="104"/>
      <c r="L205" s="663">
        <f t="shared" si="82"/>
        <v>0</v>
      </c>
      <c r="M205" s="663">
        <f t="shared" si="82"/>
        <v>26230</v>
      </c>
      <c r="N205" s="663">
        <f t="shared" si="82"/>
        <v>9135</v>
      </c>
      <c r="O205" s="663">
        <f t="shared" si="82"/>
        <v>6020</v>
      </c>
      <c r="P205" s="663">
        <f t="shared" si="83"/>
        <v>3938</v>
      </c>
      <c r="Q205" s="663">
        <f t="shared" si="83"/>
        <v>13400</v>
      </c>
    </row>
    <row r="206" spans="1:17" x14ac:dyDescent="0.25">
      <c r="A206" s="1"/>
      <c r="B206" s="343"/>
      <c r="C206" s="27"/>
      <c r="D206" s="27"/>
      <c r="E206" s="27"/>
      <c r="F206" s="27"/>
      <c r="G206" s="27"/>
      <c r="H206" s="27"/>
      <c r="I206" s="27"/>
      <c r="J206" s="27"/>
      <c r="K206" s="104"/>
      <c r="L206" s="663"/>
      <c r="M206" s="663"/>
      <c r="N206" s="663"/>
      <c r="O206" s="663"/>
      <c r="P206" s="663"/>
      <c r="Q206" s="663"/>
    </row>
    <row r="207" spans="1:17" x14ac:dyDescent="0.25">
      <c r="A207" s="1"/>
      <c r="B207" s="343" t="s">
        <v>403</v>
      </c>
      <c r="C207" s="27">
        <f t="shared" ref="C207:J207" si="85">C204-C73</f>
        <v>3593528</v>
      </c>
      <c r="D207" s="27">
        <f t="shared" si="85"/>
        <v>3593528</v>
      </c>
      <c r="E207" s="27">
        <f t="shared" si="85"/>
        <v>3619758</v>
      </c>
      <c r="F207" s="27">
        <f t="shared" si="85"/>
        <v>3628893</v>
      </c>
      <c r="G207" s="27">
        <f t="shared" si="85"/>
        <v>3638903</v>
      </c>
      <c r="H207" s="27">
        <f t="shared" si="85"/>
        <v>3642841</v>
      </c>
      <c r="I207" s="27">
        <f t="shared" si="85"/>
        <v>3656241</v>
      </c>
      <c r="J207" s="27">
        <f t="shared" si="85"/>
        <v>738551</v>
      </c>
      <c r="K207" s="104"/>
      <c r="L207" s="663">
        <f t="shared" ref="L207:O208" si="86">D207-C207</f>
        <v>0</v>
      </c>
      <c r="M207" s="663">
        <f t="shared" si="86"/>
        <v>26230</v>
      </c>
      <c r="N207" s="663">
        <f t="shared" si="86"/>
        <v>9135</v>
      </c>
      <c r="O207" s="663">
        <f t="shared" si="86"/>
        <v>10010</v>
      </c>
      <c r="P207" s="663">
        <f t="shared" ref="P207:Q208" si="87">H207-G207</f>
        <v>3938</v>
      </c>
      <c r="Q207" s="663">
        <f t="shared" si="87"/>
        <v>13400</v>
      </c>
    </row>
    <row r="208" spans="1:17" x14ac:dyDescent="0.25">
      <c r="A208" s="1"/>
      <c r="B208" s="343" t="s">
        <v>404</v>
      </c>
      <c r="C208" s="27">
        <f t="shared" ref="C208:J208" si="88">C205-C138</f>
        <v>2773338</v>
      </c>
      <c r="D208" s="27">
        <f t="shared" si="88"/>
        <v>2773338</v>
      </c>
      <c r="E208" s="27">
        <f t="shared" si="88"/>
        <v>2777749</v>
      </c>
      <c r="F208" s="27">
        <f t="shared" si="88"/>
        <v>2785484</v>
      </c>
      <c r="G208" s="27">
        <f t="shared" si="88"/>
        <v>2791504</v>
      </c>
      <c r="H208" s="27">
        <f t="shared" si="88"/>
        <v>2794704</v>
      </c>
      <c r="I208" s="27">
        <f t="shared" si="88"/>
        <v>2808104</v>
      </c>
      <c r="J208" s="27">
        <f t="shared" si="88"/>
        <v>365209</v>
      </c>
      <c r="K208" s="104"/>
      <c r="L208" s="663">
        <f t="shared" si="86"/>
        <v>0</v>
      </c>
      <c r="M208" s="663">
        <f t="shared" si="86"/>
        <v>4411</v>
      </c>
      <c r="N208" s="663">
        <f t="shared" si="86"/>
        <v>7735</v>
      </c>
      <c r="O208" s="663">
        <f t="shared" si="86"/>
        <v>6020</v>
      </c>
      <c r="P208" s="663">
        <f t="shared" si="87"/>
        <v>3200</v>
      </c>
      <c r="Q208" s="663">
        <f t="shared" si="87"/>
        <v>13400</v>
      </c>
    </row>
    <row r="209" spans="1:17" x14ac:dyDescent="0.25">
      <c r="A209" s="1"/>
      <c r="B209" s="343"/>
      <c r="C209" s="27"/>
      <c r="D209" s="27"/>
      <c r="E209" s="27"/>
      <c r="F209" s="27"/>
      <c r="G209" s="27"/>
      <c r="H209" s="27"/>
      <c r="I209" s="27"/>
      <c r="J209" s="27"/>
      <c r="K209" s="104"/>
      <c r="L209" s="663"/>
      <c r="M209" s="663"/>
      <c r="N209" s="663"/>
      <c r="O209" s="663"/>
      <c r="P209" s="663"/>
      <c r="Q209" s="663"/>
    </row>
    <row r="210" spans="1:17" x14ac:dyDescent="0.25">
      <c r="A210" s="104"/>
      <c r="B210" s="530" t="s">
        <v>330</v>
      </c>
      <c r="C210" s="532">
        <f t="shared" ref="C210:J211" si="89">C204-C207</f>
        <v>15920</v>
      </c>
      <c r="D210" s="532">
        <f t="shared" si="89"/>
        <v>15920</v>
      </c>
      <c r="E210" s="532">
        <f t="shared" si="89"/>
        <v>15920</v>
      </c>
      <c r="F210" s="532">
        <f t="shared" si="89"/>
        <v>15920</v>
      </c>
      <c r="G210" s="532">
        <f t="shared" si="89"/>
        <v>15920</v>
      </c>
      <c r="H210" s="532">
        <f t="shared" ref="H210:I210" si="90">H204-H207</f>
        <v>15920</v>
      </c>
      <c r="I210" s="532">
        <f t="shared" si="90"/>
        <v>15920</v>
      </c>
      <c r="J210" s="532">
        <f t="shared" si="89"/>
        <v>4661</v>
      </c>
      <c r="K210" s="104"/>
      <c r="L210" s="663">
        <f>D210-C210</f>
        <v>0</v>
      </c>
      <c r="M210" s="663">
        <f t="shared" ref="M210:O211" si="91">E210-D210</f>
        <v>0</v>
      </c>
      <c r="N210" s="663">
        <f t="shared" si="91"/>
        <v>0</v>
      </c>
      <c r="O210" s="663">
        <f t="shared" si="91"/>
        <v>0</v>
      </c>
      <c r="P210" s="663">
        <f t="shared" ref="P210:P211" si="92">H210-G210</f>
        <v>0</v>
      </c>
      <c r="Q210" s="663">
        <f t="shared" ref="Q210:Q211" si="93">I210-H210</f>
        <v>0</v>
      </c>
    </row>
    <row r="211" spans="1:17" x14ac:dyDescent="0.25">
      <c r="A211" s="1"/>
      <c r="B211" s="531" t="s">
        <v>331</v>
      </c>
      <c r="C211" s="617">
        <f t="shared" si="89"/>
        <v>836110</v>
      </c>
      <c r="D211" s="617">
        <f t="shared" si="89"/>
        <v>836110</v>
      </c>
      <c r="E211" s="617">
        <f t="shared" si="89"/>
        <v>857929</v>
      </c>
      <c r="F211" s="617">
        <f t="shared" si="89"/>
        <v>859329</v>
      </c>
      <c r="G211" s="617">
        <f t="shared" si="89"/>
        <v>859329</v>
      </c>
      <c r="H211" s="617">
        <f t="shared" ref="H211:I211" si="94">H205-H208</f>
        <v>860067</v>
      </c>
      <c r="I211" s="617">
        <f t="shared" si="94"/>
        <v>860067</v>
      </c>
      <c r="J211" s="617">
        <f t="shared" si="89"/>
        <v>220620</v>
      </c>
      <c r="K211" s="104"/>
      <c r="L211" s="663">
        <f>D211-C211</f>
        <v>0</v>
      </c>
      <c r="M211" s="663">
        <f t="shared" si="91"/>
        <v>21819</v>
      </c>
      <c r="N211" s="663">
        <f t="shared" si="91"/>
        <v>1400</v>
      </c>
      <c r="O211" s="663">
        <f t="shared" si="91"/>
        <v>0</v>
      </c>
      <c r="P211" s="663">
        <f t="shared" si="92"/>
        <v>738</v>
      </c>
      <c r="Q211" s="663">
        <f t="shared" si="93"/>
        <v>0</v>
      </c>
    </row>
    <row r="212" spans="1: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04"/>
      <c r="L212" s="104"/>
      <c r="M212" s="104"/>
      <c r="N212" s="104"/>
    </row>
    <row r="213" spans="1:17" x14ac:dyDescent="0.25">
      <c r="A213" s="1"/>
      <c r="B213" s="346" t="s">
        <v>217</v>
      </c>
      <c r="C213" s="346"/>
      <c r="D213" s="346"/>
      <c r="E213" s="346"/>
      <c r="F213" s="346"/>
      <c r="G213" s="346"/>
      <c r="H213" s="346"/>
      <c r="I213" s="346"/>
      <c r="J213" s="346"/>
      <c r="K213" s="104"/>
    </row>
    <row r="214" spans="1:17" x14ac:dyDescent="0.25">
      <c r="A214" s="1"/>
      <c r="B214" s="346" t="s">
        <v>218</v>
      </c>
      <c r="C214" s="346"/>
      <c r="D214" s="346"/>
      <c r="E214" s="346"/>
      <c r="F214" s="346"/>
      <c r="G214" s="346"/>
      <c r="H214" s="346"/>
      <c r="I214" s="346"/>
      <c r="J214" s="346"/>
      <c r="K214" s="104"/>
    </row>
    <row r="215" spans="1:17" x14ac:dyDescent="0.25">
      <c r="A215" s="1"/>
      <c r="B215" s="346"/>
      <c r="C215" s="346"/>
      <c r="D215" s="346"/>
      <c r="E215" s="346"/>
      <c r="F215" s="346"/>
      <c r="G215" s="346"/>
      <c r="H215" s="346"/>
      <c r="I215" s="346"/>
      <c r="J215" s="346"/>
      <c r="K215" s="104"/>
    </row>
    <row r="216" spans="1:17" x14ac:dyDescent="0.25">
      <c r="A216" s="1"/>
      <c r="B216" s="346"/>
      <c r="C216" s="346"/>
      <c r="D216" s="346"/>
      <c r="E216" s="346"/>
      <c r="F216" s="346"/>
      <c r="G216" s="346"/>
      <c r="H216" s="346"/>
      <c r="I216" s="346"/>
      <c r="J216" s="346"/>
      <c r="K216" s="104"/>
    </row>
    <row r="217" spans="1:17" x14ac:dyDescent="0.25">
      <c r="A217" s="1"/>
      <c r="B217" s="348" t="s">
        <v>327</v>
      </c>
      <c r="C217" s="346"/>
      <c r="D217" s="346"/>
      <c r="E217" s="346"/>
      <c r="F217" s="346"/>
      <c r="G217" s="346"/>
      <c r="H217" s="346"/>
      <c r="I217" s="346"/>
      <c r="J217" s="346"/>
      <c r="K217" s="104"/>
    </row>
    <row r="218" spans="1:17" x14ac:dyDescent="0.25">
      <c r="A218" s="1"/>
      <c r="B218" s="347" t="s">
        <v>542</v>
      </c>
      <c r="C218" s="346"/>
      <c r="D218" s="346"/>
      <c r="E218" s="346"/>
      <c r="F218" s="346"/>
      <c r="G218" s="346"/>
      <c r="H218" s="346"/>
      <c r="I218" s="346"/>
      <c r="J218" s="346"/>
      <c r="K218" s="1"/>
    </row>
    <row r="219" spans="1:17" x14ac:dyDescent="0.25">
      <c r="A219" s="1"/>
      <c r="C219" s="346"/>
      <c r="D219" s="346"/>
      <c r="E219" s="346"/>
      <c r="F219" s="346"/>
      <c r="G219" s="346"/>
      <c r="H219" s="346"/>
      <c r="I219" s="346"/>
      <c r="J219" s="346"/>
      <c r="K219" s="1"/>
    </row>
    <row r="220" spans="1:17" x14ac:dyDescent="0.25">
      <c r="A220" s="1"/>
      <c r="B220" s="346" t="s">
        <v>543</v>
      </c>
      <c r="C220" s="346"/>
      <c r="D220" s="346"/>
      <c r="E220" s="346"/>
      <c r="F220" s="346"/>
      <c r="G220" s="346"/>
      <c r="H220" s="346"/>
      <c r="I220" s="346"/>
      <c r="J220" s="346"/>
      <c r="K220" s="1"/>
    </row>
    <row r="221" spans="1:17" x14ac:dyDescent="0.25">
      <c r="A221" s="1"/>
      <c r="B221" s="346"/>
      <c r="C221" s="346"/>
      <c r="D221" s="346"/>
      <c r="E221" s="346"/>
      <c r="F221" s="346"/>
      <c r="G221" s="346"/>
      <c r="H221" s="346"/>
      <c r="I221" s="346"/>
      <c r="J221" s="346"/>
      <c r="K221" s="1"/>
    </row>
    <row r="222" spans="1:17" x14ac:dyDescent="0.25">
      <c r="A222" s="1"/>
      <c r="B222" s="346"/>
      <c r="C222" s="346"/>
      <c r="D222" s="346"/>
      <c r="E222" s="346"/>
      <c r="F222" s="346"/>
      <c r="G222" s="346"/>
      <c r="H222" s="346"/>
      <c r="I222" s="346"/>
      <c r="J222" s="346"/>
      <c r="K222" s="1"/>
    </row>
    <row r="223" spans="1:17" x14ac:dyDescent="0.25">
      <c r="A223" s="1"/>
      <c r="B223" s="348" t="s">
        <v>485</v>
      </c>
      <c r="C223" s="346"/>
      <c r="D223" s="346"/>
      <c r="E223" s="346"/>
      <c r="F223" s="346"/>
      <c r="G223" s="346"/>
      <c r="H223" s="346"/>
      <c r="I223" s="346"/>
      <c r="J223" s="346"/>
      <c r="K223" s="1"/>
    </row>
    <row r="224" spans="1:17" x14ac:dyDescent="0.25">
      <c r="A224" s="1"/>
      <c r="B224" s="348" t="s">
        <v>550</v>
      </c>
      <c r="C224" s="346"/>
      <c r="D224" s="346"/>
      <c r="E224" s="346"/>
      <c r="F224" s="346"/>
      <c r="G224" s="346"/>
      <c r="H224" s="346"/>
      <c r="I224" s="346"/>
      <c r="J224" s="346"/>
      <c r="K224" s="1"/>
    </row>
    <row r="225" spans="1:11" x14ac:dyDescent="0.25">
      <c r="A225" s="1"/>
      <c r="B225" s="348"/>
      <c r="C225" s="346"/>
      <c r="D225" s="346"/>
      <c r="E225" s="346"/>
      <c r="F225" s="346"/>
      <c r="G225" s="346"/>
      <c r="H225" s="346"/>
      <c r="I225" s="346"/>
      <c r="J225" s="346"/>
      <c r="K225" s="1"/>
    </row>
    <row r="226" spans="1:11" x14ac:dyDescent="0.25">
      <c r="A226" s="1"/>
      <c r="B226" s="346" t="s">
        <v>551</v>
      </c>
      <c r="C226" s="346"/>
      <c r="D226" s="346"/>
      <c r="E226" s="346"/>
      <c r="F226" s="346"/>
      <c r="G226" s="346"/>
      <c r="H226" s="346"/>
      <c r="I226" s="346"/>
      <c r="J226" s="346"/>
    </row>
    <row r="227" spans="1:11" x14ac:dyDescent="0.25">
      <c r="A227" s="1"/>
      <c r="B227" s="345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345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345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345"/>
      <c r="C230" s="1"/>
      <c r="D230" s="1"/>
      <c r="E230" s="1"/>
      <c r="F230" s="1"/>
      <c r="G230" s="1"/>
      <c r="H230" s="1"/>
      <c r="I230" s="1"/>
      <c r="J230" s="1"/>
      <c r="K230" s="1"/>
    </row>
  </sheetData>
  <mergeCells count="24">
    <mergeCell ref="A137:B137"/>
    <mergeCell ref="A1:J1"/>
    <mergeCell ref="A2:B2"/>
    <mergeCell ref="A3:B3"/>
    <mergeCell ref="A11:B11"/>
    <mergeCell ref="A70:B70"/>
    <mergeCell ref="A72:B72"/>
    <mergeCell ref="A73:B73"/>
    <mergeCell ref="A77:J77"/>
    <mergeCell ref="A78:B78"/>
    <mergeCell ref="A94:B94"/>
    <mergeCell ref="A134:B134"/>
    <mergeCell ref="A201:B201"/>
    <mergeCell ref="A138:B138"/>
    <mergeCell ref="A142:J142"/>
    <mergeCell ref="A143:B143"/>
    <mergeCell ref="A144:B144"/>
    <mergeCell ref="A154:B154"/>
    <mergeCell ref="A173:J173"/>
    <mergeCell ref="A174:B174"/>
    <mergeCell ref="A191:J191"/>
    <mergeCell ref="A192:B192"/>
    <mergeCell ref="A195:B195"/>
    <mergeCell ref="A198:B19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 xml:space="preserve">&amp;CRozpočet na rok 2022
2.zmena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9"/>
  <sheetViews>
    <sheetView view="pageLayout" zoomScaleNormal="100" workbookViewId="0">
      <selection sqref="A1:H1"/>
    </sheetView>
  </sheetViews>
  <sheetFormatPr defaultRowHeight="15" x14ac:dyDescent="0.25"/>
  <cols>
    <col min="1" max="1" width="6.42578125" customWidth="1"/>
    <col min="2" max="2" width="64.140625" customWidth="1"/>
    <col min="3" max="7" width="13" customWidth="1"/>
    <col min="8" max="8" width="12.85546875" customWidth="1"/>
    <col min="9" max="9" width="6.5703125" customWidth="1"/>
    <col min="11" max="11" width="8.7109375" customWidth="1"/>
    <col min="12" max="12" width="10.28515625" customWidth="1"/>
    <col min="13" max="13" width="9.85546875" customWidth="1"/>
  </cols>
  <sheetData>
    <row r="1" spans="1:17" ht="18.75" thickBot="1" x14ac:dyDescent="0.3">
      <c r="A1" s="807" t="s">
        <v>0</v>
      </c>
      <c r="B1" s="808"/>
      <c r="C1" s="808"/>
      <c r="D1" s="808"/>
      <c r="E1" s="808"/>
      <c r="F1" s="808"/>
      <c r="G1" s="808"/>
      <c r="H1" s="808"/>
      <c r="I1" s="1"/>
    </row>
    <row r="2" spans="1:17" ht="39.75" customHeight="1" thickBot="1" x14ac:dyDescent="0.3">
      <c r="A2" s="809" t="s">
        <v>1</v>
      </c>
      <c r="B2" s="810"/>
      <c r="C2" s="416" t="s">
        <v>376</v>
      </c>
      <c r="D2" s="416" t="s">
        <v>508</v>
      </c>
      <c r="E2" s="416" t="s">
        <v>510</v>
      </c>
      <c r="F2" s="416" t="s">
        <v>513</v>
      </c>
      <c r="G2" s="416" t="s">
        <v>453</v>
      </c>
      <c r="H2" s="416" t="s">
        <v>500</v>
      </c>
      <c r="I2" s="1" t="s">
        <v>407</v>
      </c>
    </row>
    <row r="3" spans="1:17" ht="15.75" thickBot="1" x14ac:dyDescent="0.3">
      <c r="A3" s="811" t="s">
        <v>4</v>
      </c>
      <c r="B3" s="812"/>
      <c r="C3" s="2">
        <f t="shared" ref="C3:H3" si="0">SUM(C4:C10)</f>
        <v>1289980</v>
      </c>
      <c r="D3" s="2">
        <f t="shared" ref="D3" si="1">SUM(D4:D10)</f>
        <v>1289980</v>
      </c>
      <c r="E3" s="2">
        <f t="shared" ref="E3:F3" si="2">SUM(E4:E10)</f>
        <v>1289980</v>
      </c>
      <c r="F3" s="2">
        <f t="shared" si="2"/>
        <v>1289980</v>
      </c>
      <c r="G3" s="2">
        <f t="shared" si="0"/>
        <v>1289980</v>
      </c>
      <c r="H3" s="2">
        <f t="shared" si="0"/>
        <v>384394</v>
      </c>
      <c r="I3" s="655">
        <f>H3/G3</f>
        <v>0.2979844648754244</v>
      </c>
    </row>
    <row r="4" spans="1:17" ht="15.75" thickBot="1" x14ac:dyDescent="0.3">
      <c r="A4" s="3">
        <v>111</v>
      </c>
      <c r="B4" s="124" t="s">
        <v>5</v>
      </c>
      <c r="C4" s="6">
        <v>1214000</v>
      </c>
      <c r="D4" s="6">
        <v>1214000</v>
      </c>
      <c r="E4" s="6">
        <v>1214000</v>
      </c>
      <c r="F4" s="6">
        <v>1214000</v>
      </c>
      <c r="G4" s="6">
        <v>1214000</v>
      </c>
      <c r="H4" s="6">
        <v>357795</v>
      </c>
      <c r="I4" s="655">
        <f t="shared" ref="I4:I67" si="3">H4/G4</f>
        <v>0.29472405271828667</v>
      </c>
    </row>
    <row r="5" spans="1:17" ht="15.75" thickBot="1" x14ac:dyDescent="0.3">
      <c r="A5" s="7">
        <v>121</v>
      </c>
      <c r="B5" s="351" t="s">
        <v>6</v>
      </c>
      <c r="C5" s="11">
        <v>40080</v>
      </c>
      <c r="D5" s="11">
        <v>40080</v>
      </c>
      <c r="E5" s="11">
        <v>40080</v>
      </c>
      <c r="F5" s="11">
        <v>40080</v>
      </c>
      <c r="G5" s="11">
        <v>40080</v>
      </c>
      <c r="H5" s="11">
        <v>13267</v>
      </c>
      <c r="I5" s="655">
        <f t="shared" si="3"/>
        <v>0.33101297405189622</v>
      </c>
    </row>
    <row r="6" spans="1:17" x14ac:dyDescent="0.25">
      <c r="A6" s="12">
        <v>133</v>
      </c>
      <c r="B6" s="352" t="s">
        <v>7</v>
      </c>
      <c r="C6" s="16">
        <v>1000</v>
      </c>
      <c r="D6" s="16">
        <v>1000</v>
      </c>
      <c r="E6" s="16">
        <v>1000</v>
      </c>
      <c r="F6" s="16">
        <v>1000</v>
      </c>
      <c r="G6" s="16">
        <v>1000</v>
      </c>
      <c r="H6" s="16">
        <v>813</v>
      </c>
      <c r="I6" s="655">
        <f t="shared" si="3"/>
        <v>0.81299999999999994</v>
      </c>
    </row>
    <row r="7" spans="1:17" x14ac:dyDescent="0.25">
      <c r="A7" s="17">
        <v>133</v>
      </c>
      <c r="B7" s="353" t="s">
        <v>8</v>
      </c>
      <c r="C7" s="21">
        <v>400</v>
      </c>
      <c r="D7" s="21">
        <v>400</v>
      </c>
      <c r="E7" s="21">
        <v>400</v>
      </c>
      <c r="F7" s="21">
        <v>400</v>
      </c>
      <c r="G7" s="21">
        <v>400</v>
      </c>
      <c r="H7" s="21">
        <v>0</v>
      </c>
      <c r="I7" s="655">
        <f t="shared" si="3"/>
        <v>0</v>
      </c>
    </row>
    <row r="8" spans="1:17" x14ac:dyDescent="0.25">
      <c r="A8" s="17">
        <v>133</v>
      </c>
      <c r="B8" s="353" t="s">
        <v>9</v>
      </c>
      <c r="C8" s="21">
        <v>2000</v>
      </c>
      <c r="D8" s="21">
        <v>2000</v>
      </c>
      <c r="E8" s="21">
        <v>2000</v>
      </c>
      <c r="F8" s="21">
        <v>2000</v>
      </c>
      <c r="G8" s="21">
        <v>2000</v>
      </c>
      <c r="H8" s="21">
        <v>203</v>
      </c>
      <c r="I8" s="655">
        <f t="shared" si="3"/>
        <v>0.10150000000000001</v>
      </c>
    </row>
    <row r="9" spans="1:17" x14ac:dyDescent="0.25">
      <c r="A9" s="17">
        <v>133</v>
      </c>
      <c r="B9" s="353" t="s">
        <v>10</v>
      </c>
      <c r="C9" s="21">
        <v>2500</v>
      </c>
      <c r="D9" s="21">
        <v>2500</v>
      </c>
      <c r="E9" s="21">
        <v>2500</v>
      </c>
      <c r="F9" s="21">
        <v>2500</v>
      </c>
      <c r="G9" s="21">
        <v>2500</v>
      </c>
      <c r="H9" s="21">
        <v>223</v>
      </c>
      <c r="I9" s="655">
        <f t="shared" si="3"/>
        <v>8.9200000000000002E-2</v>
      </c>
    </row>
    <row r="10" spans="1:17" ht="15.75" thickBot="1" x14ac:dyDescent="0.3">
      <c r="A10" s="22">
        <v>133</v>
      </c>
      <c r="B10" s="354" t="s">
        <v>11</v>
      </c>
      <c r="C10" s="26">
        <v>30000</v>
      </c>
      <c r="D10" s="26">
        <v>30000</v>
      </c>
      <c r="E10" s="26">
        <v>30000</v>
      </c>
      <c r="F10" s="26">
        <v>30000</v>
      </c>
      <c r="G10" s="26">
        <v>30000</v>
      </c>
      <c r="H10" s="26">
        <v>12093</v>
      </c>
      <c r="I10" s="655">
        <f t="shared" si="3"/>
        <v>0.40310000000000001</v>
      </c>
      <c r="J10" s="464">
        <f>SUM(C6:C10)</f>
        <v>35900</v>
      </c>
      <c r="K10" s="464">
        <f>SUM(E6:E10)</f>
        <v>35900</v>
      </c>
      <c r="L10" s="464">
        <f t="shared" ref="L10:M10" si="4">SUM(G6:G10)</f>
        <v>35900</v>
      </c>
      <c r="M10" s="464">
        <f t="shared" si="4"/>
        <v>13332</v>
      </c>
    </row>
    <row r="11" spans="1:17" ht="15.75" thickBot="1" x14ac:dyDescent="0.3">
      <c r="A11" s="811" t="s">
        <v>12</v>
      </c>
      <c r="B11" s="812"/>
      <c r="C11" s="355">
        <f t="shared" ref="C11:H11" si="5">SUM(C12:C31)</f>
        <v>208158</v>
      </c>
      <c r="D11" s="355">
        <f t="shared" si="5"/>
        <v>208158</v>
      </c>
      <c r="E11" s="355">
        <f t="shared" si="5"/>
        <v>208158</v>
      </c>
      <c r="F11" s="355">
        <f t="shared" si="5"/>
        <v>208158</v>
      </c>
      <c r="G11" s="355">
        <f t="shared" si="5"/>
        <v>208158</v>
      </c>
      <c r="H11" s="355">
        <f t="shared" si="5"/>
        <v>46566</v>
      </c>
      <c r="I11" s="655">
        <f t="shared" si="3"/>
        <v>0.22370507018706945</v>
      </c>
    </row>
    <row r="12" spans="1:17" x14ac:dyDescent="0.25">
      <c r="A12" s="28">
        <v>212</v>
      </c>
      <c r="B12" s="29" t="s">
        <v>13</v>
      </c>
      <c r="C12" s="32">
        <v>1893</v>
      </c>
      <c r="D12" s="32">
        <v>1893</v>
      </c>
      <c r="E12" s="32">
        <v>1893</v>
      </c>
      <c r="F12" s="32">
        <v>1893</v>
      </c>
      <c r="G12" s="32">
        <v>1893</v>
      </c>
      <c r="H12" s="32">
        <v>287</v>
      </c>
      <c r="I12" s="655">
        <f t="shared" si="3"/>
        <v>0.15161119915478077</v>
      </c>
    </row>
    <row r="13" spans="1:17" x14ac:dyDescent="0.25">
      <c r="A13" s="12">
        <v>212</v>
      </c>
      <c r="B13" s="13" t="s">
        <v>14</v>
      </c>
      <c r="C13" s="16">
        <v>500</v>
      </c>
      <c r="D13" s="16">
        <v>500</v>
      </c>
      <c r="E13" s="16">
        <v>500</v>
      </c>
      <c r="F13" s="16">
        <v>500</v>
      </c>
      <c r="G13" s="16">
        <v>500</v>
      </c>
      <c r="H13" s="16">
        <v>130</v>
      </c>
      <c r="I13" s="655">
        <f t="shared" si="3"/>
        <v>0.26</v>
      </c>
    </row>
    <row r="14" spans="1:17" x14ac:dyDescent="0.25">
      <c r="A14" s="17">
        <v>212</v>
      </c>
      <c r="B14" s="18" t="s">
        <v>15</v>
      </c>
      <c r="C14" s="33">
        <v>3712</v>
      </c>
      <c r="D14" s="33">
        <v>3712</v>
      </c>
      <c r="E14" s="33">
        <v>3712</v>
      </c>
      <c r="F14" s="33">
        <v>3712</v>
      </c>
      <c r="G14" s="33">
        <v>3712</v>
      </c>
      <c r="H14" s="33">
        <v>861</v>
      </c>
      <c r="I14" s="655">
        <f t="shared" si="3"/>
        <v>0.23195043103448276</v>
      </c>
    </row>
    <row r="15" spans="1:17" x14ac:dyDescent="0.25">
      <c r="A15" s="17">
        <v>212</v>
      </c>
      <c r="B15" s="18" t="s">
        <v>16</v>
      </c>
      <c r="C15" s="21">
        <v>21393</v>
      </c>
      <c r="D15" s="21">
        <v>21393</v>
      </c>
      <c r="E15" s="21">
        <v>21393</v>
      </c>
      <c r="F15" s="21">
        <v>21393</v>
      </c>
      <c r="G15" s="21">
        <v>21393</v>
      </c>
      <c r="H15" s="21">
        <v>3658</v>
      </c>
      <c r="I15" s="655">
        <f t="shared" si="3"/>
        <v>0.1709905109147852</v>
      </c>
    </row>
    <row r="16" spans="1:17" ht="15.75" thickBot="1" x14ac:dyDescent="0.3">
      <c r="A16" s="35">
        <v>212</v>
      </c>
      <c r="B16" s="36" t="s">
        <v>17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655">
        <v>0</v>
      </c>
      <c r="J16" s="464">
        <f>SUM(C12:C16)</f>
        <v>27498</v>
      </c>
      <c r="K16" s="464">
        <f t="shared" ref="K16:L16" si="6">SUM(G12:G16)</f>
        <v>27498</v>
      </c>
      <c r="L16" s="464">
        <f t="shared" si="6"/>
        <v>4936</v>
      </c>
      <c r="P16" s="27"/>
      <c r="Q16" s="464"/>
    </row>
    <row r="17" spans="1:17" ht="15.75" thickBot="1" x14ac:dyDescent="0.3">
      <c r="A17" s="7">
        <v>221</v>
      </c>
      <c r="B17" s="8" t="s">
        <v>18</v>
      </c>
      <c r="C17" s="41">
        <v>5100</v>
      </c>
      <c r="D17" s="41">
        <v>5100</v>
      </c>
      <c r="E17" s="41">
        <v>5100</v>
      </c>
      <c r="F17" s="41">
        <v>5100</v>
      </c>
      <c r="G17" s="41">
        <v>5100</v>
      </c>
      <c r="H17" s="41">
        <v>933</v>
      </c>
      <c r="I17" s="655">
        <f t="shared" si="3"/>
        <v>0.18294117647058825</v>
      </c>
    </row>
    <row r="18" spans="1:17" ht="15.75" thickBot="1" x14ac:dyDescent="0.3">
      <c r="A18" s="35">
        <v>222</v>
      </c>
      <c r="B18" s="36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655">
        <v>0</v>
      </c>
    </row>
    <row r="19" spans="1:17" x14ac:dyDescent="0.25">
      <c r="A19" s="12">
        <v>223</v>
      </c>
      <c r="B19" s="13" t="s">
        <v>398</v>
      </c>
      <c r="C19" s="16">
        <v>650</v>
      </c>
      <c r="D19" s="16">
        <v>650</v>
      </c>
      <c r="E19" s="16">
        <v>650</v>
      </c>
      <c r="F19" s="16">
        <v>650</v>
      </c>
      <c r="G19" s="16">
        <v>650</v>
      </c>
      <c r="H19" s="16">
        <v>30</v>
      </c>
      <c r="I19" s="655">
        <f t="shared" si="3"/>
        <v>4.6153846153846156E-2</v>
      </c>
    </row>
    <row r="20" spans="1:17" x14ac:dyDescent="0.25">
      <c r="A20" s="17">
        <v>223</v>
      </c>
      <c r="B20" s="18" t="s">
        <v>21</v>
      </c>
      <c r="C20" s="21">
        <f>19000+3000</f>
        <v>22000</v>
      </c>
      <c r="D20" s="21">
        <f>19000+3000</f>
        <v>22000</v>
      </c>
      <c r="E20" s="21">
        <f>19000+3000</f>
        <v>22000</v>
      </c>
      <c r="F20" s="21">
        <f>19000+3000</f>
        <v>22000</v>
      </c>
      <c r="G20" s="21">
        <f>19000+3000</f>
        <v>22000</v>
      </c>
      <c r="H20" s="21">
        <v>4086</v>
      </c>
      <c r="I20" s="655">
        <f t="shared" si="3"/>
        <v>0.18572727272727274</v>
      </c>
    </row>
    <row r="21" spans="1:17" x14ac:dyDescent="0.25">
      <c r="A21" s="17">
        <v>223</v>
      </c>
      <c r="B21" s="18" t="s">
        <v>22</v>
      </c>
      <c r="C21" s="21">
        <v>50</v>
      </c>
      <c r="D21" s="21">
        <v>50</v>
      </c>
      <c r="E21" s="21">
        <v>50</v>
      </c>
      <c r="F21" s="21">
        <v>50</v>
      </c>
      <c r="G21" s="21">
        <v>50</v>
      </c>
      <c r="H21" s="21">
        <v>0</v>
      </c>
      <c r="I21" s="655">
        <f t="shared" si="3"/>
        <v>0</v>
      </c>
    </row>
    <row r="22" spans="1:17" x14ac:dyDescent="0.25">
      <c r="A22" s="17">
        <v>223</v>
      </c>
      <c r="B22" s="18" t="s">
        <v>23</v>
      </c>
      <c r="C22" s="21">
        <v>1500</v>
      </c>
      <c r="D22" s="21">
        <v>1500</v>
      </c>
      <c r="E22" s="21">
        <v>1500</v>
      </c>
      <c r="F22" s="21">
        <v>1500</v>
      </c>
      <c r="G22" s="21">
        <v>1500</v>
      </c>
      <c r="H22" s="21">
        <v>0</v>
      </c>
      <c r="I22" s="655">
        <f t="shared" si="3"/>
        <v>0</v>
      </c>
    </row>
    <row r="23" spans="1:17" x14ac:dyDescent="0.25">
      <c r="A23" s="17">
        <v>223</v>
      </c>
      <c r="B23" s="18" t="s">
        <v>24</v>
      </c>
      <c r="C23" s="21">
        <v>1000</v>
      </c>
      <c r="D23" s="21">
        <v>1000</v>
      </c>
      <c r="E23" s="21">
        <v>1000</v>
      </c>
      <c r="F23" s="21">
        <v>1000</v>
      </c>
      <c r="G23" s="21">
        <v>1000</v>
      </c>
      <c r="H23" s="21">
        <v>114</v>
      </c>
      <c r="I23" s="655">
        <f t="shared" si="3"/>
        <v>0.114</v>
      </c>
    </row>
    <row r="24" spans="1:17" x14ac:dyDescent="0.25">
      <c r="A24" s="17">
        <v>223</v>
      </c>
      <c r="B24" s="18" t="s">
        <v>26</v>
      </c>
      <c r="C24" s="21">
        <v>1000</v>
      </c>
      <c r="D24" s="21">
        <v>1000</v>
      </c>
      <c r="E24" s="21">
        <v>1000</v>
      </c>
      <c r="F24" s="21">
        <v>1000</v>
      </c>
      <c r="G24" s="21">
        <v>1000</v>
      </c>
      <c r="H24" s="21">
        <v>100</v>
      </c>
      <c r="I24" s="655">
        <f t="shared" si="3"/>
        <v>0.1</v>
      </c>
    </row>
    <row r="25" spans="1:17" x14ac:dyDescent="0.25">
      <c r="A25" s="17">
        <v>223</v>
      </c>
      <c r="B25" s="18" t="s">
        <v>27</v>
      </c>
      <c r="C25" s="21">
        <v>40000</v>
      </c>
      <c r="D25" s="21">
        <v>40000</v>
      </c>
      <c r="E25" s="21">
        <v>40000</v>
      </c>
      <c r="F25" s="21">
        <v>40000</v>
      </c>
      <c r="G25" s="21">
        <v>40000</v>
      </c>
      <c r="H25" s="21">
        <v>13683</v>
      </c>
      <c r="I25" s="655">
        <f t="shared" si="3"/>
        <v>0.34207500000000002</v>
      </c>
    </row>
    <row r="26" spans="1:17" x14ac:dyDescent="0.25">
      <c r="A26" s="17">
        <v>223</v>
      </c>
      <c r="B26" s="18" t="s">
        <v>29</v>
      </c>
      <c r="C26" s="21">
        <v>44100</v>
      </c>
      <c r="D26" s="21">
        <v>44100</v>
      </c>
      <c r="E26" s="21">
        <v>44100</v>
      </c>
      <c r="F26" s="21">
        <v>44100</v>
      </c>
      <c r="G26" s="21">
        <v>44100</v>
      </c>
      <c r="H26" s="21">
        <v>9111</v>
      </c>
      <c r="I26" s="655">
        <f t="shared" si="3"/>
        <v>0.2065986394557823</v>
      </c>
    </row>
    <row r="27" spans="1:17" x14ac:dyDescent="0.25">
      <c r="A27" s="17">
        <v>223</v>
      </c>
      <c r="B27" s="18" t="s">
        <v>30</v>
      </c>
      <c r="C27" s="21">
        <v>60</v>
      </c>
      <c r="D27" s="21">
        <v>60</v>
      </c>
      <c r="E27" s="21">
        <v>60</v>
      </c>
      <c r="F27" s="21">
        <v>60</v>
      </c>
      <c r="G27" s="21">
        <v>60</v>
      </c>
      <c r="H27" s="21">
        <v>4</v>
      </c>
      <c r="I27" s="655">
        <f t="shared" si="3"/>
        <v>6.6666666666666666E-2</v>
      </c>
    </row>
    <row r="28" spans="1:17" x14ac:dyDescent="0.25">
      <c r="A28" s="17">
        <v>223</v>
      </c>
      <c r="B28" s="18" t="s">
        <v>32</v>
      </c>
      <c r="C28" s="21">
        <v>2100</v>
      </c>
      <c r="D28" s="21">
        <v>2100</v>
      </c>
      <c r="E28" s="21">
        <v>2100</v>
      </c>
      <c r="F28" s="21">
        <v>2100</v>
      </c>
      <c r="G28" s="21">
        <v>2100</v>
      </c>
      <c r="H28" s="21">
        <v>522</v>
      </c>
      <c r="I28" s="655">
        <f t="shared" si="3"/>
        <v>0.24857142857142858</v>
      </c>
    </row>
    <row r="29" spans="1:17" x14ac:dyDescent="0.25">
      <c r="A29" s="17">
        <v>223</v>
      </c>
      <c r="B29" s="18" t="s">
        <v>271</v>
      </c>
      <c r="C29" s="21">
        <v>2000</v>
      </c>
      <c r="D29" s="21">
        <v>2000</v>
      </c>
      <c r="E29" s="21">
        <v>2000</v>
      </c>
      <c r="F29" s="21">
        <v>2000</v>
      </c>
      <c r="G29" s="21">
        <v>2000</v>
      </c>
      <c r="H29" s="21">
        <v>450</v>
      </c>
      <c r="I29" s="655">
        <f t="shared" si="3"/>
        <v>0.22500000000000001</v>
      </c>
    </row>
    <row r="30" spans="1:17" x14ac:dyDescent="0.25">
      <c r="A30" s="43">
        <v>223</v>
      </c>
      <c r="B30" s="44" t="s">
        <v>33</v>
      </c>
      <c r="C30" s="46">
        <v>61000</v>
      </c>
      <c r="D30" s="46">
        <v>61000</v>
      </c>
      <c r="E30" s="46">
        <v>61000</v>
      </c>
      <c r="F30" s="46">
        <v>61000</v>
      </c>
      <c r="G30" s="46">
        <v>61000</v>
      </c>
      <c r="H30" s="46">
        <v>12597</v>
      </c>
      <c r="I30" s="655">
        <f t="shared" si="3"/>
        <v>0.20650819672131149</v>
      </c>
    </row>
    <row r="31" spans="1:17" ht="15.75" thickBot="1" x14ac:dyDescent="0.3">
      <c r="A31" s="22">
        <v>223</v>
      </c>
      <c r="B31" s="23" t="s">
        <v>34</v>
      </c>
      <c r="C31" s="48">
        <v>100</v>
      </c>
      <c r="D31" s="48">
        <v>100</v>
      </c>
      <c r="E31" s="48">
        <v>100</v>
      </c>
      <c r="F31" s="48">
        <v>100</v>
      </c>
      <c r="G31" s="48">
        <v>100</v>
      </c>
      <c r="H31" s="48">
        <v>0</v>
      </c>
      <c r="I31" s="655">
        <f t="shared" si="3"/>
        <v>0</v>
      </c>
      <c r="J31" s="27">
        <f>SUM(C19:C31)</f>
        <v>175560</v>
      </c>
      <c r="K31" s="27">
        <f t="shared" ref="K31:L31" si="7">SUM(G19:G31)</f>
        <v>175560</v>
      </c>
      <c r="L31" s="27">
        <f t="shared" si="7"/>
        <v>40697</v>
      </c>
      <c r="P31" s="464"/>
      <c r="Q31" s="464"/>
    </row>
    <row r="32" spans="1:17" ht="15.75" thickBot="1" x14ac:dyDescent="0.3">
      <c r="A32" s="528" t="s">
        <v>35</v>
      </c>
      <c r="B32" s="529"/>
      <c r="C32" s="2">
        <f t="shared" ref="C32:H32" si="8">SUM(C33)</f>
        <v>50</v>
      </c>
      <c r="D32" s="2">
        <f t="shared" si="8"/>
        <v>50</v>
      </c>
      <c r="E32" s="2">
        <f t="shared" si="8"/>
        <v>50</v>
      </c>
      <c r="F32" s="2">
        <f t="shared" si="8"/>
        <v>50</v>
      </c>
      <c r="G32" s="2">
        <f t="shared" si="8"/>
        <v>50</v>
      </c>
      <c r="H32" s="2">
        <f t="shared" si="8"/>
        <v>2</v>
      </c>
      <c r="I32" s="655">
        <f t="shared" si="3"/>
        <v>0.04</v>
      </c>
    </row>
    <row r="33" spans="1:10" ht="15.75" thickBot="1" x14ac:dyDescent="0.3">
      <c r="A33" s="51">
        <v>240</v>
      </c>
      <c r="B33" s="47" t="s">
        <v>36</v>
      </c>
      <c r="C33" s="38">
        <v>50</v>
      </c>
      <c r="D33" s="38">
        <v>50</v>
      </c>
      <c r="E33" s="38">
        <v>50</v>
      </c>
      <c r="F33" s="38">
        <v>50</v>
      </c>
      <c r="G33" s="38">
        <v>50</v>
      </c>
      <c r="H33" s="38">
        <v>2</v>
      </c>
      <c r="I33" s="655">
        <f t="shared" si="3"/>
        <v>0.04</v>
      </c>
    </row>
    <row r="34" spans="1:10" ht="15.75" thickBot="1" x14ac:dyDescent="0.3">
      <c r="A34" s="528" t="s">
        <v>37</v>
      </c>
      <c r="B34" s="529"/>
      <c r="C34" s="355">
        <f>SUM(C35:C40)</f>
        <v>47400</v>
      </c>
      <c r="D34" s="355">
        <f>SUM(D35:D40)</f>
        <v>47400</v>
      </c>
      <c r="E34" s="355">
        <f t="shared" ref="E34:H34" si="9">SUM(E35:E40)</f>
        <v>47405</v>
      </c>
      <c r="F34" s="355">
        <f t="shared" ref="F34" si="10">SUM(F35:F40)</f>
        <v>47405</v>
      </c>
      <c r="G34" s="355">
        <f t="shared" si="9"/>
        <v>47405</v>
      </c>
      <c r="H34" s="355">
        <f t="shared" si="9"/>
        <v>7578</v>
      </c>
      <c r="I34" s="655">
        <f t="shared" si="3"/>
        <v>0.15985655521569456</v>
      </c>
    </row>
    <row r="35" spans="1:10" x14ac:dyDescent="0.25">
      <c r="A35" s="52">
        <v>292</v>
      </c>
      <c r="B35" s="53" t="s">
        <v>38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655">
        <v>0</v>
      </c>
    </row>
    <row r="36" spans="1:10" x14ac:dyDescent="0.25">
      <c r="A36" s="52">
        <v>292</v>
      </c>
      <c r="B36" s="53" t="s">
        <v>39</v>
      </c>
      <c r="C36" s="55">
        <v>300</v>
      </c>
      <c r="D36" s="55">
        <v>300</v>
      </c>
      <c r="E36" s="55">
        <v>300</v>
      </c>
      <c r="F36" s="55">
        <v>300</v>
      </c>
      <c r="G36" s="55">
        <v>300</v>
      </c>
      <c r="H36" s="55">
        <v>22</v>
      </c>
      <c r="I36" s="655">
        <f t="shared" si="3"/>
        <v>7.3333333333333334E-2</v>
      </c>
    </row>
    <row r="37" spans="1:10" x14ac:dyDescent="0.25">
      <c r="A37" s="57">
        <v>292</v>
      </c>
      <c r="B37" s="58" t="s">
        <v>40</v>
      </c>
      <c r="C37" s="61">
        <v>5000</v>
      </c>
      <c r="D37" s="61">
        <v>5000</v>
      </c>
      <c r="E37" s="61">
        <v>5000</v>
      </c>
      <c r="F37" s="61">
        <v>5000</v>
      </c>
      <c r="G37" s="61">
        <v>5000</v>
      </c>
      <c r="H37" s="61">
        <v>414</v>
      </c>
      <c r="I37" s="655">
        <f t="shared" si="3"/>
        <v>8.2799999999999999E-2</v>
      </c>
    </row>
    <row r="38" spans="1:10" x14ac:dyDescent="0.25">
      <c r="A38" s="57">
        <v>292</v>
      </c>
      <c r="B38" s="58" t="s">
        <v>41</v>
      </c>
      <c r="C38" s="60">
        <v>500</v>
      </c>
      <c r="D38" s="60">
        <v>500</v>
      </c>
      <c r="E38" s="60">
        <v>500</v>
      </c>
      <c r="F38" s="60">
        <v>500</v>
      </c>
      <c r="G38" s="60">
        <v>500</v>
      </c>
      <c r="H38" s="60">
        <v>6</v>
      </c>
      <c r="I38" s="655">
        <f t="shared" si="3"/>
        <v>1.2E-2</v>
      </c>
    </row>
    <row r="39" spans="1:10" x14ac:dyDescent="0.25">
      <c r="A39" s="57">
        <v>292</v>
      </c>
      <c r="B39" s="18" t="s">
        <v>42</v>
      </c>
      <c r="C39" s="64">
        <v>310</v>
      </c>
      <c r="D39" s="64">
        <v>310</v>
      </c>
      <c r="E39" s="619">
        <f>310+5</f>
        <v>315</v>
      </c>
      <c r="F39" s="64">
        <f>310+5</f>
        <v>315</v>
      </c>
      <c r="G39" s="64">
        <f>310+5</f>
        <v>315</v>
      </c>
      <c r="H39" s="64">
        <v>0</v>
      </c>
      <c r="I39" s="655">
        <f t="shared" si="3"/>
        <v>0</v>
      </c>
    </row>
    <row r="40" spans="1:10" ht="15.75" thickBot="1" x14ac:dyDescent="0.3">
      <c r="A40" s="57">
        <v>292</v>
      </c>
      <c r="B40" s="58" t="s">
        <v>221</v>
      </c>
      <c r="C40" s="60">
        <f>41600-C39</f>
        <v>41290</v>
      </c>
      <c r="D40" s="60">
        <f>41600-D39</f>
        <v>41290</v>
      </c>
      <c r="E40" s="60">
        <f>41290</f>
        <v>41290</v>
      </c>
      <c r="F40" s="60">
        <f>41290</f>
        <v>41290</v>
      </c>
      <c r="G40" s="60">
        <v>41290</v>
      </c>
      <c r="H40" s="60">
        <v>7136</v>
      </c>
      <c r="I40" s="655">
        <f t="shared" si="3"/>
        <v>0.17282635020586098</v>
      </c>
    </row>
    <row r="41" spans="1:10" ht="15.75" thickBot="1" x14ac:dyDescent="0.3">
      <c r="A41" s="65" t="s">
        <v>44</v>
      </c>
      <c r="B41" s="359"/>
      <c r="C41" s="355">
        <f>SUM(C42:C65)</f>
        <v>686340</v>
      </c>
      <c r="D41" s="355">
        <f>SUM(D42:D65)</f>
        <v>686340</v>
      </c>
      <c r="E41" s="355">
        <f>SUM(E42:E65)</f>
        <v>712565</v>
      </c>
      <c r="F41" s="355">
        <f>SUM(F42:F65)</f>
        <v>718965</v>
      </c>
      <c r="G41" s="355">
        <f>SUM(G42:G65)</f>
        <v>724965</v>
      </c>
      <c r="H41" s="355">
        <f t="shared" ref="H41" si="11">SUM(H42:H65)</f>
        <v>182398</v>
      </c>
      <c r="I41" s="655">
        <f t="shared" si="3"/>
        <v>0.25159559427006822</v>
      </c>
      <c r="J41" s="464"/>
    </row>
    <row r="42" spans="1:10" x14ac:dyDescent="0.25">
      <c r="A42" s="67">
        <v>311</v>
      </c>
      <c r="B42" s="360" t="s">
        <v>45</v>
      </c>
      <c r="C42" s="68">
        <v>0</v>
      </c>
      <c r="D42" s="68">
        <v>0</v>
      </c>
      <c r="E42" s="68">
        <v>0</v>
      </c>
      <c r="F42" s="696">
        <v>5000</v>
      </c>
      <c r="G42" s="68">
        <f>5000</f>
        <v>5000</v>
      </c>
      <c r="H42" s="68">
        <v>0</v>
      </c>
      <c r="I42" s="655">
        <v>0</v>
      </c>
    </row>
    <row r="43" spans="1:10" x14ac:dyDescent="0.25">
      <c r="A43" s="71">
        <v>312</v>
      </c>
      <c r="B43" s="76" t="s">
        <v>252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655">
        <v>0</v>
      </c>
    </row>
    <row r="44" spans="1:10" x14ac:dyDescent="0.25">
      <c r="A44" s="67">
        <v>312</v>
      </c>
      <c r="B44" s="360" t="s">
        <v>279</v>
      </c>
      <c r="C44" s="68">
        <v>4000</v>
      </c>
      <c r="D44" s="68">
        <v>4000</v>
      </c>
      <c r="E44" s="68">
        <v>4000</v>
      </c>
      <c r="F44" s="68">
        <v>4000</v>
      </c>
      <c r="G44" s="68">
        <v>4000</v>
      </c>
      <c r="H44" s="68">
        <v>0</v>
      </c>
      <c r="I44" s="655">
        <f t="shared" si="3"/>
        <v>0</v>
      </c>
    </row>
    <row r="45" spans="1:10" x14ac:dyDescent="0.25">
      <c r="A45" s="67">
        <v>312</v>
      </c>
      <c r="B45" s="360" t="s">
        <v>272</v>
      </c>
      <c r="C45" s="70">
        <v>4750</v>
      </c>
      <c r="D45" s="70">
        <v>4750</v>
      </c>
      <c r="E45" s="70">
        <v>4750</v>
      </c>
      <c r="F45" s="70">
        <v>4750</v>
      </c>
      <c r="G45" s="70">
        <v>4750</v>
      </c>
      <c r="H45" s="70">
        <v>0</v>
      </c>
      <c r="I45" s="655">
        <f t="shared" si="3"/>
        <v>0</v>
      </c>
    </row>
    <row r="46" spans="1:10" x14ac:dyDescent="0.25">
      <c r="A46" s="69">
        <v>312</v>
      </c>
      <c r="B46" s="450" t="s">
        <v>273</v>
      </c>
      <c r="C46" s="70">
        <v>2000</v>
      </c>
      <c r="D46" s="70">
        <v>2000</v>
      </c>
      <c r="E46" s="70">
        <v>2000</v>
      </c>
      <c r="F46" s="70">
        <v>2000</v>
      </c>
      <c r="G46" s="70">
        <v>2000</v>
      </c>
      <c r="H46" s="70">
        <v>4635</v>
      </c>
      <c r="I46" s="655">
        <f t="shared" si="3"/>
        <v>2.3174999999999999</v>
      </c>
    </row>
    <row r="47" spans="1:10" x14ac:dyDescent="0.25">
      <c r="A47" s="71">
        <v>312</v>
      </c>
      <c r="B47" s="353" t="s">
        <v>231</v>
      </c>
      <c r="C47" s="16">
        <v>7900</v>
      </c>
      <c r="D47" s="16">
        <v>7900</v>
      </c>
      <c r="E47" s="16">
        <v>7900</v>
      </c>
      <c r="F47" s="16">
        <v>7900</v>
      </c>
      <c r="G47" s="16">
        <v>7900</v>
      </c>
      <c r="H47" s="16">
        <v>100</v>
      </c>
      <c r="I47" s="655">
        <f t="shared" si="3"/>
        <v>1.2658227848101266E-2</v>
      </c>
    </row>
    <row r="48" spans="1:10" x14ac:dyDescent="0.25">
      <c r="A48" s="71">
        <v>312</v>
      </c>
      <c r="B48" s="353" t="s">
        <v>232</v>
      </c>
      <c r="C48" s="16">
        <v>150</v>
      </c>
      <c r="D48" s="16">
        <v>150</v>
      </c>
      <c r="E48" s="16">
        <v>150</v>
      </c>
      <c r="F48" s="16">
        <v>150</v>
      </c>
      <c r="G48" s="16">
        <v>150</v>
      </c>
      <c r="H48" s="16">
        <v>0</v>
      </c>
      <c r="I48" s="655">
        <f t="shared" si="3"/>
        <v>0</v>
      </c>
    </row>
    <row r="49" spans="1:10" x14ac:dyDescent="0.25">
      <c r="A49" s="71">
        <v>312</v>
      </c>
      <c r="B49" s="118" t="s">
        <v>51</v>
      </c>
      <c r="C49" s="73">
        <v>2950</v>
      </c>
      <c r="D49" s="73">
        <v>2950</v>
      </c>
      <c r="E49" s="73">
        <v>2950</v>
      </c>
      <c r="F49" s="73">
        <v>2950</v>
      </c>
      <c r="G49" s="73">
        <v>2950</v>
      </c>
      <c r="H49" s="73">
        <v>0</v>
      </c>
      <c r="I49" s="655">
        <f t="shared" si="3"/>
        <v>0</v>
      </c>
    </row>
    <row r="50" spans="1:10" x14ac:dyDescent="0.25">
      <c r="A50" s="71">
        <v>312</v>
      </c>
      <c r="B50" s="76" t="s">
        <v>480</v>
      </c>
      <c r="C50" s="73">
        <v>0</v>
      </c>
      <c r="D50" s="73">
        <v>0</v>
      </c>
      <c r="E50" s="73">
        <v>0</v>
      </c>
      <c r="F50" s="73">
        <v>0</v>
      </c>
      <c r="G50" s="697">
        <f>6000</f>
        <v>6000</v>
      </c>
      <c r="H50" s="73">
        <v>0</v>
      </c>
      <c r="I50" s="655">
        <v>0</v>
      </c>
    </row>
    <row r="51" spans="1:10" ht="15.75" thickBot="1" x14ac:dyDescent="0.3">
      <c r="A51" s="74">
        <v>312</v>
      </c>
      <c r="B51" s="82" t="s">
        <v>54</v>
      </c>
      <c r="C51" s="75">
        <v>40</v>
      </c>
      <c r="D51" s="75">
        <v>40</v>
      </c>
      <c r="E51" s="75">
        <v>40</v>
      </c>
      <c r="F51" s="75">
        <v>40</v>
      </c>
      <c r="G51" s="75">
        <v>40</v>
      </c>
      <c r="H51" s="75">
        <v>37</v>
      </c>
      <c r="I51" s="655">
        <f t="shared" si="3"/>
        <v>0.92500000000000004</v>
      </c>
    </row>
    <row r="52" spans="1:10" ht="15.75" thickBot="1" x14ac:dyDescent="0.3">
      <c r="A52" s="349">
        <v>312</v>
      </c>
      <c r="B52" s="361" t="s">
        <v>399</v>
      </c>
      <c r="C52" s="350">
        <v>4100</v>
      </c>
      <c r="D52" s="350">
        <v>4100</v>
      </c>
      <c r="E52" s="350">
        <v>4100</v>
      </c>
      <c r="F52" s="350">
        <v>4100</v>
      </c>
      <c r="G52" s="350">
        <v>4100</v>
      </c>
      <c r="H52" s="350">
        <v>0</v>
      </c>
      <c r="I52" s="655">
        <f t="shared" si="3"/>
        <v>0</v>
      </c>
    </row>
    <row r="53" spans="1:10" x14ac:dyDescent="0.25">
      <c r="A53" s="71">
        <v>312</v>
      </c>
      <c r="B53" s="85" t="s">
        <v>55</v>
      </c>
      <c r="C53" s="16">
        <v>19100</v>
      </c>
      <c r="D53" s="16">
        <v>19100</v>
      </c>
      <c r="E53" s="16">
        <v>19100</v>
      </c>
      <c r="F53" s="16">
        <v>19100</v>
      </c>
      <c r="G53" s="16">
        <v>19100</v>
      </c>
      <c r="H53" s="16">
        <v>4901</v>
      </c>
      <c r="I53" s="655">
        <f t="shared" si="3"/>
        <v>0.25659685863874343</v>
      </c>
    </row>
    <row r="54" spans="1:10" x14ac:dyDescent="0.25">
      <c r="A54" s="71">
        <v>312</v>
      </c>
      <c r="B54" s="118" t="s">
        <v>56</v>
      </c>
      <c r="C54" s="16">
        <v>11000</v>
      </c>
      <c r="D54" s="16">
        <v>11000</v>
      </c>
      <c r="E54" s="16">
        <v>11000</v>
      </c>
      <c r="F54" s="16">
        <v>11000</v>
      </c>
      <c r="G54" s="16">
        <v>11000</v>
      </c>
      <c r="H54" s="16">
        <v>2750</v>
      </c>
      <c r="I54" s="655">
        <f t="shared" si="3"/>
        <v>0.25</v>
      </c>
    </row>
    <row r="55" spans="1:10" ht="15.75" thickBot="1" x14ac:dyDescent="0.3">
      <c r="A55" s="77">
        <v>312</v>
      </c>
      <c r="B55" s="165" t="s">
        <v>57</v>
      </c>
      <c r="C55" s="79">
        <v>8600</v>
      </c>
      <c r="D55" s="79">
        <v>8600</v>
      </c>
      <c r="E55" s="79">
        <v>8600</v>
      </c>
      <c r="F55" s="79">
        <v>8600</v>
      </c>
      <c r="G55" s="79">
        <v>8600</v>
      </c>
      <c r="H55" s="79">
        <v>1400</v>
      </c>
      <c r="I55" s="655">
        <f t="shared" si="3"/>
        <v>0.16279069767441862</v>
      </c>
      <c r="J55" s="464"/>
    </row>
    <row r="56" spans="1:10" ht="15.75" thickBot="1" x14ac:dyDescent="0.3">
      <c r="A56" s="74">
        <v>312</v>
      </c>
      <c r="B56" s="82" t="s">
        <v>60</v>
      </c>
      <c r="C56" s="75">
        <v>0</v>
      </c>
      <c r="D56" s="75">
        <v>0</v>
      </c>
      <c r="E56" s="633">
        <f>2000</f>
        <v>2000</v>
      </c>
      <c r="F56" s="75">
        <f>2000</f>
        <v>2000</v>
      </c>
      <c r="G56" s="75">
        <f>2000</f>
        <v>2000</v>
      </c>
      <c r="H56" s="75">
        <v>2000</v>
      </c>
      <c r="I56" s="655">
        <f t="shared" si="3"/>
        <v>1</v>
      </c>
    </row>
    <row r="57" spans="1:10" x14ac:dyDescent="0.25">
      <c r="A57" s="71">
        <v>312</v>
      </c>
      <c r="B57" s="352" t="s">
        <v>61</v>
      </c>
      <c r="C57" s="83">
        <v>5000</v>
      </c>
      <c r="D57" s="83">
        <v>5000</v>
      </c>
      <c r="E57" s="83">
        <v>5000</v>
      </c>
      <c r="F57" s="83">
        <v>5000</v>
      </c>
      <c r="G57" s="83">
        <v>5000</v>
      </c>
      <c r="H57" s="83">
        <v>4838</v>
      </c>
      <c r="I57" s="655">
        <f t="shared" si="3"/>
        <v>0.96760000000000002</v>
      </c>
    </row>
    <row r="58" spans="1:10" x14ac:dyDescent="0.25">
      <c r="A58" s="84">
        <v>312</v>
      </c>
      <c r="B58" s="362" t="s">
        <v>62</v>
      </c>
      <c r="C58" s="21">
        <v>3700</v>
      </c>
      <c r="D58" s="21">
        <v>3700</v>
      </c>
      <c r="E58" s="21">
        <v>3700</v>
      </c>
      <c r="F58" s="21">
        <v>3700</v>
      </c>
      <c r="G58" s="21">
        <v>3700</v>
      </c>
      <c r="H58" s="21">
        <v>0</v>
      </c>
      <c r="I58" s="655">
        <f t="shared" si="3"/>
        <v>0</v>
      </c>
    </row>
    <row r="59" spans="1:10" x14ac:dyDescent="0.25">
      <c r="A59" s="84">
        <v>312</v>
      </c>
      <c r="B59" s="363" t="s">
        <v>320</v>
      </c>
      <c r="C59" s="33">
        <v>3000</v>
      </c>
      <c r="D59" s="33">
        <v>3000</v>
      </c>
      <c r="E59" s="651">
        <f>3000+2406</f>
        <v>5406</v>
      </c>
      <c r="F59" s="33">
        <f>3000+2406</f>
        <v>5406</v>
      </c>
      <c r="G59" s="33">
        <f>3000+2406</f>
        <v>5406</v>
      </c>
      <c r="H59" s="33">
        <v>5406</v>
      </c>
      <c r="I59" s="655">
        <f t="shared" si="3"/>
        <v>1</v>
      </c>
    </row>
    <row r="60" spans="1:10" x14ac:dyDescent="0.25">
      <c r="A60" s="71">
        <v>312</v>
      </c>
      <c r="B60" s="118" t="s">
        <v>400</v>
      </c>
      <c r="C60" s="16">
        <f>89800-64300</f>
        <v>25500</v>
      </c>
      <c r="D60" s="16">
        <f>89800-64300</f>
        <v>25500</v>
      </c>
      <c r="E60" s="16">
        <f>89800-64300</f>
        <v>25500</v>
      </c>
      <c r="F60" s="16">
        <f>89800-64300</f>
        <v>25500</v>
      </c>
      <c r="G60" s="16">
        <f>89800-64300</f>
        <v>25500</v>
      </c>
      <c r="H60" s="16">
        <v>0</v>
      </c>
      <c r="I60" s="655">
        <f t="shared" si="3"/>
        <v>0</v>
      </c>
    </row>
    <row r="61" spans="1:10" ht="15.75" thickBot="1" x14ac:dyDescent="0.3">
      <c r="A61" s="77">
        <v>312</v>
      </c>
      <c r="B61" s="165" t="s">
        <v>64</v>
      </c>
      <c r="C61" s="79">
        <v>46400</v>
      </c>
      <c r="D61" s="79">
        <v>46400</v>
      </c>
      <c r="E61" s="79">
        <v>46400</v>
      </c>
      <c r="F61" s="79">
        <v>46400</v>
      </c>
      <c r="G61" s="79">
        <v>46400</v>
      </c>
      <c r="H61" s="79">
        <v>11682</v>
      </c>
      <c r="I61" s="655">
        <f t="shared" si="3"/>
        <v>0.25176724137931034</v>
      </c>
    </row>
    <row r="62" spans="1:10" x14ac:dyDescent="0.25">
      <c r="A62" s="71">
        <v>315</v>
      </c>
      <c r="B62" s="76" t="s">
        <v>59</v>
      </c>
      <c r="C62" s="16">
        <v>3000</v>
      </c>
      <c r="D62" s="16">
        <v>3000</v>
      </c>
      <c r="E62" s="16">
        <v>3000</v>
      </c>
      <c r="F62" s="16">
        <v>3000</v>
      </c>
      <c r="G62" s="16">
        <v>3000</v>
      </c>
      <c r="H62" s="16">
        <v>0</v>
      </c>
      <c r="I62" s="655">
        <f t="shared" si="3"/>
        <v>0</v>
      </c>
    </row>
    <row r="63" spans="1:10" ht="15.75" thickBot="1" x14ac:dyDescent="0.3">
      <c r="A63" s="77">
        <v>315</v>
      </c>
      <c r="B63" s="78" t="s">
        <v>319</v>
      </c>
      <c r="C63" s="79">
        <v>200</v>
      </c>
      <c r="D63" s="79">
        <v>200</v>
      </c>
      <c r="E63" s="79">
        <v>200</v>
      </c>
      <c r="F63" s="79">
        <v>200</v>
      </c>
      <c r="G63" s="79">
        <v>200</v>
      </c>
      <c r="H63" s="79">
        <v>0</v>
      </c>
      <c r="I63" s="655">
        <f t="shared" si="3"/>
        <v>0</v>
      </c>
    </row>
    <row r="64" spans="1:10" ht="15.75" x14ac:dyDescent="0.25">
      <c r="A64" s="521">
        <v>312</v>
      </c>
      <c r="B64" s="522" t="s">
        <v>254</v>
      </c>
      <c r="C64" s="526">
        <v>0</v>
      </c>
      <c r="D64" s="526">
        <v>0</v>
      </c>
      <c r="E64" s="526">
        <v>0</v>
      </c>
      <c r="F64" s="526">
        <v>0</v>
      </c>
      <c r="G64" s="526">
        <v>0</v>
      </c>
      <c r="H64" s="526">
        <v>0</v>
      </c>
      <c r="I64" s="655">
        <v>0</v>
      </c>
    </row>
    <row r="65" spans="1:16" ht="16.5" thickBot="1" x14ac:dyDescent="0.3">
      <c r="A65" s="86">
        <v>312</v>
      </c>
      <c r="B65" s="87" t="s">
        <v>65</v>
      </c>
      <c r="C65" s="88">
        <v>534950</v>
      </c>
      <c r="D65" s="88">
        <v>534950</v>
      </c>
      <c r="E65" s="620">
        <f>534950+21819</f>
        <v>556769</v>
      </c>
      <c r="F65" s="620">
        <f>534950+21819+1400</f>
        <v>558169</v>
      </c>
      <c r="G65" s="695">
        <f>534950+21819+1400</f>
        <v>558169</v>
      </c>
      <c r="H65" s="88">
        <v>144649</v>
      </c>
      <c r="I65" s="655">
        <f t="shared" si="3"/>
        <v>0.2591491107531948</v>
      </c>
      <c r="J65" s="464">
        <f>D65-C65</f>
        <v>0</v>
      </c>
      <c r="K65" s="464">
        <f t="shared" ref="K65:M73" si="12">E65-D65</f>
        <v>21819</v>
      </c>
      <c r="L65" s="464">
        <f t="shared" si="12"/>
        <v>1400</v>
      </c>
      <c r="M65" s="464">
        <f t="shared" si="12"/>
        <v>0</v>
      </c>
    </row>
    <row r="66" spans="1:16" ht="16.5" thickBot="1" x14ac:dyDescent="0.3">
      <c r="A66" s="89" t="s">
        <v>66</v>
      </c>
      <c r="B66" s="364"/>
      <c r="C66" s="90">
        <f t="shared" ref="C66:H66" si="13">SUM(C3+C11+C32+C34+C41)</f>
        <v>2231928</v>
      </c>
      <c r="D66" s="90">
        <f t="shared" si="13"/>
        <v>2231928</v>
      </c>
      <c r="E66" s="90">
        <f t="shared" si="13"/>
        <v>2258158</v>
      </c>
      <c r="F66" s="90">
        <f t="shared" si="13"/>
        <v>2264558</v>
      </c>
      <c r="G66" s="90">
        <f t="shared" si="13"/>
        <v>2270558</v>
      </c>
      <c r="H66" s="90">
        <f t="shared" si="13"/>
        <v>620938</v>
      </c>
      <c r="I66" s="655">
        <f t="shared" si="3"/>
        <v>0.2734737452203379</v>
      </c>
      <c r="J66" s="464">
        <f t="shared" ref="J66:J73" si="14">D66-C66</f>
        <v>0</v>
      </c>
      <c r="K66" s="464">
        <f t="shared" si="12"/>
        <v>26230</v>
      </c>
      <c r="L66" s="464">
        <f t="shared" si="12"/>
        <v>6400</v>
      </c>
      <c r="M66" s="464">
        <f t="shared" si="12"/>
        <v>6000</v>
      </c>
    </row>
    <row r="67" spans="1:16" x14ac:dyDescent="0.25">
      <c r="A67" s="91" t="s">
        <v>67</v>
      </c>
      <c r="B67" s="92" t="s">
        <v>68</v>
      </c>
      <c r="C67" s="93">
        <v>2450</v>
      </c>
      <c r="D67" s="93">
        <v>2450</v>
      </c>
      <c r="E67" s="93">
        <v>2450</v>
      </c>
      <c r="F67" s="93">
        <v>2450</v>
      </c>
      <c r="G67" s="93">
        <v>2450</v>
      </c>
      <c r="H67" s="93">
        <v>0</v>
      </c>
      <c r="I67" s="655">
        <f t="shared" si="3"/>
        <v>0</v>
      </c>
      <c r="J67" s="464">
        <f t="shared" si="14"/>
        <v>0</v>
      </c>
      <c r="K67" s="464">
        <f t="shared" si="12"/>
        <v>0</v>
      </c>
      <c r="L67" s="464">
        <f t="shared" si="12"/>
        <v>0</v>
      </c>
      <c r="M67" s="464">
        <f t="shared" si="12"/>
        <v>0</v>
      </c>
    </row>
    <row r="68" spans="1:16" ht="15.75" thickBot="1" x14ac:dyDescent="0.3">
      <c r="A68" s="94" t="s">
        <v>67</v>
      </c>
      <c r="B68" s="92" t="s">
        <v>69</v>
      </c>
      <c r="C68" s="95">
        <v>2000</v>
      </c>
      <c r="D68" s="95">
        <v>2000</v>
      </c>
      <c r="E68" s="95">
        <v>2000</v>
      </c>
      <c r="F68" s="95">
        <v>2000</v>
      </c>
      <c r="G68" s="95">
        <v>2000</v>
      </c>
      <c r="H68" s="95">
        <v>456</v>
      </c>
      <c r="I68" s="655">
        <f t="shared" ref="I68:I131" si="15">H68/G68</f>
        <v>0.22800000000000001</v>
      </c>
      <c r="J68" s="464">
        <f t="shared" si="14"/>
        <v>0</v>
      </c>
      <c r="K68" s="464">
        <f t="shared" si="12"/>
        <v>0</v>
      </c>
      <c r="L68" s="464">
        <f t="shared" si="12"/>
        <v>0</v>
      </c>
      <c r="M68" s="464">
        <f t="shared" si="12"/>
        <v>0</v>
      </c>
      <c r="N68" s="464"/>
      <c r="O68" s="464"/>
      <c r="P68" s="464"/>
    </row>
    <row r="69" spans="1:16" ht="15.75" thickBot="1" x14ac:dyDescent="0.3">
      <c r="A69" s="813" t="s">
        <v>71</v>
      </c>
      <c r="B69" s="814"/>
      <c r="C69" s="99">
        <f t="shared" ref="C69:H69" si="16">SUM(C67:C68)</f>
        <v>4450</v>
      </c>
      <c r="D69" s="99">
        <f t="shared" si="16"/>
        <v>4450</v>
      </c>
      <c r="E69" s="99">
        <f t="shared" si="16"/>
        <v>4450</v>
      </c>
      <c r="F69" s="99">
        <f t="shared" si="16"/>
        <v>4450</v>
      </c>
      <c r="G69" s="99">
        <f t="shared" si="16"/>
        <v>4450</v>
      </c>
      <c r="H69" s="99">
        <f t="shared" si="16"/>
        <v>456</v>
      </c>
      <c r="I69" s="655">
        <f t="shared" si="15"/>
        <v>0.10247191011235955</v>
      </c>
      <c r="J69" s="464">
        <f t="shared" si="14"/>
        <v>0</v>
      </c>
      <c r="K69" s="464">
        <f t="shared" si="12"/>
        <v>0</v>
      </c>
      <c r="L69" s="464">
        <f t="shared" si="12"/>
        <v>0</v>
      </c>
      <c r="M69" s="464">
        <f t="shared" si="12"/>
        <v>0</v>
      </c>
    </row>
    <row r="70" spans="1:16" ht="15.75" thickBot="1" x14ac:dyDescent="0.3">
      <c r="A70" s="100" t="s">
        <v>67</v>
      </c>
      <c r="B70" s="101" t="s">
        <v>72</v>
      </c>
      <c r="C70" s="455">
        <v>11470</v>
      </c>
      <c r="D70" s="455">
        <v>11470</v>
      </c>
      <c r="E70" s="455">
        <v>11470</v>
      </c>
      <c r="F70" s="455">
        <v>11470</v>
      </c>
      <c r="G70" s="455">
        <v>11470</v>
      </c>
      <c r="H70" s="455">
        <v>4205</v>
      </c>
      <c r="I70" s="655">
        <f t="shared" si="15"/>
        <v>0.36660854402789889</v>
      </c>
      <c r="J70" s="464">
        <f t="shared" si="14"/>
        <v>0</v>
      </c>
      <c r="K70" s="464">
        <f t="shared" si="12"/>
        <v>0</v>
      </c>
      <c r="L70" s="464">
        <f t="shared" si="12"/>
        <v>0</v>
      </c>
      <c r="M70" s="464">
        <f t="shared" si="12"/>
        <v>0</v>
      </c>
    </row>
    <row r="71" spans="1:16" ht="15.75" thickBot="1" x14ac:dyDescent="0.3">
      <c r="A71" s="813" t="s">
        <v>275</v>
      </c>
      <c r="B71" s="814"/>
      <c r="C71" s="451">
        <f t="shared" ref="C71:H71" si="17">SUM(C70:C70)</f>
        <v>11470</v>
      </c>
      <c r="D71" s="451">
        <f t="shared" si="17"/>
        <v>11470</v>
      </c>
      <c r="E71" s="451">
        <f t="shared" si="17"/>
        <v>11470</v>
      </c>
      <c r="F71" s="451">
        <f t="shared" si="17"/>
        <v>11470</v>
      </c>
      <c r="G71" s="451">
        <f t="shared" si="17"/>
        <v>11470</v>
      </c>
      <c r="H71" s="451">
        <f t="shared" si="17"/>
        <v>4205</v>
      </c>
      <c r="I71" s="655">
        <f t="shared" si="15"/>
        <v>0.36660854402789889</v>
      </c>
      <c r="J71" s="464">
        <f t="shared" si="14"/>
        <v>0</v>
      </c>
      <c r="K71" s="464">
        <f t="shared" si="12"/>
        <v>0</v>
      </c>
      <c r="L71" s="464">
        <f t="shared" si="12"/>
        <v>0</v>
      </c>
      <c r="M71" s="464">
        <f t="shared" si="12"/>
        <v>0</v>
      </c>
    </row>
    <row r="72" spans="1:16" ht="16.5" thickBot="1" x14ac:dyDescent="0.3">
      <c r="A72" s="815" t="s">
        <v>73</v>
      </c>
      <c r="B72" s="816"/>
      <c r="C72" s="103">
        <f t="shared" ref="C72:H72" si="18">C69+C71</f>
        <v>15920</v>
      </c>
      <c r="D72" s="103">
        <f t="shared" si="18"/>
        <v>15920</v>
      </c>
      <c r="E72" s="103">
        <f t="shared" si="18"/>
        <v>15920</v>
      </c>
      <c r="F72" s="103">
        <f t="shared" si="18"/>
        <v>15920</v>
      </c>
      <c r="G72" s="103">
        <f t="shared" si="18"/>
        <v>15920</v>
      </c>
      <c r="H72" s="103">
        <f t="shared" si="18"/>
        <v>4661</v>
      </c>
      <c r="I72" s="655">
        <f t="shared" si="15"/>
        <v>0.29277638190954774</v>
      </c>
      <c r="J72" s="464">
        <f t="shared" si="14"/>
        <v>0</v>
      </c>
      <c r="K72" s="464">
        <f t="shared" si="12"/>
        <v>0</v>
      </c>
      <c r="L72" s="464">
        <f t="shared" si="12"/>
        <v>0</v>
      </c>
      <c r="M72" s="464">
        <f t="shared" si="12"/>
        <v>0</v>
      </c>
    </row>
    <row r="73" spans="1:16" ht="16.5" thickBot="1" x14ac:dyDescent="0.3">
      <c r="A73" s="89" t="s">
        <v>74</v>
      </c>
      <c r="B73" s="66"/>
      <c r="C73" s="90">
        <f t="shared" ref="C73:H73" si="19">C66+C72</f>
        <v>2247848</v>
      </c>
      <c r="D73" s="90">
        <f t="shared" si="19"/>
        <v>2247848</v>
      </c>
      <c r="E73" s="90">
        <f t="shared" si="19"/>
        <v>2274078</v>
      </c>
      <c r="F73" s="90">
        <f t="shared" si="19"/>
        <v>2280478</v>
      </c>
      <c r="G73" s="90">
        <f t="shared" si="19"/>
        <v>2286478</v>
      </c>
      <c r="H73" s="90">
        <f t="shared" si="19"/>
        <v>625599</v>
      </c>
      <c r="I73" s="655">
        <f t="shared" si="15"/>
        <v>0.27360814317916027</v>
      </c>
      <c r="J73" s="464">
        <f t="shared" si="14"/>
        <v>0</v>
      </c>
      <c r="K73" s="464">
        <f t="shared" si="12"/>
        <v>26230</v>
      </c>
      <c r="L73" s="464">
        <f t="shared" si="12"/>
        <v>6400</v>
      </c>
      <c r="M73" s="464">
        <f t="shared" si="12"/>
        <v>6000</v>
      </c>
    </row>
    <row r="74" spans="1:16" x14ac:dyDescent="0.25">
      <c r="A74" s="1"/>
      <c r="B74" s="1"/>
      <c r="C74" s="104"/>
      <c r="D74" s="104"/>
      <c r="E74" s="104"/>
      <c r="F74" s="104"/>
      <c r="G74" s="104"/>
      <c r="H74" s="104"/>
      <c r="I74" s="655"/>
    </row>
    <row r="75" spans="1:16" ht="15.75" x14ac:dyDescent="0.25">
      <c r="A75" s="105"/>
      <c r="B75" s="106"/>
      <c r="C75" s="107"/>
      <c r="D75" s="107"/>
      <c r="E75" s="107"/>
      <c r="F75" s="107"/>
      <c r="G75" s="107"/>
      <c r="H75" s="107"/>
      <c r="I75" s="655"/>
    </row>
    <row r="76" spans="1:16" ht="18.75" thickBot="1" x14ac:dyDescent="0.3">
      <c r="A76" s="817" t="s">
        <v>75</v>
      </c>
      <c r="B76" s="818"/>
      <c r="C76" s="818"/>
      <c r="D76" s="818"/>
      <c r="E76" s="818"/>
      <c r="F76" s="818"/>
      <c r="G76" s="818"/>
      <c r="H76" s="818"/>
      <c r="I76" s="655"/>
    </row>
    <row r="77" spans="1:16" ht="41.25" customHeight="1" thickBot="1" x14ac:dyDescent="0.3">
      <c r="A77" s="819" t="s">
        <v>1</v>
      </c>
      <c r="B77" s="820"/>
      <c r="C77" s="416" t="s">
        <v>376</v>
      </c>
      <c r="D77" s="416" t="s">
        <v>509</v>
      </c>
      <c r="E77" s="416" t="s">
        <v>511</v>
      </c>
      <c r="F77" s="416" t="s">
        <v>512</v>
      </c>
      <c r="G77" s="416" t="s">
        <v>377</v>
      </c>
      <c r="H77" s="416" t="s">
        <v>500</v>
      </c>
      <c r="I77" s="655" t="s">
        <v>408</v>
      </c>
    </row>
    <row r="78" spans="1:16" ht="15.75" thickBot="1" x14ac:dyDescent="0.3">
      <c r="A78" s="108" t="s">
        <v>76</v>
      </c>
      <c r="B78" s="109"/>
      <c r="C78" s="112">
        <f t="shared" ref="C78:H78" si="20">SUM(C79:C83)</f>
        <v>290310</v>
      </c>
      <c r="D78" s="112">
        <f t="shared" ref="D78" si="21">SUM(D79:D83)</f>
        <v>290310</v>
      </c>
      <c r="E78" s="112">
        <f t="shared" ref="E78:F78" si="22">SUM(E79:E83)</f>
        <v>290310</v>
      </c>
      <c r="F78" s="112">
        <f t="shared" si="22"/>
        <v>290310</v>
      </c>
      <c r="G78" s="112">
        <f t="shared" ref="G78" si="23">SUM(G79:G83)</f>
        <v>290310</v>
      </c>
      <c r="H78" s="112">
        <f t="shared" si="20"/>
        <v>57050</v>
      </c>
      <c r="I78" s="655">
        <f t="shared" si="15"/>
        <v>0.19651407116530606</v>
      </c>
    </row>
    <row r="79" spans="1:16" x14ac:dyDescent="0.25">
      <c r="A79" s="113" t="s">
        <v>77</v>
      </c>
      <c r="B79" s="85" t="s">
        <v>78</v>
      </c>
      <c r="C79" s="56">
        <f>143650</f>
        <v>143650</v>
      </c>
      <c r="D79" s="56">
        <f>143650</f>
        <v>143650</v>
      </c>
      <c r="E79" s="56">
        <f>143650</f>
        <v>143650</v>
      </c>
      <c r="F79" s="56">
        <f>143650</f>
        <v>143650</v>
      </c>
      <c r="G79" s="56">
        <f>143650</f>
        <v>143650</v>
      </c>
      <c r="H79" s="56">
        <v>20030</v>
      </c>
      <c r="I79" s="655">
        <f t="shared" si="15"/>
        <v>0.13943612948137835</v>
      </c>
    </row>
    <row r="80" spans="1:16" x14ac:dyDescent="0.25">
      <c r="A80" s="117" t="s">
        <v>79</v>
      </c>
      <c r="B80" s="118" t="s">
        <v>80</v>
      </c>
      <c r="C80" s="61">
        <v>83740</v>
      </c>
      <c r="D80" s="61">
        <v>83740</v>
      </c>
      <c r="E80" s="61">
        <v>83740</v>
      </c>
      <c r="F80" s="61">
        <v>83740</v>
      </c>
      <c r="G80" s="61">
        <v>83740</v>
      </c>
      <c r="H80" s="61">
        <v>21150</v>
      </c>
      <c r="I80" s="655">
        <f t="shared" si="15"/>
        <v>0.25256747074277525</v>
      </c>
    </row>
    <row r="81" spans="1:9" x14ac:dyDescent="0.25">
      <c r="A81" s="117" t="s">
        <v>81</v>
      </c>
      <c r="B81" s="118" t="s">
        <v>82</v>
      </c>
      <c r="C81" s="61">
        <f>4000-1000</f>
        <v>3000</v>
      </c>
      <c r="D81" s="61">
        <f>4000-1000</f>
        <v>3000</v>
      </c>
      <c r="E81" s="61">
        <f>4000-1000</f>
        <v>3000</v>
      </c>
      <c r="F81" s="61">
        <f>4000-1000</f>
        <v>3000</v>
      </c>
      <c r="G81" s="61">
        <f>4000-1000</f>
        <v>3000</v>
      </c>
      <c r="H81" s="61">
        <v>1153</v>
      </c>
      <c r="I81" s="655">
        <f t="shared" si="15"/>
        <v>0.38433333333333336</v>
      </c>
    </row>
    <row r="82" spans="1:9" x14ac:dyDescent="0.25">
      <c r="A82" s="121" t="s">
        <v>83</v>
      </c>
      <c r="B82" s="118" t="s">
        <v>84</v>
      </c>
      <c r="C82" s="61">
        <v>55920</v>
      </c>
      <c r="D82" s="61">
        <v>55920</v>
      </c>
      <c r="E82" s="61">
        <v>55920</v>
      </c>
      <c r="F82" s="61">
        <v>55920</v>
      </c>
      <c r="G82" s="61">
        <v>55920</v>
      </c>
      <c r="H82" s="61">
        <v>14717</v>
      </c>
      <c r="I82" s="655">
        <f t="shared" si="15"/>
        <v>0.26317954220314738</v>
      </c>
    </row>
    <row r="83" spans="1:9" ht="15.75" thickBot="1" x14ac:dyDescent="0.3">
      <c r="A83" s="123" t="s">
        <v>85</v>
      </c>
      <c r="B83" s="124" t="s">
        <v>236</v>
      </c>
      <c r="C83" s="128">
        <v>4000</v>
      </c>
      <c r="D83" s="128">
        <v>4000</v>
      </c>
      <c r="E83" s="128">
        <v>4000</v>
      </c>
      <c r="F83" s="128">
        <v>4000</v>
      </c>
      <c r="G83" s="128">
        <v>4000</v>
      </c>
      <c r="H83" s="128">
        <v>0</v>
      </c>
      <c r="I83" s="655">
        <f t="shared" si="15"/>
        <v>0</v>
      </c>
    </row>
    <row r="84" spans="1:9" ht="15.75" thickBot="1" x14ac:dyDescent="0.3">
      <c r="A84" s="129" t="s">
        <v>86</v>
      </c>
      <c r="B84" s="130"/>
      <c r="C84" s="112">
        <f t="shared" ref="C84:H84" si="24">SUM(C85)</f>
        <v>14610</v>
      </c>
      <c r="D84" s="112">
        <f t="shared" si="24"/>
        <v>14610</v>
      </c>
      <c r="E84" s="112">
        <f t="shared" si="24"/>
        <v>14615</v>
      </c>
      <c r="F84" s="112">
        <f t="shared" si="24"/>
        <v>14615</v>
      </c>
      <c r="G84" s="112">
        <f t="shared" si="24"/>
        <v>12615</v>
      </c>
      <c r="H84" s="112">
        <f t="shared" si="24"/>
        <v>2703</v>
      </c>
      <c r="I84" s="655">
        <f t="shared" si="15"/>
        <v>0.21426872770511296</v>
      </c>
    </row>
    <row r="85" spans="1:9" ht="15.75" thickBot="1" x14ac:dyDescent="0.3">
      <c r="A85" s="131" t="s">
        <v>87</v>
      </c>
      <c r="B85" s="106" t="s">
        <v>281</v>
      </c>
      <c r="C85" s="134">
        <v>14610</v>
      </c>
      <c r="D85" s="134">
        <v>14610</v>
      </c>
      <c r="E85" s="621">
        <f>14610+5</f>
        <v>14615</v>
      </c>
      <c r="F85" s="134">
        <f>14610+5</f>
        <v>14615</v>
      </c>
      <c r="G85" s="621">
        <f>14610+5-2000</f>
        <v>12615</v>
      </c>
      <c r="H85" s="134">
        <v>2703</v>
      </c>
      <c r="I85" s="655">
        <f t="shared" si="15"/>
        <v>0.21426872770511296</v>
      </c>
    </row>
    <row r="86" spans="1:9" ht="15.75" thickBot="1" x14ac:dyDescent="0.3">
      <c r="A86" s="129" t="s">
        <v>88</v>
      </c>
      <c r="B86" s="130"/>
      <c r="C86" s="112">
        <f t="shared" ref="C86:H86" si="25">SUM(C87:C88)</f>
        <v>16500</v>
      </c>
      <c r="D86" s="112">
        <f t="shared" ref="D86" si="26">SUM(D87:D88)</f>
        <v>16500</v>
      </c>
      <c r="E86" s="112">
        <f t="shared" ref="E86:F86" si="27">SUM(E87:E88)</f>
        <v>16500</v>
      </c>
      <c r="F86" s="112">
        <f t="shared" si="27"/>
        <v>16500</v>
      </c>
      <c r="G86" s="112">
        <f t="shared" ref="G86" si="28">SUM(G87:G88)</f>
        <v>17000</v>
      </c>
      <c r="H86" s="112">
        <f t="shared" si="25"/>
        <v>2350</v>
      </c>
      <c r="I86" s="655">
        <f t="shared" si="15"/>
        <v>0.13823529411764707</v>
      </c>
    </row>
    <row r="87" spans="1:9" x14ac:dyDescent="0.25">
      <c r="A87" s="135" t="s">
        <v>89</v>
      </c>
      <c r="B87" s="136" t="s">
        <v>90</v>
      </c>
      <c r="C87" s="139">
        <v>14900</v>
      </c>
      <c r="D87" s="139">
        <v>14900</v>
      </c>
      <c r="E87" s="139">
        <f>14900</f>
        <v>14900</v>
      </c>
      <c r="F87" s="139">
        <f>14900</f>
        <v>14900</v>
      </c>
      <c r="G87" s="643">
        <f>14900+500</f>
        <v>15400</v>
      </c>
      <c r="H87" s="139">
        <v>2098</v>
      </c>
      <c r="I87" s="655">
        <f t="shared" si="15"/>
        <v>0.13623376623376623</v>
      </c>
    </row>
    <row r="88" spans="1:9" ht="15.75" thickBot="1" x14ac:dyDescent="0.3">
      <c r="A88" s="140" t="s">
        <v>91</v>
      </c>
      <c r="B88" s="141" t="s">
        <v>92</v>
      </c>
      <c r="C88" s="128">
        <v>1600</v>
      </c>
      <c r="D88" s="128">
        <v>1600</v>
      </c>
      <c r="E88" s="128">
        <v>1600</v>
      </c>
      <c r="F88" s="128">
        <v>1600</v>
      </c>
      <c r="G88" s="128">
        <v>1600</v>
      </c>
      <c r="H88" s="128">
        <v>252</v>
      </c>
      <c r="I88" s="655">
        <f t="shared" si="15"/>
        <v>0.1575</v>
      </c>
    </row>
    <row r="89" spans="1:9" ht="15.75" thickBot="1" x14ac:dyDescent="0.3">
      <c r="A89" s="108" t="s">
        <v>93</v>
      </c>
      <c r="B89" s="144"/>
      <c r="C89" s="112">
        <f t="shared" ref="C89:H89" si="29">SUM(C90:C92)</f>
        <v>71400</v>
      </c>
      <c r="D89" s="112">
        <f t="shared" ref="D89" si="30">SUM(D90:D92)</f>
        <v>71400</v>
      </c>
      <c r="E89" s="112">
        <f t="shared" ref="E89:F89" si="31">SUM(E90:E92)</f>
        <v>71400</v>
      </c>
      <c r="F89" s="112">
        <f t="shared" si="31"/>
        <v>71400</v>
      </c>
      <c r="G89" s="112">
        <f t="shared" ref="G89" si="32">SUM(G90:G92)</f>
        <v>71400</v>
      </c>
      <c r="H89" s="112">
        <f t="shared" si="29"/>
        <v>19149</v>
      </c>
      <c r="I89" s="655">
        <f t="shared" si="15"/>
        <v>0.26819327731092435</v>
      </c>
    </row>
    <row r="90" spans="1:9" x14ac:dyDescent="0.25">
      <c r="A90" s="145" t="s">
        <v>94</v>
      </c>
      <c r="B90" s="146" t="s">
        <v>95</v>
      </c>
      <c r="C90" s="55">
        <v>25300</v>
      </c>
      <c r="D90" s="55">
        <v>25300</v>
      </c>
      <c r="E90" s="55">
        <v>25300</v>
      </c>
      <c r="F90" s="55">
        <v>25300</v>
      </c>
      <c r="G90" s="55">
        <v>25300</v>
      </c>
      <c r="H90" s="55">
        <v>5021</v>
      </c>
      <c r="I90" s="655">
        <f t="shared" si="15"/>
        <v>0.1984584980237154</v>
      </c>
    </row>
    <row r="91" spans="1:9" x14ac:dyDescent="0.25">
      <c r="A91" s="121" t="s">
        <v>96</v>
      </c>
      <c r="B91" s="118" t="s">
        <v>97</v>
      </c>
      <c r="C91" s="60">
        <v>24300</v>
      </c>
      <c r="D91" s="60">
        <v>24300</v>
      </c>
      <c r="E91" s="60">
        <v>24300</v>
      </c>
      <c r="F91" s="60">
        <v>24300</v>
      </c>
      <c r="G91" s="60">
        <v>24300</v>
      </c>
      <c r="H91" s="60">
        <v>4614</v>
      </c>
      <c r="I91" s="655">
        <f t="shared" si="15"/>
        <v>0.18987654320987654</v>
      </c>
    </row>
    <row r="92" spans="1:9" ht="15.75" thickBot="1" x14ac:dyDescent="0.3">
      <c r="A92" s="121" t="s">
        <v>98</v>
      </c>
      <c r="B92" s="118" t="s">
        <v>99</v>
      </c>
      <c r="C92" s="60">
        <v>21800</v>
      </c>
      <c r="D92" s="60">
        <v>21800</v>
      </c>
      <c r="E92" s="60">
        <v>21800</v>
      </c>
      <c r="F92" s="60">
        <v>21800</v>
      </c>
      <c r="G92" s="60">
        <v>21800</v>
      </c>
      <c r="H92" s="60">
        <v>9514</v>
      </c>
      <c r="I92" s="655">
        <f t="shared" si="15"/>
        <v>0.43642201834862387</v>
      </c>
    </row>
    <row r="93" spans="1:9" ht="15.75" thickBot="1" x14ac:dyDescent="0.3">
      <c r="A93" s="821" t="s">
        <v>100</v>
      </c>
      <c r="B93" s="822"/>
      <c r="C93" s="112">
        <f t="shared" ref="C93:H93" si="33">SUM(C94:C97)</f>
        <v>124900</v>
      </c>
      <c r="D93" s="112">
        <f t="shared" ref="D93" si="34">SUM(D94:D97)</f>
        <v>124900</v>
      </c>
      <c r="E93" s="112">
        <f t="shared" ref="E93:F93" si="35">SUM(E94:E97)</f>
        <v>124900</v>
      </c>
      <c r="F93" s="112">
        <f t="shared" si="35"/>
        <v>124900</v>
      </c>
      <c r="G93" s="112">
        <f t="shared" ref="G93" si="36">SUM(G94:G97)</f>
        <v>123900</v>
      </c>
      <c r="H93" s="112">
        <f t="shared" si="33"/>
        <v>21680</v>
      </c>
      <c r="I93" s="655">
        <f t="shared" si="15"/>
        <v>0.17497982243744956</v>
      </c>
    </row>
    <row r="94" spans="1:9" x14ac:dyDescent="0.25">
      <c r="A94" s="153" t="s">
        <v>101</v>
      </c>
      <c r="B94" s="154" t="s">
        <v>102</v>
      </c>
      <c r="C94" s="139">
        <v>76800</v>
      </c>
      <c r="D94" s="139">
        <v>76800</v>
      </c>
      <c r="E94" s="139">
        <v>76800</v>
      </c>
      <c r="F94" s="139">
        <v>76800</v>
      </c>
      <c r="G94" s="139">
        <v>76800</v>
      </c>
      <c r="H94" s="139">
        <v>11398</v>
      </c>
      <c r="I94" s="655">
        <f t="shared" si="15"/>
        <v>0.14841145833333333</v>
      </c>
    </row>
    <row r="95" spans="1:9" x14ac:dyDescent="0.25">
      <c r="A95" s="121" t="s">
        <v>103</v>
      </c>
      <c r="B95" s="118" t="s">
        <v>104</v>
      </c>
      <c r="C95" s="152">
        <v>36500</v>
      </c>
      <c r="D95" s="152">
        <v>36500</v>
      </c>
      <c r="E95" s="152">
        <v>36500</v>
      </c>
      <c r="F95" s="152">
        <v>36500</v>
      </c>
      <c r="G95" s="644">
        <f>36500-1000</f>
        <v>35500</v>
      </c>
      <c r="H95" s="152">
        <v>10182</v>
      </c>
      <c r="I95" s="655">
        <f t="shared" si="15"/>
        <v>0.28681690140845073</v>
      </c>
    </row>
    <row r="96" spans="1:9" x14ac:dyDescent="0.25">
      <c r="A96" s="131" t="s">
        <v>105</v>
      </c>
      <c r="B96" s="159" t="s">
        <v>106</v>
      </c>
      <c r="C96" s="163">
        <v>1500</v>
      </c>
      <c r="D96" s="163">
        <v>1500</v>
      </c>
      <c r="E96" s="163">
        <v>1500</v>
      </c>
      <c r="F96" s="163">
        <v>1500</v>
      </c>
      <c r="G96" s="163">
        <v>1500</v>
      </c>
      <c r="H96" s="163">
        <v>0</v>
      </c>
      <c r="I96" s="655">
        <f t="shared" si="15"/>
        <v>0</v>
      </c>
    </row>
    <row r="97" spans="1:9" ht="15.75" thickBot="1" x14ac:dyDescent="0.3">
      <c r="A97" s="164" t="s">
        <v>107</v>
      </c>
      <c r="B97" s="165" t="s">
        <v>108</v>
      </c>
      <c r="C97" s="168">
        <v>10100</v>
      </c>
      <c r="D97" s="168">
        <v>10100</v>
      </c>
      <c r="E97" s="168">
        <v>10100</v>
      </c>
      <c r="F97" s="168">
        <v>10100</v>
      </c>
      <c r="G97" s="168">
        <v>10100</v>
      </c>
      <c r="H97" s="168">
        <v>100</v>
      </c>
      <c r="I97" s="655">
        <f t="shared" si="15"/>
        <v>9.9009900990099011E-3</v>
      </c>
    </row>
    <row r="98" spans="1:9" ht="15.75" thickBot="1" x14ac:dyDescent="0.3">
      <c r="A98" s="108" t="s">
        <v>109</v>
      </c>
      <c r="B98" s="144"/>
      <c r="C98" s="110">
        <f t="shared" ref="C98:H98" si="37">SUM(C99:C101)</f>
        <v>204648</v>
      </c>
      <c r="D98" s="110">
        <f t="shared" ref="D98" si="38">SUM(D99:D101)</f>
        <v>204648</v>
      </c>
      <c r="E98" s="110">
        <f t="shared" ref="E98:F98" si="39">SUM(E99:E101)</f>
        <v>204648</v>
      </c>
      <c r="F98" s="110">
        <f t="shared" si="39"/>
        <v>204648</v>
      </c>
      <c r="G98" s="110">
        <f t="shared" ref="G98" si="40">SUM(G99:G101)</f>
        <v>200648</v>
      </c>
      <c r="H98" s="110">
        <f t="shared" si="37"/>
        <v>26370</v>
      </c>
      <c r="I98" s="655">
        <f t="shared" si="15"/>
        <v>0.13142418563853117</v>
      </c>
    </row>
    <row r="99" spans="1:9" x14ac:dyDescent="0.25">
      <c r="A99" s="145" t="s">
        <v>110</v>
      </c>
      <c r="B99" s="85" t="s">
        <v>111</v>
      </c>
      <c r="C99" s="116">
        <v>156748</v>
      </c>
      <c r="D99" s="116">
        <v>156748</v>
      </c>
      <c r="E99" s="116">
        <v>156748</v>
      </c>
      <c r="F99" s="116">
        <v>156748</v>
      </c>
      <c r="G99" s="645">
        <f>156748+5500</f>
        <v>162248</v>
      </c>
      <c r="H99" s="116">
        <v>21086</v>
      </c>
      <c r="I99" s="655">
        <f t="shared" si="15"/>
        <v>0.1299615403579705</v>
      </c>
    </row>
    <row r="100" spans="1:9" x14ac:dyDescent="0.25">
      <c r="A100" s="170" t="s">
        <v>112</v>
      </c>
      <c r="B100" s="118" t="s">
        <v>113</v>
      </c>
      <c r="C100" s="152">
        <v>29700</v>
      </c>
      <c r="D100" s="152">
        <v>29700</v>
      </c>
      <c r="E100" s="152">
        <v>29700</v>
      </c>
      <c r="F100" s="152">
        <v>29700</v>
      </c>
      <c r="G100" s="644">
        <f>29700-8000</f>
        <v>21700</v>
      </c>
      <c r="H100" s="152">
        <v>2980</v>
      </c>
      <c r="I100" s="655">
        <f t="shared" si="15"/>
        <v>0.13732718894009216</v>
      </c>
    </row>
    <row r="101" spans="1:9" ht="15.75" thickBot="1" x14ac:dyDescent="0.3">
      <c r="A101" s="171" t="s">
        <v>114</v>
      </c>
      <c r="B101" s="165" t="s">
        <v>115</v>
      </c>
      <c r="C101" s="174">
        <v>18200</v>
      </c>
      <c r="D101" s="174">
        <v>18200</v>
      </c>
      <c r="E101" s="174">
        <v>18200</v>
      </c>
      <c r="F101" s="174">
        <v>18200</v>
      </c>
      <c r="G101" s="646">
        <f>18200+1500-3000</f>
        <v>16700</v>
      </c>
      <c r="H101" s="174">
        <v>2304</v>
      </c>
      <c r="I101" s="655">
        <f t="shared" si="15"/>
        <v>0.13796407185628742</v>
      </c>
    </row>
    <row r="102" spans="1:9" ht="15.75" thickBot="1" x14ac:dyDescent="0.3">
      <c r="A102" s="175" t="s">
        <v>116</v>
      </c>
      <c r="B102" s="176"/>
      <c r="C102" s="177">
        <f t="shared" ref="C102:G102" si="41">SUM(C103:C106)</f>
        <v>4850</v>
      </c>
      <c r="D102" s="177">
        <f t="shared" ref="D102" si="42">SUM(D103:D106)</f>
        <v>4850</v>
      </c>
      <c r="E102" s="177">
        <f t="shared" ref="E102:F102" si="43">SUM(E103:E106)</f>
        <v>4850</v>
      </c>
      <c r="F102" s="177">
        <f t="shared" si="43"/>
        <v>4850</v>
      </c>
      <c r="G102" s="177">
        <f t="shared" si="41"/>
        <v>3850</v>
      </c>
      <c r="H102" s="177">
        <f t="shared" ref="H102" si="44">SUM(H103:H106)</f>
        <v>1164</v>
      </c>
      <c r="I102" s="655">
        <f t="shared" si="15"/>
        <v>0.30233766233766235</v>
      </c>
    </row>
    <row r="103" spans="1:9" x14ac:dyDescent="0.25">
      <c r="A103" s="135" t="s">
        <v>117</v>
      </c>
      <c r="B103" s="154" t="s">
        <v>118</v>
      </c>
      <c r="C103" s="181">
        <v>50</v>
      </c>
      <c r="D103" s="181">
        <v>50</v>
      </c>
      <c r="E103" s="181">
        <v>50</v>
      </c>
      <c r="F103" s="181">
        <v>50</v>
      </c>
      <c r="G103" s="181">
        <v>50</v>
      </c>
      <c r="H103" s="181">
        <v>0</v>
      </c>
      <c r="I103" s="655">
        <f t="shared" si="15"/>
        <v>0</v>
      </c>
    </row>
    <row r="104" spans="1:9" x14ac:dyDescent="0.25">
      <c r="A104" s="170" t="s">
        <v>119</v>
      </c>
      <c r="B104" s="118" t="s">
        <v>120</v>
      </c>
      <c r="C104" s="184">
        <v>50</v>
      </c>
      <c r="D104" s="184">
        <v>50</v>
      </c>
      <c r="E104" s="184">
        <v>50</v>
      </c>
      <c r="F104" s="184">
        <v>50</v>
      </c>
      <c r="G104" s="184">
        <v>50</v>
      </c>
      <c r="H104" s="184">
        <v>24</v>
      </c>
      <c r="I104" s="655">
        <f t="shared" si="15"/>
        <v>0.48</v>
      </c>
    </row>
    <row r="105" spans="1:9" x14ac:dyDescent="0.25">
      <c r="A105" s="170" t="s">
        <v>121</v>
      </c>
      <c r="B105" s="118" t="s">
        <v>122</v>
      </c>
      <c r="C105" s="60">
        <v>750</v>
      </c>
      <c r="D105" s="60">
        <v>750</v>
      </c>
      <c r="E105" s="60">
        <v>750</v>
      </c>
      <c r="F105" s="60">
        <v>750</v>
      </c>
      <c r="G105" s="60">
        <v>750</v>
      </c>
      <c r="H105" s="60">
        <v>140</v>
      </c>
      <c r="I105" s="655">
        <f t="shared" si="15"/>
        <v>0.18666666666666668</v>
      </c>
    </row>
    <row r="106" spans="1:9" ht="15.75" thickBot="1" x14ac:dyDescent="0.3">
      <c r="A106" s="187" t="s">
        <v>123</v>
      </c>
      <c r="B106" s="188" t="s">
        <v>260</v>
      </c>
      <c r="C106" s="191">
        <v>4000</v>
      </c>
      <c r="D106" s="191">
        <v>4000</v>
      </c>
      <c r="E106" s="191">
        <v>4000</v>
      </c>
      <c r="F106" s="191">
        <v>4000</v>
      </c>
      <c r="G106" s="698">
        <f>4000-1000</f>
        <v>3000</v>
      </c>
      <c r="H106" s="191">
        <v>1000</v>
      </c>
      <c r="I106" s="655">
        <f t="shared" si="15"/>
        <v>0.33333333333333331</v>
      </c>
    </row>
    <row r="107" spans="1:9" ht="15.75" thickBot="1" x14ac:dyDescent="0.3">
      <c r="A107" s="192" t="s">
        <v>124</v>
      </c>
      <c r="B107" s="193"/>
      <c r="C107" s="194">
        <f t="shared" ref="C107:H107" si="45">SUM(C108:C112)</f>
        <v>109550</v>
      </c>
      <c r="D107" s="194">
        <f t="shared" ref="D107" si="46">SUM(D108:D112)</f>
        <v>109550</v>
      </c>
      <c r="E107" s="194">
        <f t="shared" ref="E107:F107" si="47">SUM(E108:E112)</f>
        <v>111550</v>
      </c>
      <c r="F107" s="194">
        <f t="shared" si="47"/>
        <v>116550</v>
      </c>
      <c r="G107" s="194">
        <f t="shared" ref="G107" si="48">SUM(G108:G112)</f>
        <v>119250</v>
      </c>
      <c r="H107" s="194">
        <f t="shared" si="45"/>
        <v>27200</v>
      </c>
      <c r="I107" s="655">
        <f t="shared" si="15"/>
        <v>0.2280922431865828</v>
      </c>
    </row>
    <row r="108" spans="1:9" x14ac:dyDescent="0.25">
      <c r="A108" s="153" t="s">
        <v>125</v>
      </c>
      <c r="B108" s="154" t="s">
        <v>126</v>
      </c>
      <c r="C108" s="139">
        <v>24000</v>
      </c>
      <c r="D108" s="139">
        <v>24000</v>
      </c>
      <c r="E108" s="139">
        <v>24000</v>
      </c>
      <c r="F108" s="139">
        <v>24000</v>
      </c>
      <c r="G108" s="643">
        <f>24000+1500</f>
        <v>25500</v>
      </c>
      <c r="H108" s="139">
        <v>18441</v>
      </c>
      <c r="I108" s="655">
        <f t="shared" si="15"/>
        <v>0.72317647058823531</v>
      </c>
    </row>
    <row r="109" spans="1:9" x14ac:dyDescent="0.25">
      <c r="A109" s="196" t="s">
        <v>127</v>
      </c>
      <c r="B109" s="197" t="s">
        <v>128</v>
      </c>
      <c r="C109" s="55">
        <v>53650</v>
      </c>
      <c r="D109" s="55">
        <v>53650</v>
      </c>
      <c r="E109" s="634">
        <f>53650+2000</f>
        <v>55650</v>
      </c>
      <c r="F109" s="634">
        <f>53650+2000+5000</f>
        <v>60650</v>
      </c>
      <c r="G109" s="634">
        <f>53650+2000+5000+2000-2000+100</f>
        <v>60750</v>
      </c>
      <c r="H109" s="55">
        <v>6167</v>
      </c>
      <c r="I109" s="655">
        <f t="shared" si="15"/>
        <v>0.10151440329218107</v>
      </c>
    </row>
    <row r="110" spans="1:9" x14ac:dyDescent="0.25">
      <c r="A110" s="196" t="s">
        <v>129</v>
      </c>
      <c r="B110" s="85" t="s">
        <v>130</v>
      </c>
      <c r="C110" s="55">
        <v>5100</v>
      </c>
      <c r="D110" s="55">
        <v>5100</v>
      </c>
      <c r="E110" s="55">
        <v>5100</v>
      </c>
      <c r="F110" s="55">
        <v>5100</v>
      </c>
      <c r="G110" s="55">
        <v>5100</v>
      </c>
      <c r="H110" s="55">
        <v>1557</v>
      </c>
      <c r="I110" s="655">
        <f t="shared" si="15"/>
        <v>0.30529411764705883</v>
      </c>
    </row>
    <row r="111" spans="1:9" x14ac:dyDescent="0.25">
      <c r="A111" s="196" t="s">
        <v>131</v>
      </c>
      <c r="B111" s="85" t="s">
        <v>132</v>
      </c>
      <c r="C111" s="55">
        <v>15600</v>
      </c>
      <c r="D111" s="55">
        <v>15600</v>
      </c>
      <c r="E111" s="55">
        <v>15600</v>
      </c>
      <c r="F111" s="55">
        <v>15600</v>
      </c>
      <c r="G111" s="634">
        <f>15600+1100</f>
        <v>16700</v>
      </c>
      <c r="H111" s="55">
        <v>1035</v>
      </c>
      <c r="I111" s="655">
        <f t="shared" si="15"/>
        <v>6.1976047904191617E-2</v>
      </c>
    </row>
    <row r="112" spans="1:9" ht="15.75" thickBot="1" x14ac:dyDescent="0.3">
      <c r="A112" s="164" t="s">
        <v>133</v>
      </c>
      <c r="B112" s="165" t="s">
        <v>134</v>
      </c>
      <c r="C112" s="186">
        <v>11200</v>
      </c>
      <c r="D112" s="186">
        <v>11200</v>
      </c>
      <c r="E112" s="186">
        <v>11200</v>
      </c>
      <c r="F112" s="186">
        <v>11200</v>
      </c>
      <c r="G112" s="186">
        <v>11200</v>
      </c>
      <c r="H112" s="186">
        <v>0</v>
      </c>
      <c r="I112" s="655">
        <f t="shared" si="15"/>
        <v>0</v>
      </c>
    </row>
    <row r="113" spans="1:13" ht="15.75" thickBot="1" x14ac:dyDescent="0.3">
      <c r="A113" s="129" t="s">
        <v>135</v>
      </c>
      <c r="B113" s="130"/>
      <c r="C113" s="110">
        <f t="shared" ref="C113:H113" si="49">SUM(C114:C120)</f>
        <v>380850</v>
      </c>
      <c r="D113" s="110">
        <f t="shared" si="49"/>
        <v>380850</v>
      </c>
      <c r="E113" s="110">
        <f t="shared" si="49"/>
        <v>383256</v>
      </c>
      <c r="F113" s="110">
        <f t="shared" si="49"/>
        <v>385991</v>
      </c>
      <c r="G113" s="110">
        <f t="shared" si="49"/>
        <v>385991</v>
      </c>
      <c r="H113" s="110">
        <f t="shared" si="49"/>
        <v>90355</v>
      </c>
      <c r="I113" s="655">
        <f t="shared" si="15"/>
        <v>0.23408576883916982</v>
      </c>
    </row>
    <row r="114" spans="1:13" x14ac:dyDescent="0.25">
      <c r="A114" s="200" t="s">
        <v>136</v>
      </c>
      <c r="B114" s="201" t="s">
        <v>137</v>
      </c>
      <c r="C114" s="205">
        <f>163900</f>
        <v>163900</v>
      </c>
      <c r="D114" s="205">
        <f>163900</f>
        <v>163900</v>
      </c>
      <c r="E114" s="652">
        <f>163900+2406</f>
        <v>166306</v>
      </c>
      <c r="F114" s="205">
        <f>163900+2406</f>
        <v>166306</v>
      </c>
      <c r="G114" s="205">
        <f>163900+2406</f>
        <v>166306</v>
      </c>
      <c r="H114" s="205">
        <v>33893</v>
      </c>
      <c r="I114" s="655">
        <f t="shared" si="15"/>
        <v>0.20379902108162062</v>
      </c>
    </row>
    <row r="115" spans="1:13" x14ac:dyDescent="0.25">
      <c r="A115" s="209" t="s">
        <v>142</v>
      </c>
      <c r="B115" s="210" t="s">
        <v>143</v>
      </c>
      <c r="C115" s="61">
        <v>3600</v>
      </c>
      <c r="D115" s="61">
        <v>3600</v>
      </c>
      <c r="E115" s="61">
        <v>3600</v>
      </c>
      <c r="F115" s="61">
        <v>3600</v>
      </c>
      <c r="G115" s="61">
        <v>3600</v>
      </c>
      <c r="H115" s="61">
        <v>1453</v>
      </c>
      <c r="I115" s="655">
        <f t="shared" si="15"/>
        <v>0.40361111111111109</v>
      </c>
    </row>
    <row r="116" spans="1:13" x14ac:dyDescent="0.25">
      <c r="A116" s="209" t="s">
        <v>144</v>
      </c>
      <c r="B116" s="210" t="s">
        <v>145</v>
      </c>
      <c r="C116" s="61">
        <v>32330</v>
      </c>
      <c r="D116" s="61">
        <v>32330</v>
      </c>
      <c r="E116" s="61">
        <v>32330</v>
      </c>
      <c r="F116" s="61">
        <v>32330</v>
      </c>
      <c r="G116" s="61">
        <v>32330</v>
      </c>
      <c r="H116" s="61">
        <v>4795</v>
      </c>
      <c r="I116" s="655">
        <f t="shared" si="15"/>
        <v>0.14831425920197958</v>
      </c>
    </row>
    <row r="117" spans="1:13" x14ac:dyDescent="0.25">
      <c r="A117" s="209" t="s">
        <v>146</v>
      </c>
      <c r="B117" s="210" t="s">
        <v>147</v>
      </c>
      <c r="C117" s="60">
        <v>31830</v>
      </c>
      <c r="D117" s="60">
        <v>31830</v>
      </c>
      <c r="E117" s="60">
        <v>31830</v>
      </c>
      <c r="F117" s="60">
        <v>31830</v>
      </c>
      <c r="G117" s="60">
        <v>31830</v>
      </c>
      <c r="H117" s="60">
        <v>6637</v>
      </c>
      <c r="I117" s="655">
        <f t="shared" si="15"/>
        <v>0.20851398052152056</v>
      </c>
    </row>
    <row r="118" spans="1:13" x14ac:dyDescent="0.25">
      <c r="A118" s="209" t="s">
        <v>148</v>
      </c>
      <c r="B118" s="210" t="s">
        <v>233</v>
      </c>
      <c r="C118" s="60">
        <v>131840</v>
      </c>
      <c r="D118" s="60">
        <v>131840</v>
      </c>
      <c r="E118" s="60">
        <f>131840</f>
        <v>131840</v>
      </c>
      <c r="F118" s="60">
        <f>131840+2735</f>
        <v>134575</v>
      </c>
      <c r="G118" s="60">
        <f>131840+2735</f>
        <v>134575</v>
      </c>
      <c r="H118" s="60">
        <v>42057</v>
      </c>
      <c r="I118" s="655">
        <f t="shared" si="15"/>
        <v>0.31251718372654652</v>
      </c>
    </row>
    <row r="119" spans="1:13" x14ac:dyDescent="0.25">
      <c r="A119" s="211" t="s">
        <v>149</v>
      </c>
      <c r="B119" s="210" t="s">
        <v>234</v>
      </c>
      <c r="C119" s="215">
        <v>11300</v>
      </c>
      <c r="D119" s="215">
        <v>11300</v>
      </c>
      <c r="E119" s="215">
        <v>11300</v>
      </c>
      <c r="F119" s="215">
        <v>11300</v>
      </c>
      <c r="G119" s="215">
        <v>11300</v>
      </c>
      <c r="H119" s="215">
        <v>1470</v>
      </c>
      <c r="I119" s="655">
        <f t="shared" si="15"/>
        <v>0.13008849557522123</v>
      </c>
    </row>
    <row r="120" spans="1:13" ht="15.75" thickBot="1" x14ac:dyDescent="0.3">
      <c r="A120" s="209" t="s">
        <v>150</v>
      </c>
      <c r="B120" s="210" t="s">
        <v>261</v>
      </c>
      <c r="C120" s="215">
        <v>6050</v>
      </c>
      <c r="D120" s="215">
        <v>6050</v>
      </c>
      <c r="E120" s="215">
        <v>6050</v>
      </c>
      <c r="F120" s="215">
        <v>6050</v>
      </c>
      <c r="G120" s="215">
        <v>6050</v>
      </c>
      <c r="H120" s="215">
        <v>50</v>
      </c>
      <c r="I120" s="655">
        <f t="shared" si="15"/>
        <v>8.2644628099173556E-3</v>
      </c>
    </row>
    <row r="121" spans="1:13" ht="15.75" thickBot="1" x14ac:dyDescent="0.3">
      <c r="A121" s="108" t="s">
        <v>151</v>
      </c>
      <c r="B121" s="109"/>
      <c r="C121" s="112">
        <f t="shared" ref="C121:H121" si="50">SUM(C122:C126)</f>
        <v>286950</v>
      </c>
      <c r="D121" s="112">
        <f t="shared" ref="D121" si="51">SUM(D122:D126)</f>
        <v>286950</v>
      </c>
      <c r="E121" s="112">
        <f t="shared" ref="E121:F121" si="52">SUM(E122:E126)</f>
        <v>286950</v>
      </c>
      <c r="F121" s="112">
        <f t="shared" si="52"/>
        <v>286950</v>
      </c>
      <c r="G121" s="112">
        <f t="shared" ref="G121" si="53">SUM(G122:G126)</f>
        <v>297750</v>
      </c>
      <c r="H121" s="112">
        <f t="shared" si="50"/>
        <v>40842</v>
      </c>
      <c r="I121" s="655">
        <f t="shared" si="15"/>
        <v>0.13716876574307305</v>
      </c>
    </row>
    <row r="122" spans="1:13" x14ac:dyDescent="0.25">
      <c r="A122" s="196" t="s">
        <v>152</v>
      </c>
      <c r="B122" s="85" t="s">
        <v>282</v>
      </c>
      <c r="C122" s="55">
        <f>268900</f>
        <v>268900</v>
      </c>
      <c r="D122" s="55">
        <f>268900</f>
        <v>268900</v>
      </c>
      <c r="E122" s="55">
        <f>268900</f>
        <v>268900</v>
      </c>
      <c r="F122" s="55">
        <f>268900</f>
        <v>268900</v>
      </c>
      <c r="G122" s="634">
        <f>268900+900+900</f>
        <v>270700</v>
      </c>
      <c r="H122" s="55">
        <v>38623</v>
      </c>
      <c r="I122" s="655">
        <f t="shared" si="15"/>
        <v>0.14267824159586256</v>
      </c>
      <c r="J122" s="407"/>
      <c r="K122" s="407"/>
    </row>
    <row r="123" spans="1:13" x14ac:dyDescent="0.25">
      <c r="A123" s="196" t="s">
        <v>153</v>
      </c>
      <c r="B123" s="85" t="s">
        <v>154</v>
      </c>
      <c r="C123" s="55">
        <v>450</v>
      </c>
      <c r="D123" s="55">
        <v>450</v>
      </c>
      <c r="E123" s="55">
        <v>450</v>
      </c>
      <c r="F123" s="55">
        <v>450</v>
      </c>
      <c r="G123" s="55">
        <v>450</v>
      </c>
      <c r="H123" s="55">
        <v>100</v>
      </c>
      <c r="I123" s="655">
        <f t="shared" si="15"/>
        <v>0.22222222222222221</v>
      </c>
      <c r="J123" s="407"/>
      <c r="K123" s="407"/>
    </row>
    <row r="124" spans="1:13" x14ac:dyDescent="0.25">
      <c r="A124" s="121" t="s">
        <v>155</v>
      </c>
      <c r="B124" s="118" t="s">
        <v>156</v>
      </c>
      <c r="C124" s="60">
        <v>16600</v>
      </c>
      <c r="D124" s="60">
        <v>16600</v>
      </c>
      <c r="E124" s="60">
        <v>16600</v>
      </c>
      <c r="F124" s="60">
        <v>16600</v>
      </c>
      <c r="G124" s="60">
        <v>16600</v>
      </c>
      <c r="H124" s="60">
        <v>2119</v>
      </c>
      <c r="I124" s="655">
        <f t="shared" si="15"/>
        <v>0.12765060240963855</v>
      </c>
    </row>
    <row r="125" spans="1:13" x14ac:dyDescent="0.25">
      <c r="A125" s="121" t="s">
        <v>157</v>
      </c>
      <c r="B125" s="118" t="s">
        <v>481</v>
      </c>
      <c r="C125" s="60">
        <v>500</v>
      </c>
      <c r="D125" s="60">
        <v>500</v>
      </c>
      <c r="E125" s="60">
        <v>500</v>
      </c>
      <c r="F125" s="60">
        <v>500</v>
      </c>
      <c r="G125" s="622">
        <f>500+9000</f>
        <v>9500</v>
      </c>
      <c r="H125" s="60">
        <v>0</v>
      </c>
      <c r="I125" s="655">
        <f t="shared" si="15"/>
        <v>0</v>
      </c>
    </row>
    <row r="126" spans="1:13" ht="15.75" thickBot="1" x14ac:dyDescent="0.3">
      <c r="A126" s="164" t="s">
        <v>159</v>
      </c>
      <c r="B126" s="165" t="s">
        <v>160</v>
      </c>
      <c r="C126" s="186">
        <v>500</v>
      </c>
      <c r="D126" s="186">
        <v>500</v>
      </c>
      <c r="E126" s="186">
        <v>500</v>
      </c>
      <c r="F126" s="186">
        <v>500</v>
      </c>
      <c r="G126" s="186">
        <v>500</v>
      </c>
      <c r="H126" s="186">
        <v>0</v>
      </c>
      <c r="I126" s="655">
        <f t="shared" si="15"/>
        <v>0</v>
      </c>
    </row>
    <row r="127" spans="1:13" ht="16.5" thickBot="1" x14ac:dyDescent="0.3">
      <c r="A127" s="216" t="s">
        <v>161</v>
      </c>
      <c r="B127" s="176"/>
      <c r="C127" s="219">
        <f t="shared" ref="C127:H127" si="54">SUM(C78+C84+C86+C89+C93+C98+C102+C107+C113+C121)</f>
        <v>1504568</v>
      </c>
      <c r="D127" s="219">
        <f t="shared" si="54"/>
        <v>1504568</v>
      </c>
      <c r="E127" s="219">
        <f t="shared" si="54"/>
        <v>1508979</v>
      </c>
      <c r="F127" s="219">
        <f t="shared" si="54"/>
        <v>1516714</v>
      </c>
      <c r="G127" s="219">
        <f t="shared" si="54"/>
        <v>1522714</v>
      </c>
      <c r="H127" s="219">
        <f t="shared" si="54"/>
        <v>288863</v>
      </c>
      <c r="I127" s="655">
        <f t="shared" si="15"/>
        <v>0.18970272815512301</v>
      </c>
      <c r="J127" s="464">
        <f>D127-C127</f>
        <v>0</v>
      </c>
      <c r="K127" s="464">
        <f t="shared" ref="K127:M138" si="55">E127-D127</f>
        <v>4411</v>
      </c>
      <c r="L127" s="464">
        <f t="shared" si="55"/>
        <v>7735</v>
      </c>
      <c r="M127" s="464">
        <f t="shared" si="55"/>
        <v>6000</v>
      </c>
    </row>
    <row r="128" spans="1:13" x14ac:dyDescent="0.25">
      <c r="A128" s="220" t="s">
        <v>140</v>
      </c>
      <c r="B128" s="221" t="s">
        <v>163</v>
      </c>
      <c r="C128" s="224">
        <f t="shared" ref="C128:H128" si="56">C65</f>
        <v>534950</v>
      </c>
      <c r="D128" s="224">
        <f t="shared" si="56"/>
        <v>534950</v>
      </c>
      <c r="E128" s="224">
        <f t="shared" si="56"/>
        <v>556769</v>
      </c>
      <c r="F128" s="224">
        <f t="shared" si="56"/>
        <v>558169</v>
      </c>
      <c r="G128" s="224">
        <f t="shared" si="56"/>
        <v>558169</v>
      </c>
      <c r="H128" s="224">
        <f t="shared" si="56"/>
        <v>144649</v>
      </c>
      <c r="I128" s="655">
        <f t="shared" si="15"/>
        <v>0.2591491107531948</v>
      </c>
      <c r="J128" s="464">
        <f t="shared" ref="J128:J138" si="57">D128-C128</f>
        <v>0</v>
      </c>
      <c r="K128" s="464">
        <f t="shared" si="55"/>
        <v>21819</v>
      </c>
      <c r="L128" s="464">
        <f t="shared" si="55"/>
        <v>1400</v>
      </c>
      <c r="M128" s="464">
        <f t="shared" si="55"/>
        <v>0</v>
      </c>
    </row>
    <row r="129" spans="1:13" x14ac:dyDescent="0.25">
      <c r="A129" s="225" t="s">
        <v>140</v>
      </c>
      <c r="B129" s="226" t="s">
        <v>164</v>
      </c>
      <c r="C129" s="229">
        <f t="shared" ref="C129:H129" si="58">C67</f>
        <v>2450</v>
      </c>
      <c r="D129" s="229">
        <f t="shared" si="58"/>
        <v>2450</v>
      </c>
      <c r="E129" s="229">
        <f t="shared" si="58"/>
        <v>2450</v>
      </c>
      <c r="F129" s="229">
        <f t="shared" si="58"/>
        <v>2450</v>
      </c>
      <c r="G129" s="229">
        <f t="shared" si="58"/>
        <v>2450</v>
      </c>
      <c r="H129" s="229">
        <f t="shared" si="58"/>
        <v>0</v>
      </c>
      <c r="I129" s="655">
        <f t="shared" si="15"/>
        <v>0</v>
      </c>
      <c r="J129" s="464">
        <f t="shared" si="57"/>
        <v>0</v>
      </c>
      <c r="K129" s="464">
        <f t="shared" si="55"/>
        <v>0</v>
      </c>
      <c r="L129" s="464">
        <f t="shared" si="55"/>
        <v>0</v>
      </c>
      <c r="M129" s="464">
        <f t="shared" si="55"/>
        <v>0</v>
      </c>
    </row>
    <row r="130" spans="1:13" ht="15.75" thickBot="1" x14ac:dyDescent="0.3">
      <c r="A130" s="230" t="s">
        <v>140</v>
      </c>
      <c r="B130" s="231" t="s">
        <v>166</v>
      </c>
      <c r="C130" s="234">
        <v>0</v>
      </c>
      <c r="D130" s="234">
        <v>0</v>
      </c>
      <c r="E130" s="234">
        <v>0</v>
      </c>
      <c r="F130" s="234">
        <v>0</v>
      </c>
      <c r="G130" s="234">
        <v>0</v>
      </c>
      <c r="H130" s="234">
        <v>0</v>
      </c>
      <c r="I130" s="655">
        <v>0</v>
      </c>
      <c r="J130" s="464">
        <f t="shared" si="57"/>
        <v>0</v>
      </c>
      <c r="K130" s="464">
        <f t="shared" si="55"/>
        <v>0</v>
      </c>
      <c r="L130" s="464">
        <f t="shared" si="55"/>
        <v>0</v>
      </c>
      <c r="M130" s="464">
        <f t="shared" si="55"/>
        <v>0</v>
      </c>
    </row>
    <row r="131" spans="1:13" x14ac:dyDescent="0.25">
      <c r="A131" s="235" t="s">
        <v>142</v>
      </c>
      <c r="B131" s="236" t="s">
        <v>167</v>
      </c>
      <c r="C131" s="239">
        <v>32600</v>
      </c>
      <c r="D131" s="239">
        <v>32600</v>
      </c>
      <c r="E131" s="239">
        <v>32600</v>
      </c>
      <c r="F131" s="239">
        <v>32600</v>
      </c>
      <c r="G131" s="239">
        <v>32600</v>
      </c>
      <c r="H131" s="239">
        <v>8151</v>
      </c>
      <c r="I131" s="655">
        <f t="shared" si="15"/>
        <v>0.25003067484662578</v>
      </c>
      <c r="J131" s="464">
        <f t="shared" si="57"/>
        <v>0</v>
      </c>
      <c r="K131" s="464">
        <f t="shared" si="55"/>
        <v>0</v>
      </c>
      <c r="L131" s="464">
        <f t="shared" si="55"/>
        <v>0</v>
      </c>
      <c r="M131" s="464">
        <f t="shared" si="55"/>
        <v>0</v>
      </c>
    </row>
    <row r="132" spans="1:13" ht="15.75" thickBot="1" x14ac:dyDescent="0.3">
      <c r="A132" s="225" t="s">
        <v>142</v>
      </c>
      <c r="B132" s="226" t="s">
        <v>168</v>
      </c>
      <c r="C132" s="229">
        <f t="shared" ref="C132:H132" si="59">C68</f>
        <v>2000</v>
      </c>
      <c r="D132" s="229">
        <f t="shared" si="59"/>
        <v>2000</v>
      </c>
      <c r="E132" s="229">
        <f t="shared" si="59"/>
        <v>2000</v>
      </c>
      <c r="F132" s="229">
        <f t="shared" si="59"/>
        <v>2000</v>
      </c>
      <c r="G132" s="229">
        <f t="shared" si="59"/>
        <v>2000</v>
      </c>
      <c r="H132" s="229">
        <f t="shared" si="59"/>
        <v>456</v>
      </c>
      <c r="I132" s="655">
        <f t="shared" ref="I132:I138" si="60">H132/G132</f>
        <v>0.22800000000000001</v>
      </c>
      <c r="J132" s="464">
        <f t="shared" si="57"/>
        <v>0</v>
      </c>
      <c r="K132" s="464">
        <f t="shared" si="55"/>
        <v>0</v>
      </c>
      <c r="L132" s="464">
        <f t="shared" si="55"/>
        <v>0</v>
      </c>
      <c r="M132" s="464">
        <f t="shared" si="55"/>
        <v>0</v>
      </c>
    </row>
    <row r="133" spans="1:13" ht="15.75" thickBot="1" x14ac:dyDescent="0.3">
      <c r="A133" s="823" t="s">
        <v>169</v>
      </c>
      <c r="B133" s="824"/>
      <c r="C133" s="242">
        <f t="shared" ref="C133:H133" si="61">SUM(C128:C132)</f>
        <v>572000</v>
      </c>
      <c r="D133" s="242">
        <f t="shared" si="61"/>
        <v>572000</v>
      </c>
      <c r="E133" s="242">
        <f t="shared" si="61"/>
        <v>593819</v>
      </c>
      <c r="F133" s="242">
        <f t="shared" si="61"/>
        <v>595219</v>
      </c>
      <c r="G133" s="242">
        <f t="shared" si="61"/>
        <v>595219</v>
      </c>
      <c r="H133" s="242">
        <f t="shared" si="61"/>
        <v>153256</v>
      </c>
      <c r="I133" s="655">
        <f t="shared" si="60"/>
        <v>0.25747833990514418</v>
      </c>
      <c r="J133" s="464">
        <f t="shared" si="57"/>
        <v>0</v>
      </c>
      <c r="K133" s="464">
        <f t="shared" si="55"/>
        <v>21819</v>
      </c>
      <c r="L133" s="464">
        <f t="shared" si="55"/>
        <v>1400</v>
      </c>
      <c r="M133" s="464">
        <f t="shared" si="55"/>
        <v>0</v>
      </c>
    </row>
    <row r="134" spans="1:13" x14ac:dyDescent="0.25">
      <c r="A134" s="243" t="s">
        <v>142</v>
      </c>
      <c r="B134" s="244" t="s">
        <v>170</v>
      </c>
      <c r="C134" s="247">
        <f>264110-C135</f>
        <v>252640</v>
      </c>
      <c r="D134" s="247">
        <f>264110-D135</f>
        <v>252640</v>
      </c>
      <c r="E134" s="247">
        <f>264110-E135</f>
        <v>252640</v>
      </c>
      <c r="F134" s="247">
        <f>264110-F135</f>
        <v>252640</v>
      </c>
      <c r="G134" s="247">
        <f>264110-G135</f>
        <v>252640</v>
      </c>
      <c r="H134" s="247">
        <v>63159</v>
      </c>
      <c r="I134" s="655">
        <f t="shared" si="60"/>
        <v>0.24999604179860671</v>
      </c>
      <c r="J134" s="464">
        <f t="shared" si="57"/>
        <v>0</v>
      </c>
      <c r="K134" s="464">
        <f t="shared" si="55"/>
        <v>0</v>
      </c>
      <c r="L134" s="464">
        <f t="shared" si="55"/>
        <v>0</v>
      </c>
      <c r="M134" s="464">
        <f t="shared" si="55"/>
        <v>0</v>
      </c>
    </row>
    <row r="135" spans="1:13" ht="15.75" thickBot="1" x14ac:dyDescent="0.3">
      <c r="A135" s="248" t="s">
        <v>142</v>
      </c>
      <c r="B135" s="249" t="s">
        <v>171</v>
      </c>
      <c r="C135" s="93">
        <f t="shared" ref="C135:H135" si="62">C70</f>
        <v>11470</v>
      </c>
      <c r="D135" s="93">
        <f t="shared" si="62"/>
        <v>11470</v>
      </c>
      <c r="E135" s="93">
        <f t="shared" si="62"/>
        <v>11470</v>
      </c>
      <c r="F135" s="93">
        <f t="shared" si="62"/>
        <v>11470</v>
      </c>
      <c r="G135" s="93">
        <f t="shared" si="62"/>
        <v>11470</v>
      </c>
      <c r="H135" s="93">
        <f t="shared" si="62"/>
        <v>4205</v>
      </c>
      <c r="I135" s="655">
        <f t="shared" si="60"/>
        <v>0.36660854402789889</v>
      </c>
      <c r="J135" s="464">
        <f t="shared" si="57"/>
        <v>0</v>
      </c>
      <c r="K135" s="464">
        <f t="shared" si="55"/>
        <v>0</v>
      </c>
      <c r="L135" s="464">
        <f t="shared" si="55"/>
        <v>0</v>
      </c>
      <c r="M135" s="464">
        <f t="shared" si="55"/>
        <v>0</v>
      </c>
    </row>
    <row r="136" spans="1:13" ht="15.75" thickBot="1" x14ac:dyDescent="0.3">
      <c r="A136" s="805" t="s">
        <v>172</v>
      </c>
      <c r="B136" s="806"/>
      <c r="C136" s="254">
        <f t="shared" ref="C136:H136" si="63">SUM(C134:C135)</f>
        <v>264110</v>
      </c>
      <c r="D136" s="254">
        <f t="shared" si="63"/>
        <v>264110</v>
      </c>
      <c r="E136" s="254">
        <f t="shared" si="63"/>
        <v>264110</v>
      </c>
      <c r="F136" s="254">
        <f t="shared" si="63"/>
        <v>264110</v>
      </c>
      <c r="G136" s="254">
        <f t="shared" si="63"/>
        <v>264110</v>
      </c>
      <c r="H136" s="254">
        <f t="shared" si="63"/>
        <v>67364</v>
      </c>
      <c r="I136" s="655">
        <f t="shared" si="60"/>
        <v>0.25506039150354021</v>
      </c>
      <c r="J136" s="464">
        <f t="shared" si="57"/>
        <v>0</v>
      </c>
      <c r="K136" s="464">
        <f t="shared" si="55"/>
        <v>0</v>
      </c>
      <c r="L136" s="464">
        <f t="shared" si="55"/>
        <v>0</v>
      </c>
      <c r="M136" s="464">
        <f t="shared" si="55"/>
        <v>0</v>
      </c>
    </row>
    <row r="137" spans="1:13" ht="18" customHeight="1" thickBot="1" x14ac:dyDescent="0.3">
      <c r="A137" s="827" t="s">
        <v>173</v>
      </c>
      <c r="B137" s="828"/>
      <c r="C137" s="257">
        <f t="shared" ref="C137:H137" si="64">C133+C136</f>
        <v>836110</v>
      </c>
      <c r="D137" s="257">
        <f t="shared" si="64"/>
        <v>836110</v>
      </c>
      <c r="E137" s="257">
        <f t="shared" si="64"/>
        <v>857929</v>
      </c>
      <c r="F137" s="257">
        <f t="shared" si="64"/>
        <v>859329</v>
      </c>
      <c r="G137" s="257">
        <f t="shared" si="64"/>
        <v>859329</v>
      </c>
      <c r="H137" s="257">
        <f t="shared" si="64"/>
        <v>220620</v>
      </c>
      <c r="I137" s="655">
        <f t="shared" si="60"/>
        <v>0.25673519688035668</v>
      </c>
      <c r="J137" s="464">
        <f t="shared" si="57"/>
        <v>0</v>
      </c>
      <c r="K137" s="464">
        <f t="shared" si="55"/>
        <v>21819</v>
      </c>
      <c r="L137" s="464">
        <f t="shared" si="55"/>
        <v>1400</v>
      </c>
      <c r="M137" s="464">
        <f t="shared" si="55"/>
        <v>0</v>
      </c>
    </row>
    <row r="138" spans="1:13" ht="24" customHeight="1" thickBot="1" x14ac:dyDescent="0.3">
      <c r="A138" s="258" t="s">
        <v>174</v>
      </c>
      <c r="B138" s="144"/>
      <c r="C138" s="261">
        <f t="shared" ref="C138:H138" si="65">C127+C137</f>
        <v>2340678</v>
      </c>
      <c r="D138" s="261">
        <f t="shared" si="65"/>
        <v>2340678</v>
      </c>
      <c r="E138" s="261">
        <f t="shared" si="65"/>
        <v>2366908</v>
      </c>
      <c r="F138" s="261">
        <f t="shared" si="65"/>
        <v>2376043</v>
      </c>
      <c r="G138" s="261">
        <f t="shared" si="65"/>
        <v>2382043</v>
      </c>
      <c r="H138" s="261">
        <f t="shared" si="65"/>
        <v>509483</v>
      </c>
      <c r="I138" s="655">
        <f t="shared" si="60"/>
        <v>0.21388488788825391</v>
      </c>
      <c r="J138" s="464">
        <f t="shared" si="57"/>
        <v>0</v>
      </c>
      <c r="K138" s="464">
        <f t="shared" si="55"/>
        <v>26230</v>
      </c>
      <c r="L138" s="464">
        <f t="shared" si="55"/>
        <v>9135</v>
      </c>
      <c r="M138" s="464">
        <f t="shared" si="55"/>
        <v>6000</v>
      </c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13" ht="18.75" thickBot="1" x14ac:dyDescent="0.3">
      <c r="A141" s="829" t="s">
        <v>175</v>
      </c>
      <c r="B141" s="830"/>
      <c r="C141" s="830"/>
      <c r="D141" s="830"/>
      <c r="E141" s="830"/>
      <c r="F141" s="830"/>
      <c r="G141" s="830"/>
      <c r="H141" s="830"/>
      <c r="I141" s="660"/>
      <c r="J141" s="1"/>
    </row>
    <row r="142" spans="1:13" ht="36.75" customHeight="1" thickBot="1" x14ac:dyDescent="0.3">
      <c r="A142" s="819" t="s">
        <v>1</v>
      </c>
      <c r="B142" s="831"/>
      <c r="C142" s="416" t="s">
        <v>376</v>
      </c>
      <c r="D142" s="416" t="s">
        <v>509</v>
      </c>
      <c r="E142" s="416" t="s">
        <v>511</v>
      </c>
      <c r="F142" s="416" t="s">
        <v>512</v>
      </c>
      <c r="G142" s="416" t="s">
        <v>377</v>
      </c>
      <c r="H142" s="416" t="s">
        <v>378</v>
      </c>
      <c r="I142" s="661" t="s">
        <v>407</v>
      </c>
      <c r="J142" s="1"/>
    </row>
    <row r="143" spans="1:13" ht="16.5" thickBot="1" x14ac:dyDescent="0.3">
      <c r="A143" s="832" t="s">
        <v>176</v>
      </c>
      <c r="B143" s="833"/>
      <c r="C143" s="262">
        <f t="shared" ref="C143:H143" si="66">SUM(C144:C152)</f>
        <v>774720</v>
      </c>
      <c r="D143" s="262">
        <f t="shared" si="66"/>
        <v>774720</v>
      </c>
      <c r="E143" s="262">
        <f t="shared" si="66"/>
        <v>774720</v>
      </c>
      <c r="F143" s="262">
        <f t="shared" si="66"/>
        <v>774720</v>
      </c>
      <c r="G143" s="262">
        <f t="shared" si="66"/>
        <v>778710</v>
      </c>
      <c r="H143" s="262">
        <f t="shared" si="66"/>
        <v>49456</v>
      </c>
      <c r="I143" s="662">
        <f>H143/G143</f>
        <v>6.3510164245996578E-2</v>
      </c>
      <c r="J143" s="464">
        <f>D143-C143</f>
        <v>0</v>
      </c>
      <c r="K143" s="464">
        <f t="shared" ref="K143:M143" si="67">E143-D143</f>
        <v>0</v>
      </c>
      <c r="L143" s="464">
        <f t="shared" si="67"/>
        <v>0</v>
      </c>
      <c r="M143" s="464">
        <f t="shared" si="67"/>
        <v>3990</v>
      </c>
    </row>
    <row r="144" spans="1:13" x14ac:dyDescent="0.25">
      <c r="A144" s="627">
        <v>231</v>
      </c>
      <c r="B144" s="628" t="s">
        <v>382</v>
      </c>
      <c r="C144" s="629">
        <v>0</v>
      </c>
      <c r="D144" s="629">
        <v>0</v>
      </c>
      <c r="E144" s="630">
        <f>2000</f>
        <v>2000</v>
      </c>
      <c r="F144" s="630">
        <f>2000-2000</f>
        <v>0</v>
      </c>
      <c r="G144" s="630">
        <f>2000-2000+3990</f>
        <v>3990</v>
      </c>
      <c r="H144" s="629">
        <v>3990</v>
      </c>
      <c r="I144" s="662">
        <f t="shared" ref="I144:I187" si="68">H144/G144</f>
        <v>1</v>
      </c>
    </row>
    <row r="145" spans="1:21" ht="15.75" thickBot="1" x14ac:dyDescent="0.3">
      <c r="A145" s="3">
        <v>233</v>
      </c>
      <c r="B145" s="328" t="s">
        <v>177</v>
      </c>
      <c r="C145" s="626">
        <v>3000</v>
      </c>
      <c r="D145" s="626">
        <v>3000</v>
      </c>
      <c r="E145" s="729">
        <f>3000-2000</f>
        <v>1000</v>
      </c>
      <c r="F145" s="729">
        <f>3000-2000+2000</f>
        <v>3000</v>
      </c>
      <c r="G145" s="626">
        <f>3000-2000+2000</f>
        <v>3000</v>
      </c>
      <c r="H145" s="626"/>
      <c r="I145" s="662">
        <f t="shared" si="68"/>
        <v>0</v>
      </c>
      <c r="J145" s="1"/>
    </row>
    <row r="146" spans="1:21" ht="15.75" thickBot="1" x14ac:dyDescent="0.3">
      <c r="A146" s="442">
        <v>321</v>
      </c>
      <c r="B146" s="443" t="s">
        <v>262</v>
      </c>
      <c r="C146" s="458">
        <v>5000</v>
      </c>
      <c r="D146" s="458">
        <v>5000</v>
      </c>
      <c r="E146" s="458">
        <v>5000</v>
      </c>
      <c r="F146" s="458">
        <v>5000</v>
      </c>
      <c r="G146" s="458">
        <v>5000</v>
      </c>
      <c r="H146" s="458">
        <v>120</v>
      </c>
      <c r="I146" s="662">
        <f t="shared" si="68"/>
        <v>2.4E-2</v>
      </c>
      <c r="J146" s="642">
        <f>SUM(G144:G146)</f>
        <v>11990</v>
      </c>
      <c r="K146" s="656">
        <f>J146+G176</f>
        <v>11990</v>
      </c>
    </row>
    <row r="147" spans="1:21" x14ac:dyDescent="0.25">
      <c r="A147" s="265">
        <v>322</v>
      </c>
      <c r="B147" s="292" t="s">
        <v>415</v>
      </c>
      <c r="C147" s="412">
        <v>0</v>
      </c>
      <c r="D147" s="412">
        <v>0</v>
      </c>
      <c r="E147" s="412">
        <v>0</v>
      </c>
      <c r="F147" s="412">
        <v>0</v>
      </c>
      <c r="G147" s="412">
        <v>0</v>
      </c>
      <c r="H147" s="412"/>
      <c r="I147" s="662">
        <v>0</v>
      </c>
      <c r="J147" s="1"/>
    </row>
    <row r="148" spans="1:21" x14ac:dyDescent="0.25">
      <c r="A148" s="268">
        <v>322</v>
      </c>
      <c r="B148" s="72" t="s">
        <v>181</v>
      </c>
      <c r="C148" s="270">
        <v>300000</v>
      </c>
      <c r="D148" s="270">
        <v>300000</v>
      </c>
      <c r="E148" s="270">
        <v>300000</v>
      </c>
      <c r="F148" s="270">
        <v>300000</v>
      </c>
      <c r="G148" s="270">
        <v>300000</v>
      </c>
      <c r="H148" s="270"/>
      <c r="I148" s="662">
        <f t="shared" si="68"/>
        <v>0</v>
      </c>
      <c r="J148" s="1"/>
    </row>
    <row r="149" spans="1:21" x14ac:dyDescent="0.25">
      <c r="A149" s="265">
        <v>322</v>
      </c>
      <c r="B149" s="72" t="s">
        <v>263</v>
      </c>
      <c r="C149" s="270">
        <v>15000</v>
      </c>
      <c r="D149" s="270">
        <v>15000</v>
      </c>
      <c r="E149" s="270">
        <v>15000</v>
      </c>
      <c r="F149" s="270">
        <v>15000</v>
      </c>
      <c r="G149" s="270">
        <v>15000</v>
      </c>
      <c r="H149" s="267"/>
      <c r="I149" s="662">
        <f t="shared" si="68"/>
        <v>0</v>
      </c>
      <c r="J149" s="1"/>
    </row>
    <row r="150" spans="1:21" x14ac:dyDescent="0.25">
      <c r="A150" s="271">
        <v>322</v>
      </c>
      <c r="B150" s="274" t="s">
        <v>248</v>
      </c>
      <c r="C150" s="273">
        <v>19000</v>
      </c>
      <c r="D150" s="273">
        <v>19000</v>
      </c>
      <c r="E150" s="273">
        <v>19000</v>
      </c>
      <c r="F150" s="273">
        <v>19000</v>
      </c>
      <c r="G150" s="273">
        <v>19000</v>
      </c>
      <c r="H150" s="267"/>
      <c r="I150" s="662">
        <f t="shared" si="68"/>
        <v>0</v>
      </c>
      <c r="J150" s="1"/>
    </row>
    <row r="151" spans="1:21" x14ac:dyDescent="0.25">
      <c r="A151" s="271">
        <v>322</v>
      </c>
      <c r="B151" s="76" t="s">
        <v>242</v>
      </c>
      <c r="C151" s="273">
        <v>355220</v>
      </c>
      <c r="D151" s="273">
        <v>355220</v>
      </c>
      <c r="E151" s="273">
        <v>355220</v>
      </c>
      <c r="F151" s="273">
        <v>355220</v>
      </c>
      <c r="G151" s="273">
        <v>355220</v>
      </c>
      <c r="H151" s="267"/>
      <c r="I151" s="662">
        <f t="shared" si="68"/>
        <v>0</v>
      </c>
      <c r="J151" s="1"/>
    </row>
    <row r="152" spans="1:21" ht="15.75" thickBot="1" x14ac:dyDescent="0.3">
      <c r="A152" s="268">
        <v>322</v>
      </c>
      <c r="B152" s="72" t="s">
        <v>243</v>
      </c>
      <c r="C152" s="270">
        <f>166800-89300</f>
        <v>77500</v>
      </c>
      <c r="D152" s="270">
        <f>166800-89300</f>
        <v>77500</v>
      </c>
      <c r="E152" s="270">
        <f>166800-89300</f>
        <v>77500</v>
      </c>
      <c r="F152" s="270">
        <f>166800-89300</f>
        <v>77500</v>
      </c>
      <c r="G152" s="270">
        <f>166800-89300</f>
        <v>77500</v>
      </c>
      <c r="H152" s="267">
        <v>45346</v>
      </c>
      <c r="I152" s="662">
        <f t="shared" si="68"/>
        <v>0.58510967741935482</v>
      </c>
      <c r="J152" s="642">
        <f>SUM(G147:G152)</f>
        <v>766720</v>
      </c>
    </row>
    <row r="153" spans="1:21" ht="16.5" thickBot="1" x14ac:dyDescent="0.3">
      <c r="A153" s="832" t="s">
        <v>182</v>
      </c>
      <c r="B153" s="833"/>
      <c r="C153" s="262">
        <f t="shared" ref="C153:H153" si="69">SUM(C154:C169)</f>
        <v>1267700</v>
      </c>
      <c r="D153" s="262">
        <f t="shared" si="69"/>
        <v>1267700</v>
      </c>
      <c r="E153" s="262">
        <f t="shared" si="69"/>
        <v>1267700</v>
      </c>
      <c r="F153" s="262">
        <f t="shared" si="69"/>
        <v>1267700</v>
      </c>
      <c r="G153" s="262">
        <f t="shared" si="69"/>
        <v>1267700</v>
      </c>
      <c r="H153" s="262">
        <f t="shared" si="69"/>
        <v>76104</v>
      </c>
      <c r="I153" s="662">
        <f t="shared" si="68"/>
        <v>6.0033130866924349E-2</v>
      </c>
      <c r="J153" s="642">
        <f>C153-C143</f>
        <v>492980</v>
      </c>
      <c r="K153" s="27"/>
      <c r="L153" s="27"/>
      <c r="S153" s="464"/>
      <c r="T153" s="464"/>
      <c r="U153" s="464"/>
    </row>
    <row r="154" spans="1:21" x14ac:dyDescent="0.25">
      <c r="A154" s="286" t="s">
        <v>96</v>
      </c>
      <c r="B154" s="275" t="s">
        <v>186</v>
      </c>
      <c r="C154" s="287">
        <v>1500</v>
      </c>
      <c r="D154" s="287">
        <v>1500</v>
      </c>
      <c r="E154" s="287">
        <v>1500</v>
      </c>
      <c r="F154" s="287">
        <v>1500</v>
      </c>
      <c r="G154" s="287">
        <v>1500</v>
      </c>
      <c r="H154" s="287"/>
      <c r="I154" s="662">
        <f t="shared" si="68"/>
        <v>0</v>
      </c>
      <c r="J154" s="27">
        <f>D153-C153</f>
        <v>0</v>
      </c>
      <c r="K154" s="27">
        <f t="shared" ref="K154:M154" si="70">E153-D153</f>
        <v>0</v>
      </c>
      <c r="L154" s="27">
        <f t="shared" si="70"/>
        <v>0</v>
      </c>
      <c r="M154" s="27">
        <f t="shared" si="70"/>
        <v>0</v>
      </c>
      <c r="N154" s="27"/>
    </row>
    <row r="155" spans="1:21" ht="15.75" thickBot="1" x14ac:dyDescent="0.3">
      <c r="A155" s="282" t="s">
        <v>98</v>
      </c>
      <c r="B155" s="408" t="s">
        <v>245</v>
      </c>
      <c r="C155" s="284">
        <v>20600</v>
      </c>
      <c r="D155" s="284">
        <v>20600</v>
      </c>
      <c r="E155" s="284">
        <v>20600</v>
      </c>
      <c r="F155" s="284">
        <v>20600</v>
      </c>
      <c r="G155" s="284">
        <v>20600</v>
      </c>
      <c r="H155" s="284"/>
      <c r="I155" s="662">
        <f t="shared" si="68"/>
        <v>0</v>
      </c>
      <c r="J155" s="27"/>
    </row>
    <row r="156" spans="1:21" ht="15.75" thickBot="1" x14ac:dyDescent="0.3">
      <c r="A156" s="657" t="s">
        <v>103</v>
      </c>
      <c r="B156" s="658" t="s">
        <v>241</v>
      </c>
      <c r="C156" s="411">
        <v>325000</v>
      </c>
      <c r="D156" s="411">
        <v>325000</v>
      </c>
      <c r="E156" s="411">
        <v>325000</v>
      </c>
      <c r="F156" s="411">
        <v>325000</v>
      </c>
      <c r="G156" s="411">
        <v>325000</v>
      </c>
      <c r="H156" s="411"/>
      <c r="I156" s="662">
        <f t="shared" si="68"/>
        <v>0</v>
      </c>
      <c r="J156" s="1"/>
    </row>
    <row r="157" spans="1:21" x14ac:dyDescent="0.25">
      <c r="A157" s="288" t="s">
        <v>190</v>
      </c>
      <c r="B157" s="289" t="s">
        <v>191</v>
      </c>
      <c r="C157" s="290">
        <v>43000</v>
      </c>
      <c r="D157" s="290">
        <v>43000</v>
      </c>
      <c r="E157" s="290">
        <v>43000</v>
      </c>
      <c r="F157" s="290">
        <v>43000</v>
      </c>
      <c r="G157" s="716">
        <f>43000-18000</f>
        <v>25000</v>
      </c>
      <c r="H157" s="290"/>
      <c r="I157" s="662">
        <f t="shared" si="68"/>
        <v>0</v>
      </c>
      <c r="J157" s="1"/>
    </row>
    <row r="158" spans="1:21" x14ac:dyDescent="0.25">
      <c r="A158" s="297" t="s">
        <v>190</v>
      </c>
      <c r="B158" s="294" t="s">
        <v>247</v>
      </c>
      <c r="C158" s="281">
        <v>29000</v>
      </c>
      <c r="D158" s="281">
        <v>29000</v>
      </c>
      <c r="E158" s="281">
        <v>29000</v>
      </c>
      <c r="F158" s="281">
        <v>29000</v>
      </c>
      <c r="G158" s="281">
        <v>29000</v>
      </c>
      <c r="H158" s="281">
        <v>492</v>
      </c>
      <c r="I158" s="662">
        <f t="shared" si="68"/>
        <v>1.6965517241379312E-2</v>
      </c>
      <c r="J158" s="27"/>
    </row>
    <row r="159" spans="1:21" x14ac:dyDescent="0.25">
      <c r="A159" s="297" t="s">
        <v>110</v>
      </c>
      <c r="B159" s="431" t="s">
        <v>230</v>
      </c>
      <c r="C159" s="281">
        <v>15800</v>
      </c>
      <c r="D159" s="281">
        <v>15800</v>
      </c>
      <c r="E159" s="281">
        <v>15800</v>
      </c>
      <c r="F159" s="281">
        <v>15800</v>
      </c>
      <c r="G159" s="281">
        <v>15800</v>
      </c>
      <c r="H159" s="281"/>
      <c r="I159" s="662">
        <f t="shared" si="68"/>
        <v>0</v>
      </c>
      <c r="J159" s="27"/>
    </row>
    <row r="160" spans="1:21" x14ac:dyDescent="0.25">
      <c r="A160" s="297" t="s">
        <v>110</v>
      </c>
      <c r="B160" s="650" t="s">
        <v>395</v>
      </c>
      <c r="C160" s="281">
        <v>0</v>
      </c>
      <c r="D160" s="281">
        <v>0</v>
      </c>
      <c r="E160" s="281">
        <v>0</v>
      </c>
      <c r="F160" s="281">
        <v>0</v>
      </c>
      <c r="G160" s="281">
        <v>0</v>
      </c>
      <c r="H160" s="281"/>
      <c r="I160" s="662">
        <v>0</v>
      </c>
      <c r="J160" s="27"/>
    </row>
    <row r="161" spans="1:13" ht="15.75" thickBot="1" x14ac:dyDescent="0.3">
      <c r="A161" s="299" t="s">
        <v>110</v>
      </c>
      <c r="B161" s="445" t="s">
        <v>239</v>
      </c>
      <c r="C161" s="284">
        <v>30000</v>
      </c>
      <c r="D161" s="284">
        <v>30000</v>
      </c>
      <c r="E161" s="284">
        <v>30000</v>
      </c>
      <c r="F161" s="284">
        <v>30000</v>
      </c>
      <c r="G161" s="284">
        <v>30000</v>
      </c>
      <c r="H161" s="284"/>
      <c r="I161" s="662">
        <f t="shared" si="68"/>
        <v>0</v>
      </c>
      <c r="J161" s="27"/>
    </row>
    <row r="162" spans="1:13" x14ac:dyDescent="0.25">
      <c r="A162" s="300" t="s">
        <v>125</v>
      </c>
      <c r="B162" s="298" t="s">
        <v>192</v>
      </c>
      <c r="C162" s="287">
        <v>0</v>
      </c>
      <c r="D162" s="287">
        <v>0</v>
      </c>
      <c r="E162" s="287">
        <v>0</v>
      </c>
      <c r="F162" s="287">
        <v>0</v>
      </c>
      <c r="G162" s="287">
        <v>0</v>
      </c>
      <c r="H162" s="287"/>
      <c r="I162" s="662">
        <v>0</v>
      </c>
      <c r="J162" s="27"/>
    </row>
    <row r="163" spans="1:13" x14ac:dyDescent="0.25">
      <c r="A163" s="303" t="s">
        <v>125</v>
      </c>
      <c r="B163" s="304" t="s">
        <v>195</v>
      </c>
      <c r="C163" s="293">
        <v>21000</v>
      </c>
      <c r="D163" s="293">
        <v>21000</v>
      </c>
      <c r="E163" s="293">
        <v>21000</v>
      </c>
      <c r="F163" s="293">
        <v>21000</v>
      </c>
      <c r="G163" s="293">
        <v>21000</v>
      </c>
      <c r="H163" s="290"/>
      <c r="I163" s="662">
        <f t="shared" si="68"/>
        <v>0</v>
      </c>
      <c r="J163" s="27"/>
    </row>
    <row r="164" spans="1:13" x14ac:dyDescent="0.25">
      <c r="A164" s="303" t="s">
        <v>125</v>
      </c>
      <c r="B164" s="304" t="s">
        <v>240</v>
      </c>
      <c r="C164" s="293">
        <v>8000</v>
      </c>
      <c r="D164" s="293">
        <v>8000</v>
      </c>
      <c r="E164" s="293">
        <v>8000</v>
      </c>
      <c r="F164" s="293">
        <v>8000</v>
      </c>
      <c r="G164" s="293">
        <v>8000</v>
      </c>
      <c r="H164" s="293"/>
      <c r="I164" s="662">
        <f t="shared" si="68"/>
        <v>0</v>
      </c>
      <c r="J164" s="1"/>
    </row>
    <row r="165" spans="1:13" x14ac:dyDescent="0.25">
      <c r="A165" s="303" t="s">
        <v>127</v>
      </c>
      <c r="B165" s="304" t="s">
        <v>238</v>
      </c>
      <c r="C165" s="281">
        <v>100000</v>
      </c>
      <c r="D165" s="281">
        <v>100000</v>
      </c>
      <c r="E165" s="281">
        <v>100000</v>
      </c>
      <c r="F165" s="281">
        <v>100000</v>
      </c>
      <c r="G165" s="281">
        <v>100000</v>
      </c>
      <c r="H165" s="281"/>
      <c r="I165" s="662">
        <f t="shared" si="68"/>
        <v>0</v>
      </c>
      <c r="J165" s="1"/>
    </row>
    <row r="166" spans="1:13" x14ac:dyDescent="0.25">
      <c r="A166" s="303" t="s">
        <v>127</v>
      </c>
      <c r="B166" s="294" t="s">
        <v>267</v>
      </c>
      <c r="C166" s="281">
        <v>200000</v>
      </c>
      <c r="D166" s="281">
        <v>200000</v>
      </c>
      <c r="E166" s="281">
        <v>200000</v>
      </c>
      <c r="F166" s="281">
        <v>200000</v>
      </c>
      <c r="G166" s="281">
        <v>200000</v>
      </c>
      <c r="H166" s="281"/>
      <c r="I166" s="662">
        <f t="shared" si="68"/>
        <v>0</v>
      </c>
      <c r="J166" s="1"/>
    </row>
    <row r="167" spans="1:13" ht="15.75" thickBot="1" x14ac:dyDescent="0.3">
      <c r="A167" s="299" t="s">
        <v>131</v>
      </c>
      <c r="B167" s="659" t="s">
        <v>394</v>
      </c>
      <c r="C167" s="284">
        <v>0</v>
      </c>
      <c r="D167" s="284">
        <v>0</v>
      </c>
      <c r="E167" s="284">
        <v>0</v>
      </c>
      <c r="F167" s="284">
        <v>0</v>
      </c>
      <c r="G167" s="284">
        <v>0</v>
      </c>
      <c r="H167" s="284"/>
      <c r="I167" s="662">
        <v>0</v>
      </c>
      <c r="J167" s="1"/>
    </row>
    <row r="168" spans="1:13" x14ac:dyDescent="0.25">
      <c r="A168" s="308" t="s">
        <v>136</v>
      </c>
      <c r="B168" s="275" t="s">
        <v>269</v>
      </c>
      <c r="C168" s="287">
        <v>381000</v>
      </c>
      <c r="D168" s="287">
        <v>381000</v>
      </c>
      <c r="E168" s="287">
        <v>381000</v>
      </c>
      <c r="F168" s="287">
        <v>381000</v>
      </c>
      <c r="G168" s="287">
        <v>381000</v>
      </c>
      <c r="H168" s="287"/>
      <c r="I168" s="662">
        <f t="shared" si="68"/>
        <v>0</v>
      </c>
      <c r="J168" s="1"/>
    </row>
    <row r="169" spans="1:13" ht="15.75" thickBot="1" x14ac:dyDescent="0.3">
      <c r="A169" s="310" t="s">
        <v>152</v>
      </c>
      <c r="B169" s="446" t="s">
        <v>386</v>
      </c>
      <c r="C169" s="284">
        <f>186800-94000</f>
        <v>92800</v>
      </c>
      <c r="D169" s="284">
        <f>186800-94000</f>
        <v>92800</v>
      </c>
      <c r="E169" s="284">
        <f>186800-94000</f>
        <v>92800</v>
      </c>
      <c r="F169" s="284">
        <f>186800-94000</f>
        <v>92800</v>
      </c>
      <c r="G169" s="632">
        <f>186800-94000+18000</f>
        <v>110800</v>
      </c>
      <c r="H169" s="284">
        <v>75612</v>
      </c>
      <c r="I169" s="662">
        <f t="shared" si="68"/>
        <v>0.68241877256317685</v>
      </c>
      <c r="J169" s="1"/>
    </row>
    <row r="170" spans="1:13" x14ac:dyDescent="0.25">
      <c r="A170" s="311"/>
      <c r="B170" s="312"/>
      <c r="C170" s="313"/>
      <c r="D170" s="313"/>
      <c r="E170" s="313"/>
      <c r="F170" s="313"/>
      <c r="G170" s="313"/>
      <c r="H170" s="313"/>
      <c r="I170" s="662"/>
      <c r="J170" s="313"/>
    </row>
    <row r="171" spans="1:13" x14ac:dyDescent="0.25">
      <c r="A171" s="314"/>
      <c r="B171" s="315"/>
      <c r="C171" s="316"/>
      <c r="D171" s="316"/>
      <c r="E171" s="316"/>
      <c r="F171" s="316"/>
      <c r="G171" s="316"/>
      <c r="H171" s="316"/>
      <c r="I171" s="662"/>
      <c r="J171" s="316"/>
    </row>
    <row r="172" spans="1:13" ht="18.75" thickBot="1" x14ac:dyDescent="0.3">
      <c r="A172" s="834" t="s">
        <v>197</v>
      </c>
      <c r="B172" s="835"/>
      <c r="C172" s="835"/>
      <c r="D172" s="835"/>
      <c r="E172" s="835"/>
      <c r="F172" s="835"/>
      <c r="G172" s="835"/>
      <c r="H172" s="835"/>
      <c r="I172" s="662"/>
      <c r="J172" s="1"/>
    </row>
    <row r="173" spans="1:13" ht="46.5" customHeight="1" thickBot="1" x14ac:dyDescent="0.3">
      <c r="A173" s="819" t="s">
        <v>1</v>
      </c>
      <c r="B173" s="831"/>
      <c r="C173" s="416" t="s">
        <v>376</v>
      </c>
      <c r="D173" s="416" t="s">
        <v>509</v>
      </c>
      <c r="E173" s="416" t="s">
        <v>511</v>
      </c>
      <c r="F173" s="416" t="s">
        <v>512</v>
      </c>
      <c r="G173" s="416" t="s">
        <v>377</v>
      </c>
      <c r="H173" s="416" t="s">
        <v>378</v>
      </c>
      <c r="I173" s="662" t="s">
        <v>407</v>
      </c>
      <c r="J173" s="1"/>
    </row>
    <row r="174" spans="1:13" ht="16.5" thickBot="1" x14ac:dyDescent="0.3">
      <c r="A174" s="447" t="s">
        <v>198</v>
      </c>
      <c r="B174" s="448"/>
      <c r="C174" s="449">
        <f t="shared" ref="C174:H174" si="71">SUM(C175:C183)</f>
        <v>586880</v>
      </c>
      <c r="D174" s="449">
        <f t="shared" si="71"/>
        <v>586880</v>
      </c>
      <c r="E174" s="449">
        <f t="shared" si="71"/>
        <v>586880</v>
      </c>
      <c r="F174" s="449">
        <f t="shared" si="71"/>
        <v>589615</v>
      </c>
      <c r="G174" s="449">
        <f t="shared" si="71"/>
        <v>589635</v>
      </c>
      <c r="H174" s="449">
        <f t="shared" si="71"/>
        <v>68157</v>
      </c>
      <c r="I174" s="662">
        <f t="shared" si="68"/>
        <v>0.11559184919484088</v>
      </c>
      <c r="J174" s="27">
        <f>D174-C174</f>
        <v>0</v>
      </c>
      <c r="K174" s="27">
        <f t="shared" ref="K174:M174" si="72">E174-D174</f>
        <v>0</v>
      </c>
      <c r="L174" s="27">
        <f t="shared" si="72"/>
        <v>2735</v>
      </c>
      <c r="M174" s="27">
        <f t="shared" si="72"/>
        <v>20</v>
      </c>
    </row>
    <row r="175" spans="1:13" x14ac:dyDescent="0.25">
      <c r="A175" s="317">
        <v>453</v>
      </c>
      <c r="B175" s="318" t="s">
        <v>401</v>
      </c>
      <c r="C175" s="319">
        <v>1500</v>
      </c>
      <c r="D175" s="319">
        <v>1500</v>
      </c>
      <c r="E175" s="319">
        <v>1500</v>
      </c>
      <c r="F175" s="319">
        <v>1500</v>
      </c>
      <c r="G175" s="319">
        <v>1500</v>
      </c>
      <c r="H175" s="319">
        <v>0</v>
      </c>
      <c r="I175" s="662">
        <f t="shared" si="68"/>
        <v>0</v>
      </c>
      <c r="J175" s="1"/>
    </row>
    <row r="176" spans="1:13" x14ac:dyDescent="0.25">
      <c r="A176" s="317">
        <v>453</v>
      </c>
      <c r="B176" s="318" t="s">
        <v>402</v>
      </c>
      <c r="C176" s="319">
        <v>0</v>
      </c>
      <c r="D176" s="319">
        <v>0</v>
      </c>
      <c r="E176" s="319">
        <v>0</v>
      </c>
      <c r="F176" s="319">
        <v>0</v>
      </c>
      <c r="G176" s="319">
        <v>0</v>
      </c>
      <c r="H176" s="319">
        <v>0</v>
      </c>
      <c r="I176" s="662">
        <v>0</v>
      </c>
      <c r="J176" s="663"/>
    </row>
    <row r="177" spans="1:21" x14ac:dyDescent="0.25">
      <c r="A177" s="435">
        <v>453</v>
      </c>
      <c r="B177" s="436" t="s">
        <v>318</v>
      </c>
      <c r="C177" s="64">
        <f>3000+19000</f>
        <v>22000</v>
      </c>
      <c r="D177" s="64">
        <f>3000+19000</f>
        <v>22000</v>
      </c>
      <c r="E177" s="64">
        <f>3000+19000</f>
        <v>22000</v>
      </c>
      <c r="F177" s="619">
        <f>3000+19000+2155+580</f>
        <v>24735</v>
      </c>
      <c r="G177" s="64">
        <f>3000+19000+2155+580</f>
        <v>24735</v>
      </c>
      <c r="H177" s="64">
        <f>3000+19571</f>
        <v>22571</v>
      </c>
      <c r="I177" s="662">
        <f t="shared" si="68"/>
        <v>0.91251263391954718</v>
      </c>
      <c r="J177" s="27">
        <f>E177-C177</f>
        <v>0</v>
      </c>
    </row>
    <row r="178" spans="1:21" x14ac:dyDescent="0.25">
      <c r="A178" s="317">
        <v>453</v>
      </c>
      <c r="B178" s="436" t="s">
        <v>324</v>
      </c>
      <c r="C178" s="319">
        <v>64300</v>
      </c>
      <c r="D178" s="319">
        <v>64300</v>
      </c>
      <c r="E178" s="319">
        <v>64300</v>
      </c>
      <c r="F178" s="319">
        <v>64300</v>
      </c>
      <c r="G178" s="319">
        <v>64300</v>
      </c>
      <c r="H178" s="319">
        <v>14810</v>
      </c>
      <c r="I178" s="662">
        <f t="shared" si="68"/>
        <v>0.23032659409020217</v>
      </c>
      <c r="J178" s="27"/>
    </row>
    <row r="179" spans="1:21" ht="15.75" thickBot="1" x14ac:dyDescent="0.3">
      <c r="A179" s="320">
        <v>453</v>
      </c>
      <c r="B179" s="321" t="s">
        <v>317</v>
      </c>
      <c r="C179" s="322">
        <v>6000</v>
      </c>
      <c r="D179" s="322">
        <v>6000</v>
      </c>
      <c r="E179" s="322">
        <v>6000</v>
      </c>
      <c r="F179" s="322">
        <v>6000</v>
      </c>
      <c r="G179" s="322">
        <v>6000</v>
      </c>
      <c r="H179" s="322">
        <v>0</v>
      </c>
      <c r="I179" s="662">
        <f t="shared" si="68"/>
        <v>0</v>
      </c>
      <c r="J179" s="27">
        <f>SUM(C175:C179)</f>
        <v>93800</v>
      </c>
      <c r="L179" s="27"/>
      <c r="S179" s="464"/>
      <c r="T179" s="464"/>
      <c r="U179" s="464"/>
    </row>
    <row r="180" spans="1:21" x14ac:dyDescent="0.25">
      <c r="A180" s="402">
        <v>454</v>
      </c>
      <c r="B180" s="401" t="s">
        <v>200</v>
      </c>
      <c r="C180" s="403">
        <v>492980</v>
      </c>
      <c r="D180" s="403">
        <v>492980</v>
      </c>
      <c r="E180" s="403">
        <v>492980</v>
      </c>
      <c r="F180" s="403">
        <v>492980</v>
      </c>
      <c r="G180" s="403">
        <v>492980</v>
      </c>
      <c r="H180" s="403">
        <v>30772</v>
      </c>
      <c r="I180" s="662">
        <f t="shared" si="68"/>
        <v>6.2420382165605096E-2</v>
      </c>
      <c r="J180" s="1"/>
    </row>
    <row r="181" spans="1:21" x14ac:dyDescent="0.25">
      <c r="A181" s="435">
        <v>456</v>
      </c>
      <c r="B181" s="436" t="s">
        <v>201</v>
      </c>
      <c r="C181" s="64">
        <v>100</v>
      </c>
      <c r="D181" s="64">
        <v>100</v>
      </c>
      <c r="E181" s="64">
        <v>100</v>
      </c>
      <c r="F181" s="64">
        <v>100</v>
      </c>
      <c r="G181" s="64">
        <v>100</v>
      </c>
      <c r="H181" s="64">
        <v>4</v>
      </c>
      <c r="I181" s="662">
        <f t="shared" si="68"/>
        <v>0.04</v>
      </c>
      <c r="J181" s="27"/>
      <c r="K181" s="464"/>
      <c r="L181" s="464"/>
      <c r="M181" s="464"/>
    </row>
    <row r="182" spans="1:21" ht="15.75" thickBot="1" x14ac:dyDescent="0.3">
      <c r="A182" s="402">
        <v>456</v>
      </c>
      <c r="B182" s="401" t="s">
        <v>380</v>
      </c>
      <c r="C182" s="322">
        <v>0</v>
      </c>
      <c r="D182" s="322">
        <v>0</v>
      </c>
      <c r="E182" s="322">
        <v>0</v>
      </c>
      <c r="F182" s="322">
        <v>0</v>
      </c>
      <c r="G182" s="624">
        <v>20</v>
      </c>
      <c r="H182" s="322">
        <v>0</v>
      </c>
      <c r="I182" s="662">
        <f t="shared" si="68"/>
        <v>0</v>
      </c>
      <c r="J182" s="27"/>
      <c r="K182" s="27"/>
      <c r="L182" s="27"/>
    </row>
    <row r="183" spans="1:21" ht="15.75" thickBot="1" x14ac:dyDescent="0.3">
      <c r="A183" s="404">
        <v>513</v>
      </c>
      <c r="B183" s="405" t="s">
        <v>202</v>
      </c>
      <c r="C183" s="618">
        <v>0</v>
      </c>
      <c r="D183" s="618">
        <v>0</v>
      </c>
      <c r="E183" s="618">
        <v>0</v>
      </c>
      <c r="F183" s="618">
        <v>0</v>
      </c>
      <c r="G183" s="618">
        <v>0</v>
      </c>
      <c r="H183" s="618">
        <v>0</v>
      </c>
      <c r="I183" s="662">
        <v>0</v>
      </c>
      <c r="J183" s="27"/>
    </row>
    <row r="184" spans="1:21" ht="16.5" thickBot="1" x14ac:dyDescent="0.3">
      <c r="A184" s="447" t="s">
        <v>203</v>
      </c>
      <c r="B184" s="448"/>
      <c r="C184" s="449">
        <f t="shared" ref="C184:H184" si="73">SUM(C185:C187)</f>
        <v>1070</v>
      </c>
      <c r="D184" s="449">
        <f t="shared" ref="D184" si="74">SUM(D185:D187)</f>
        <v>1070</v>
      </c>
      <c r="E184" s="449">
        <f t="shared" ref="E184:F184" si="75">SUM(E185:E187)</f>
        <v>1070</v>
      </c>
      <c r="F184" s="449">
        <f t="shared" si="75"/>
        <v>1070</v>
      </c>
      <c r="G184" s="449">
        <f t="shared" ref="G184" si="76">SUM(G185:G187)</f>
        <v>1090</v>
      </c>
      <c r="H184" s="449">
        <f t="shared" si="73"/>
        <v>242</v>
      </c>
      <c r="I184" s="662">
        <f t="shared" si="68"/>
        <v>0.22201834862385322</v>
      </c>
      <c r="J184" s="464">
        <f>D184-C184</f>
        <v>0</v>
      </c>
      <c r="K184" s="464">
        <f t="shared" ref="K184:L184" si="77">E184-D184</f>
        <v>0</v>
      </c>
      <c r="L184" s="464">
        <f t="shared" si="77"/>
        <v>0</v>
      </c>
      <c r="M184" s="464">
        <f>G184-F184</f>
        <v>20</v>
      </c>
    </row>
    <row r="185" spans="1:21" ht="15" customHeight="1" x14ac:dyDescent="0.25">
      <c r="A185" s="323">
        <v>819</v>
      </c>
      <c r="B185" s="324" t="s">
        <v>204</v>
      </c>
      <c r="C185" s="205">
        <v>100</v>
      </c>
      <c r="D185" s="205">
        <v>100</v>
      </c>
      <c r="E185" s="205">
        <v>100</v>
      </c>
      <c r="F185" s="205">
        <v>100</v>
      </c>
      <c r="G185" s="205">
        <v>100</v>
      </c>
      <c r="H185" s="205">
        <v>4</v>
      </c>
      <c r="I185" s="662">
        <f t="shared" si="68"/>
        <v>0.04</v>
      </c>
      <c r="J185" s="1"/>
    </row>
    <row r="186" spans="1:21" x14ac:dyDescent="0.25">
      <c r="A186" s="325">
        <v>819</v>
      </c>
      <c r="B186" s="326" t="s">
        <v>379</v>
      </c>
      <c r="C186" s="56">
        <v>0</v>
      </c>
      <c r="D186" s="56">
        <v>0</v>
      </c>
      <c r="E186" s="56">
        <v>0</v>
      </c>
      <c r="F186" s="56">
        <v>0</v>
      </c>
      <c r="G186" s="623">
        <v>20</v>
      </c>
      <c r="H186" s="56">
        <v>0</v>
      </c>
      <c r="I186" s="662">
        <f t="shared" si="68"/>
        <v>0</v>
      </c>
      <c r="J186" s="1"/>
    </row>
    <row r="187" spans="1:21" ht="15.75" thickBot="1" x14ac:dyDescent="0.3">
      <c r="A187" s="327">
        <v>821</v>
      </c>
      <c r="B187" s="328" t="s">
        <v>205</v>
      </c>
      <c r="C187" s="128">
        <v>970</v>
      </c>
      <c r="D187" s="128">
        <v>970</v>
      </c>
      <c r="E187" s="128">
        <v>970</v>
      </c>
      <c r="F187" s="128">
        <v>970</v>
      </c>
      <c r="G187" s="128">
        <v>970</v>
      </c>
      <c r="H187" s="128">
        <v>238</v>
      </c>
      <c r="I187" s="662">
        <f t="shared" si="68"/>
        <v>0.24536082474226803</v>
      </c>
      <c r="J187" s="1"/>
    </row>
    <row r="188" spans="1:21" x14ac:dyDescent="0.25">
      <c r="A188" s="314"/>
      <c r="B188" s="329"/>
      <c r="C188" s="161"/>
      <c r="D188" s="161"/>
      <c r="E188" s="161"/>
      <c r="F188" s="161"/>
      <c r="G188" s="161"/>
      <c r="H188" s="161"/>
      <c r="I188" s="407"/>
      <c r="J188" s="161"/>
    </row>
    <row r="189" spans="1:21" ht="15.75" x14ac:dyDescent="0.25">
      <c r="A189" s="105"/>
      <c r="B189" s="312"/>
      <c r="C189" s="312"/>
      <c r="D189" s="312"/>
      <c r="E189" s="312"/>
      <c r="F189" s="312"/>
      <c r="G189" s="312"/>
      <c r="H189" s="312"/>
      <c r="I189" s="312"/>
      <c r="J189" s="312"/>
    </row>
    <row r="190" spans="1:21" ht="18.75" thickBot="1" x14ac:dyDescent="0.3">
      <c r="A190" s="836" t="s">
        <v>206</v>
      </c>
      <c r="B190" s="837"/>
      <c r="C190" s="837"/>
      <c r="D190" s="837"/>
      <c r="E190" s="837"/>
      <c r="F190" s="837"/>
      <c r="G190" s="837"/>
      <c r="H190" s="837"/>
      <c r="I190" s="104"/>
    </row>
    <row r="191" spans="1:21" ht="40.5" customHeight="1" thickBot="1" x14ac:dyDescent="0.3">
      <c r="A191" s="838" t="s">
        <v>1</v>
      </c>
      <c r="B191" s="839"/>
      <c r="C191" s="416" t="s">
        <v>376</v>
      </c>
      <c r="D191" s="416" t="s">
        <v>509</v>
      </c>
      <c r="E191" s="416" t="s">
        <v>511</v>
      </c>
      <c r="F191" s="416" t="s">
        <v>512</v>
      </c>
      <c r="G191" s="416" t="s">
        <v>377</v>
      </c>
      <c r="H191" s="416" t="s">
        <v>378</v>
      </c>
      <c r="I191" s="104"/>
    </row>
    <row r="192" spans="1:21" ht="15.75" x14ac:dyDescent="0.25">
      <c r="A192" s="330" t="s">
        <v>207</v>
      </c>
      <c r="B192" s="29"/>
      <c r="C192" s="331">
        <f t="shared" ref="C192:H192" si="78">C73</f>
        <v>2247848</v>
      </c>
      <c r="D192" s="331">
        <f t="shared" si="78"/>
        <v>2247848</v>
      </c>
      <c r="E192" s="331">
        <f t="shared" si="78"/>
        <v>2274078</v>
      </c>
      <c r="F192" s="331">
        <f t="shared" si="78"/>
        <v>2280478</v>
      </c>
      <c r="G192" s="331">
        <f t="shared" si="78"/>
        <v>2286478</v>
      </c>
      <c r="H192" s="331">
        <f t="shared" si="78"/>
        <v>625599</v>
      </c>
      <c r="I192" s="104"/>
    </row>
    <row r="193" spans="1:15" ht="15.75" x14ac:dyDescent="0.25">
      <c r="A193" s="332" t="s">
        <v>208</v>
      </c>
      <c r="B193" s="333"/>
      <c r="C193" s="334">
        <f t="shared" ref="C193:H193" si="79">C138</f>
        <v>2340678</v>
      </c>
      <c r="D193" s="334">
        <f t="shared" si="79"/>
        <v>2340678</v>
      </c>
      <c r="E193" s="334">
        <f t="shared" si="79"/>
        <v>2366908</v>
      </c>
      <c r="F193" s="334">
        <f t="shared" si="79"/>
        <v>2376043</v>
      </c>
      <c r="G193" s="334">
        <f t="shared" si="79"/>
        <v>2382043</v>
      </c>
      <c r="H193" s="334">
        <f t="shared" si="79"/>
        <v>509483</v>
      </c>
      <c r="I193" s="104"/>
    </row>
    <row r="194" spans="1:15" ht="15.75" x14ac:dyDescent="0.25">
      <c r="A194" s="840" t="s">
        <v>209</v>
      </c>
      <c r="B194" s="841"/>
      <c r="C194" s="335">
        <f t="shared" ref="C194:H194" si="80">C192-C193</f>
        <v>-92830</v>
      </c>
      <c r="D194" s="335">
        <f t="shared" ref="D194" si="81">D192-D193</f>
        <v>-92830</v>
      </c>
      <c r="E194" s="335">
        <f t="shared" ref="E194:F194" si="82">E192-E193</f>
        <v>-92830</v>
      </c>
      <c r="F194" s="335">
        <f t="shared" si="82"/>
        <v>-95565</v>
      </c>
      <c r="G194" s="335">
        <f t="shared" si="80"/>
        <v>-95565</v>
      </c>
      <c r="H194" s="335">
        <f t="shared" si="80"/>
        <v>116116</v>
      </c>
      <c r="I194" s="104"/>
    </row>
    <row r="195" spans="1:15" ht="15.75" x14ac:dyDescent="0.25">
      <c r="A195" s="332" t="s">
        <v>210</v>
      </c>
      <c r="B195" s="18"/>
      <c r="C195" s="334">
        <f t="shared" ref="C195:H195" si="83">C143</f>
        <v>774720</v>
      </c>
      <c r="D195" s="334">
        <f t="shared" si="83"/>
        <v>774720</v>
      </c>
      <c r="E195" s="334">
        <f t="shared" si="83"/>
        <v>774720</v>
      </c>
      <c r="F195" s="334">
        <f t="shared" si="83"/>
        <v>774720</v>
      </c>
      <c r="G195" s="334">
        <f t="shared" si="83"/>
        <v>778710</v>
      </c>
      <c r="H195" s="334">
        <f t="shared" si="83"/>
        <v>49456</v>
      </c>
      <c r="I195" s="104"/>
    </row>
    <row r="196" spans="1:15" ht="15.75" x14ac:dyDescent="0.25">
      <c r="A196" s="332" t="s">
        <v>211</v>
      </c>
      <c r="B196" s="18"/>
      <c r="C196" s="20">
        <f t="shared" ref="C196:H196" si="84">C153</f>
        <v>1267700</v>
      </c>
      <c r="D196" s="20">
        <f t="shared" si="84"/>
        <v>1267700</v>
      </c>
      <c r="E196" s="20">
        <f t="shared" si="84"/>
        <v>1267700</v>
      </c>
      <c r="F196" s="20">
        <f t="shared" si="84"/>
        <v>1267700</v>
      </c>
      <c r="G196" s="20">
        <f t="shared" si="84"/>
        <v>1267700</v>
      </c>
      <c r="H196" s="20">
        <f t="shared" si="84"/>
        <v>76104</v>
      </c>
      <c r="I196" s="104"/>
    </row>
    <row r="197" spans="1:15" ht="15.75" x14ac:dyDescent="0.25">
      <c r="A197" s="840" t="s">
        <v>212</v>
      </c>
      <c r="B197" s="841"/>
      <c r="C197" s="335">
        <f t="shared" ref="C197:H197" si="85">C195-C196</f>
        <v>-492980</v>
      </c>
      <c r="D197" s="335">
        <f t="shared" ref="D197" si="86">D195-D196</f>
        <v>-492980</v>
      </c>
      <c r="E197" s="335">
        <f t="shared" ref="E197:F197" si="87">E195-E196</f>
        <v>-492980</v>
      </c>
      <c r="F197" s="335">
        <f t="shared" si="87"/>
        <v>-492980</v>
      </c>
      <c r="G197" s="335">
        <f t="shared" si="85"/>
        <v>-488990</v>
      </c>
      <c r="H197" s="335">
        <f t="shared" si="85"/>
        <v>-26648</v>
      </c>
      <c r="I197" s="104"/>
    </row>
    <row r="198" spans="1:15" ht="15.75" x14ac:dyDescent="0.25">
      <c r="A198" s="336" t="s">
        <v>213</v>
      </c>
      <c r="B198" s="337"/>
      <c r="C198" s="338">
        <f t="shared" ref="C198:H198" si="88">C174</f>
        <v>586880</v>
      </c>
      <c r="D198" s="338">
        <f t="shared" si="88"/>
        <v>586880</v>
      </c>
      <c r="E198" s="338">
        <f t="shared" si="88"/>
        <v>586880</v>
      </c>
      <c r="F198" s="338">
        <f t="shared" si="88"/>
        <v>589615</v>
      </c>
      <c r="G198" s="338">
        <f t="shared" si="88"/>
        <v>589635</v>
      </c>
      <c r="H198" s="338">
        <f t="shared" si="88"/>
        <v>68157</v>
      </c>
      <c r="I198" s="104"/>
    </row>
    <row r="199" spans="1:15" ht="15.75" x14ac:dyDescent="0.25">
      <c r="A199" s="336" t="s">
        <v>214</v>
      </c>
      <c r="B199" s="337"/>
      <c r="C199" s="338">
        <f t="shared" ref="C199:H199" si="89">C184</f>
        <v>1070</v>
      </c>
      <c r="D199" s="338">
        <f t="shared" ref="D199" si="90">D184</f>
        <v>1070</v>
      </c>
      <c r="E199" s="338">
        <f t="shared" ref="E199:F199" si="91">E184</f>
        <v>1070</v>
      </c>
      <c r="F199" s="338">
        <f t="shared" si="91"/>
        <v>1070</v>
      </c>
      <c r="G199" s="338">
        <f t="shared" si="89"/>
        <v>1090</v>
      </c>
      <c r="H199" s="338">
        <f t="shared" si="89"/>
        <v>242</v>
      </c>
      <c r="I199" s="104"/>
    </row>
    <row r="200" spans="1:15" ht="16.5" thickBot="1" x14ac:dyDescent="0.3">
      <c r="A200" s="825" t="s">
        <v>215</v>
      </c>
      <c r="B200" s="826"/>
      <c r="C200" s="339">
        <f t="shared" ref="C200:H200" si="92">C198-C199</f>
        <v>585810</v>
      </c>
      <c r="D200" s="339">
        <f t="shared" ref="D200" si="93">D198-D199</f>
        <v>585810</v>
      </c>
      <c r="E200" s="339">
        <f t="shared" ref="E200:F200" si="94">E198-E199</f>
        <v>585810</v>
      </c>
      <c r="F200" s="339">
        <f t="shared" si="94"/>
        <v>588545</v>
      </c>
      <c r="G200" s="339">
        <f t="shared" si="92"/>
        <v>588545</v>
      </c>
      <c r="H200" s="339">
        <f t="shared" si="92"/>
        <v>67915</v>
      </c>
      <c r="I200" s="104"/>
    </row>
    <row r="201" spans="1:15" ht="16.5" thickBot="1" x14ac:dyDescent="0.3">
      <c r="A201" s="340" t="s">
        <v>216</v>
      </c>
      <c r="B201" s="341"/>
      <c r="C201" s="342">
        <f t="shared" ref="C201:H201" si="95">C194+C197+C200</f>
        <v>0</v>
      </c>
      <c r="D201" s="342">
        <f t="shared" ref="D201" si="96">D194+D197+D200</f>
        <v>0</v>
      </c>
      <c r="E201" s="342">
        <f t="shared" ref="E201:F201" si="97">E194+E197+E200</f>
        <v>0</v>
      </c>
      <c r="F201" s="342">
        <f t="shared" si="97"/>
        <v>0</v>
      </c>
      <c r="G201" s="342">
        <f t="shared" si="95"/>
        <v>3990</v>
      </c>
      <c r="H201" s="342">
        <f t="shared" si="95"/>
        <v>157383</v>
      </c>
      <c r="I201" s="104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04"/>
    </row>
    <row r="203" spans="1:15" x14ac:dyDescent="0.25">
      <c r="A203" s="1"/>
      <c r="B203" s="343" t="s">
        <v>332</v>
      </c>
      <c r="C203" s="27">
        <f t="shared" ref="C203:H204" si="98">C192+C195+C198</f>
        <v>3609448</v>
      </c>
      <c r="D203" s="27">
        <f t="shared" ref="D203" si="99">D192+D195+D198</f>
        <v>3609448</v>
      </c>
      <c r="E203" s="27">
        <f t="shared" ref="E203:F203" si="100">E192+E195+E198</f>
        <v>3635678</v>
      </c>
      <c r="F203" s="27">
        <f t="shared" si="100"/>
        <v>3644813</v>
      </c>
      <c r="G203" s="27">
        <f t="shared" si="98"/>
        <v>3654823</v>
      </c>
      <c r="H203" s="27">
        <f t="shared" si="98"/>
        <v>743212</v>
      </c>
      <c r="I203" s="104"/>
      <c r="J203" s="663">
        <f>D203-C203</f>
        <v>0</v>
      </c>
      <c r="K203" s="663">
        <f t="shared" ref="K203:M204" si="101">E203-D203</f>
        <v>26230</v>
      </c>
      <c r="L203" s="663">
        <f t="shared" si="101"/>
        <v>9135</v>
      </c>
      <c r="M203" s="663">
        <f t="shared" si="101"/>
        <v>10010</v>
      </c>
      <c r="N203" s="464"/>
      <c r="O203" s="464"/>
    </row>
    <row r="204" spans="1:15" x14ac:dyDescent="0.25">
      <c r="A204" s="1"/>
      <c r="B204" s="343" t="s">
        <v>333</v>
      </c>
      <c r="C204" s="27">
        <f t="shared" si="98"/>
        <v>3609448</v>
      </c>
      <c r="D204" s="27">
        <f t="shared" ref="D204" si="102">D193+D196+D199</f>
        <v>3609448</v>
      </c>
      <c r="E204" s="27">
        <f t="shared" ref="E204:F204" si="103">E193+E196+E199</f>
        <v>3635678</v>
      </c>
      <c r="F204" s="27">
        <f t="shared" si="103"/>
        <v>3644813</v>
      </c>
      <c r="G204" s="27">
        <f t="shared" si="98"/>
        <v>3650833</v>
      </c>
      <c r="H204" s="27">
        <f t="shared" si="98"/>
        <v>585829</v>
      </c>
      <c r="I204" s="104"/>
      <c r="J204" s="663">
        <f>D204-C204</f>
        <v>0</v>
      </c>
      <c r="K204" s="663">
        <f t="shared" si="101"/>
        <v>26230</v>
      </c>
      <c r="L204" s="663">
        <f t="shared" si="101"/>
        <v>9135</v>
      </c>
      <c r="M204" s="663">
        <f t="shared" si="101"/>
        <v>6020</v>
      </c>
      <c r="N204" s="464"/>
      <c r="O204" s="464"/>
    </row>
    <row r="205" spans="1:15" x14ac:dyDescent="0.25">
      <c r="A205" s="1"/>
      <c r="B205" s="343"/>
      <c r="C205" s="27"/>
      <c r="D205" s="27"/>
      <c r="E205" s="27"/>
      <c r="F205" s="27"/>
      <c r="G205" s="27"/>
      <c r="H205" s="27"/>
      <c r="I205" s="104"/>
      <c r="J205" s="663"/>
      <c r="K205" s="663"/>
      <c r="L205" s="663"/>
      <c r="M205" s="663"/>
      <c r="N205" s="464"/>
      <c r="O205" s="464"/>
    </row>
    <row r="206" spans="1:15" x14ac:dyDescent="0.25">
      <c r="A206" s="1"/>
      <c r="B206" s="343" t="s">
        <v>403</v>
      </c>
      <c r="C206" s="27">
        <f t="shared" ref="C206:H206" si="104">C203-C72</f>
        <v>3593528</v>
      </c>
      <c r="D206" s="27">
        <f t="shared" si="104"/>
        <v>3593528</v>
      </c>
      <c r="E206" s="27">
        <f t="shared" si="104"/>
        <v>3619758</v>
      </c>
      <c r="F206" s="27">
        <f t="shared" si="104"/>
        <v>3628893</v>
      </c>
      <c r="G206" s="27">
        <f t="shared" si="104"/>
        <v>3638903</v>
      </c>
      <c r="H206" s="27">
        <f t="shared" si="104"/>
        <v>738551</v>
      </c>
      <c r="I206" s="104"/>
      <c r="J206" s="663">
        <f>D206-C206</f>
        <v>0</v>
      </c>
      <c r="K206" s="663">
        <f t="shared" ref="K206:M207" si="105">E206-D206</f>
        <v>26230</v>
      </c>
      <c r="L206" s="663">
        <f t="shared" si="105"/>
        <v>9135</v>
      </c>
      <c r="M206" s="663">
        <f t="shared" si="105"/>
        <v>10010</v>
      </c>
      <c r="N206" s="464"/>
      <c r="O206" s="464"/>
    </row>
    <row r="207" spans="1:15" x14ac:dyDescent="0.25">
      <c r="A207" s="1"/>
      <c r="B207" s="343" t="s">
        <v>404</v>
      </c>
      <c r="C207" s="27">
        <f t="shared" ref="C207:H207" si="106">C204-C137</f>
        <v>2773338</v>
      </c>
      <c r="D207" s="27">
        <f t="shared" si="106"/>
        <v>2773338</v>
      </c>
      <c r="E207" s="27">
        <f t="shared" si="106"/>
        <v>2777749</v>
      </c>
      <c r="F207" s="27">
        <f t="shared" si="106"/>
        <v>2785484</v>
      </c>
      <c r="G207" s="27">
        <f t="shared" si="106"/>
        <v>2791504</v>
      </c>
      <c r="H207" s="27">
        <f t="shared" si="106"/>
        <v>365209</v>
      </c>
      <c r="I207" s="104"/>
      <c r="J207" s="663">
        <f>D207-C207</f>
        <v>0</v>
      </c>
      <c r="K207" s="663">
        <f t="shared" si="105"/>
        <v>4411</v>
      </c>
      <c r="L207" s="663">
        <f t="shared" si="105"/>
        <v>7735</v>
      </c>
      <c r="M207" s="663">
        <f t="shared" si="105"/>
        <v>6020</v>
      </c>
      <c r="N207" s="464"/>
      <c r="O207" s="464"/>
    </row>
    <row r="208" spans="1:15" x14ac:dyDescent="0.25">
      <c r="A208" s="1"/>
      <c r="B208" s="343"/>
      <c r="C208" s="27"/>
      <c r="D208" s="27"/>
      <c r="E208" s="27"/>
      <c r="F208" s="27"/>
      <c r="G208" s="27"/>
      <c r="H208" s="27"/>
      <c r="I208" s="104"/>
      <c r="J208" s="663"/>
      <c r="K208" s="663"/>
      <c r="L208" s="663"/>
      <c r="M208" s="663"/>
      <c r="N208" s="464"/>
      <c r="O208" s="464"/>
    </row>
    <row r="209" spans="1:15" x14ac:dyDescent="0.25">
      <c r="A209" s="104"/>
      <c r="B209" s="530" t="s">
        <v>330</v>
      </c>
      <c r="C209" s="532">
        <f t="shared" ref="C209:H210" si="107">C203-C206</f>
        <v>15920</v>
      </c>
      <c r="D209" s="532">
        <f t="shared" ref="D209" si="108">D203-D206</f>
        <v>15920</v>
      </c>
      <c r="E209" s="532">
        <f t="shared" ref="E209:F209" si="109">E203-E206</f>
        <v>15920</v>
      </c>
      <c r="F209" s="532">
        <f t="shared" si="109"/>
        <v>15920</v>
      </c>
      <c r="G209" s="532">
        <f t="shared" si="107"/>
        <v>15920</v>
      </c>
      <c r="H209" s="532">
        <f t="shared" si="107"/>
        <v>4661</v>
      </c>
      <c r="I209" s="104"/>
      <c r="J209" s="663">
        <f>D209-C209</f>
        <v>0</v>
      </c>
      <c r="K209" s="663">
        <f t="shared" ref="K209:M210" si="110">E209-D209</f>
        <v>0</v>
      </c>
      <c r="L209" s="663">
        <f t="shared" si="110"/>
        <v>0</v>
      </c>
      <c r="M209" s="663">
        <f t="shared" si="110"/>
        <v>0</v>
      </c>
      <c r="N209" s="464"/>
      <c r="O209" s="464"/>
    </row>
    <row r="210" spans="1:15" x14ac:dyDescent="0.25">
      <c r="A210" s="1"/>
      <c r="B210" s="531" t="s">
        <v>331</v>
      </c>
      <c r="C210" s="617">
        <f t="shared" si="107"/>
        <v>836110</v>
      </c>
      <c r="D210" s="617">
        <f t="shared" ref="D210" si="111">D204-D207</f>
        <v>836110</v>
      </c>
      <c r="E210" s="617">
        <f t="shared" ref="E210:F210" si="112">E204-E207</f>
        <v>857929</v>
      </c>
      <c r="F210" s="617">
        <f t="shared" si="112"/>
        <v>859329</v>
      </c>
      <c r="G210" s="617">
        <f t="shared" si="107"/>
        <v>859329</v>
      </c>
      <c r="H210" s="617">
        <f t="shared" si="107"/>
        <v>220620</v>
      </c>
      <c r="I210" s="104"/>
      <c r="J210" s="663">
        <f>D210-C210</f>
        <v>0</v>
      </c>
      <c r="K210" s="663">
        <f t="shared" si="110"/>
        <v>21819</v>
      </c>
      <c r="L210" s="663">
        <f t="shared" si="110"/>
        <v>1400</v>
      </c>
      <c r="M210" s="663">
        <f t="shared" si="110"/>
        <v>0</v>
      </c>
      <c r="N210" s="464"/>
      <c r="O210" s="464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04"/>
      <c r="J211" s="104"/>
      <c r="K211" s="104"/>
      <c r="L211" s="104"/>
    </row>
    <row r="212" spans="1:15" x14ac:dyDescent="0.25">
      <c r="A212" s="1"/>
      <c r="B212" s="346" t="s">
        <v>217</v>
      </c>
      <c r="C212" s="346"/>
      <c r="D212" s="346"/>
      <c r="E212" s="346"/>
      <c r="F212" s="346"/>
      <c r="G212" s="346"/>
      <c r="H212" s="346"/>
      <c r="I212" s="104"/>
    </row>
    <row r="213" spans="1:15" x14ac:dyDescent="0.25">
      <c r="A213" s="1"/>
      <c r="B213" s="346" t="s">
        <v>218</v>
      </c>
      <c r="C213" s="346"/>
      <c r="D213" s="346"/>
      <c r="E213" s="346"/>
      <c r="F213" s="346"/>
      <c r="G213" s="346"/>
      <c r="H213" s="346"/>
      <c r="I213" s="104"/>
    </row>
    <row r="214" spans="1:15" x14ac:dyDescent="0.25">
      <c r="A214" s="1"/>
      <c r="B214" s="346"/>
      <c r="C214" s="346"/>
      <c r="D214" s="346"/>
      <c r="E214" s="346"/>
      <c r="F214" s="346"/>
      <c r="G214" s="346"/>
      <c r="H214" s="346"/>
      <c r="I214" s="104"/>
    </row>
    <row r="215" spans="1:15" x14ac:dyDescent="0.25">
      <c r="A215" s="1"/>
      <c r="B215" s="346"/>
      <c r="C215" s="346"/>
      <c r="D215" s="346"/>
      <c r="E215" s="346"/>
      <c r="F215" s="346"/>
      <c r="G215" s="346"/>
      <c r="H215" s="346"/>
      <c r="I215" s="104"/>
    </row>
    <row r="216" spans="1:15" x14ac:dyDescent="0.25">
      <c r="A216" s="1"/>
      <c r="B216" s="348" t="s">
        <v>327</v>
      </c>
      <c r="C216" s="346"/>
      <c r="D216" s="346"/>
      <c r="E216" s="346"/>
      <c r="F216" s="346"/>
      <c r="G216" s="346"/>
      <c r="H216" s="346"/>
      <c r="I216" s="104"/>
    </row>
    <row r="217" spans="1:15" x14ac:dyDescent="0.25">
      <c r="A217" s="1"/>
      <c r="B217" s="347" t="s">
        <v>482</v>
      </c>
      <c r="C217" s="346"/>
      <c r="D217" s="346"/>
      <c r="E217" s="346"/>
      <c r="F217" s="346"/>
      <c r="G217" s="346"/>
      <c r="H217" s="346"/>
      <c r="I217" s="1"/>
    </row>
    <row r="218" spans="1:15" x14ac:dyDescent="0.25">
      <c r="A218" s="1"/>
      <c r="C218" s="346"/>
      <c r="D218" s="346"/>
      <c r="E218" s="346"/>
      <c r="F218" s="346"/>
      <c r="G218" s="346"/>
      <c r="H218" s="346"/>
      <c r="I218" s="1"/>
    </row>
    <row r="219" spans="1:15" x14ac:dyDescent="0.25">
      <c r="A219" s="1"/>
      <c r="B219" s="346" t="s">
        <v>484</v>
      </c>
      <c r="C219" s="346"/>
      <c r="D219" s="346"/>
      <c r="E219" s="346"/>
      <c r="F219" s="346"/>
      <c r="G219" s="346"/>
      <c r="H219" s="346"/>
      <c r="I219" s="1"/>
    </row>
    <row r="220" spans="1:15" x14ac:dyDescent="0.25">
      <c r="A220" s="1"/>
      <c r="B220" s="346" t="s">
        <v>483</v>
      </c>
      <c r="C220" s="346"/>
      <c r="D220" s="346"/>
      <c r="E220" s="346"/>
      <c r="F220" s="346"/>
      <c r="G220" s="346"/>
      <c r="H220" s="346"/>
      <c r="I220" s="1"/>
    </row>
    <row r="221" spans="1:15" x14ac:dyDescent="0.25">
      <c r="A221" s="1"/>
      <c r="B221" s="346"/>
      <c r="C221" s="346"/>
      <c r="D221" s="346"/>
      <c r="E221" s="346"/>
      <c r="F221" s="346"/>
      <c r="G221" s="346"/>
      <c r="H221" s="346"/>
      <c r="I221" s="1"/>
    </row>
    <row r="222" spans="1:15" x14ac:dyDescent="0.25">
      <c r="A222" s="1"/>
      <c r="B222" s="348" t="s">
        <v>485</v>
      </c>
      <c r="C222" s="346"/>
      <c r="D222" s="346"/>
      <c r="E222" s="346"/>
      <c r="F222" s="346"/>
      <c r="G222" s="346"/>
      <c r="H222" s="346"/>
      <c r="I222" s="1"/>
    </row>
    <row r="223" spans="1:15" x14ac:dyDescent="0.25">
      <c r="A223" s="1"/>
      <c r="B223" s="348"/>
      <c r="C223" s="346"/>
      <c r="D223" s="346"/>
      <c r="E223" s="346"/>
      <c r="F223" s="346"/>
      <c r="G223" s="346"/>
      <c r="H223" s="346"/>
      <c r="I223" s="1"/>
    </row>
    <row r="224" spans="1:15" x14ac:dyDescent="0.25">
      <c r="A224" s="1"/>
      <c r="B224" s="348"/>
      <c r="C224" s="346"/>
      <c r="D224" s="346"/>
      <c r="E224" s="346"/>
      <c r="F224" s="346"/>
      <c r="G224" s="346"/>
      <c r="H224" s="346"/>
      <c r="I224" s="1"/>
    </row>
    <row r="225" spans="1:9" x14ac:dyDescent="0.25">
      <c r="A225" s="1"/>
      <c r="B225" s="346" t="s">
        <v>486</v>
      </c>
      <c r="C225" s="346"/>
      <c r="D225" s="346"/>
      <c r="E225" s="346"/>
      <c r="F225" s="346"/>
      <c r="G225" s="346"/>
      <c r="H225" s="346"/>
    </row>
    <row r="226" spans="1:9" x14ac:dyDescent="0.25">
      <c r="A226" s="1"/>
      <c r="B226" s="345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345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345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345"/>
      <c r="C229" s="1"/>
      <c r="D229" s="1"/>
      <c r="E229" s="1"/>
      <c r="F229" s="1"/>
      <c r="G229" s="1"/>
      <c r="H229" s="1"/>
      <c r="I229" s="1"/>
    </row>
  </sheetData>
  <mergeCells count="24">
    <mergeCell ref="A136:B136"/>
    <mergeCell ref="A1:H1"/>
    <mergeCell ref="A2:B2"/>
    <mergeCell ref="A3:B3"/>
    <mergeCell ref="A11:B11"/>
    <mergeCell ref="A69:B69"/>
    <mergeCell ref="A71:B71"/>
    <mergeCell ref="A72:B72"/>
    <mergeCell ref="A76:H76"/>
    <mergeCell ref="A77:B77"/>
    <mergeCell ref="A93:B93"/>
    <mergeCell ref="A133:B133"/>
    <mergeCell ref="A200:B200"/>
    <mergeCell ref="A137:B137"/>
    <mergeCell ref="A141:H141"/>
    <mergeCell ref="A142:B142"/>
    <mergeCell ref="A143:B143"/>
    <mergeCell ref="A153:B153"/>
    <mergeCell ref="A172:H172"/>
    <mergeCell ref="A173:B173"/>
    <mergeCell ref="A190:H190"/>
    <mergeCell ref="A191:B191"/>
    <mergeCell ref="A194:B194"/>
    <mergeCell ref="A197:B197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Header xml:space="preserve">&amp;CRozpočet na rok 2022
1.zmena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úpravy OZ</vt:lpstr>
      <vt:lpstr>úpravy starostu</vt:lpstr>
      <vt:lpstr>investície</vt:lpstr>
      <vt:lpstr>zmena6</vt:lpstr>
      <vt:lpstr>zmena5</vt:lpstr>
      <vt:lpstr>zmena4</vt:lpstr>
      <vt:lpstr>zmena3</vt:lpstr>
      <vt:lpstr>zmena2</vt:lpstr>
      <vt:lpstr>zmena1</vt:lpstr>
      <vt:lpstr>opatrenia</vt:lpstr>
      <vt:lpstr>VR22-24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2022-09-30T13:16:13Z</dcterms:modified>
</cp:coreProperties>
</file>