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31" yWindow="65371" windowWidth="15480" windowHeight="8700" activeTab="3"/>
  </bookViews>
  <sheets>
    <sheet name="2011-2012" sheetId="1" r:id="rId1"/>
    <sheet name="2010 1" sheetId="2" r:id="rId2"/>
    <sheet name="2010" sheetId="3" r:id="rId3"/>
    <sheet name="2010 4" sheetId="4" r:id="rId4"/>
    <sheet name="2010 3" sheetId="5" r:id="rId5"/>
    <sheet name="2010 2 jun" sheetId="6" r:id="rId6"/>
    <sheet name="2010 2" sheetId="7" r:id="rId7"/>
  </sheets>
  <definedNames/>
  <calcPr fullCalcOnLoad="1"/>
</workbook>
</file>

<file path=xl/sharedStrings.xml><?xml version="1.0" encoding="utf-8"?>
<sst xmlns="http://schemas.openxmlformats.org/spreadsheetml/2006/main" count="1707" uniqueCount="258">
  <si>
    <t>Bežný rozpočet - príjmy</t>
  </si>
  <si>
    <t>Názov položky</t>
  </si>
  <si>
    <t>daňové príjmy</t>
  </si>
  <si>
    <t>výnos dane pre územnú samosprávu</t>
  </si>
  <si>
    <t>daň z bytov</t>
  </si>
  <si>
    <t>daň za psa</t>
  </si>
  <si>
    <t>daň za nevýherné hracie prístroje</t>
  </si>
  <si>
    <t>daň za užívanie verejného priestranstva</t>
  </si>
  <si>
    <t>MP za zber a odvoz odpadu</t>
  </si>
  <si>
    <t>nedaňové príjmy</t>
  </si>
  <si>
    <t>prenájom pozemkov</t>
  </si>
  <si>
    <t>prenájom bytov</t>
  </si>
  <si>
    <t>prenájom budov</t>
  </si>
  <si>
    <t xml:space="preserve">správne poplatky </t>
  </si>
  <si>
    <t>ostatné príjmy</t>
  </si>
  <si>
    <t>poplatky za dom smútku</t>
  </si>
  <si>
    <t>príjem za opatrovateľskú službu</t>
  </si>
  <si>
    <t>predaj prebytočného majetku</t>
  </si>
  <si>
    <t>úroky</t>
  </si>
  <si>
    <t>úroky z ZBU, TV</t>
  </si>
  <si>
    <t>granty, dotácie, transfery</t>
  </si>
  <si>
    <t>Dotácia na stavebný úrad</t>
  </si>
  <si>
    <t>Transfer na rodinné prídavky</t>
  </si>
  <si>
    <t>BEŽNÉ PRÍJMY CELKOM:</t>
  </si>
  <si>
    <t>Bežný rozpočet - výdavky</t>
  </si>
  <si>
    <t>Všeobecné verejné služby</t>
  </si>
  <si>
    <t>01116</t>
  </si>
  <si>
    <t>0112</t>
  </si>
  <si>
    <t>Fin.a rozpoč.oblasť - HKON, OZ, audit, bank.poplatky</t>
  </si>
  <si>
    <t>0133</t>
  </si>
  <si>
    <t>Civilná ochrana</t>
  </si>
  <si>
    <t>0220</t>
  </si>
  <si>
    <t xml:space="preserve">Požiarna ochrana </t>
  </si>
  <si>
    <t>0320</t>
  </si>
  <si>
    <t>Všeobecná ekonomická oblasť</t>
  </si>
  <si>
    <t>0411</t>
  </si>
  <si>
    <t>0443</t>
  </si>
  <si>
    <t>04513</t>
  </si>
  <si>
    <t>0490</t>
  </si>
  <si>
    <t>Ochrana životného prostredia</t>
  </si>
  <si>
    <t>0510</t>
  </si>
  <si>
    <t>Nakladanie s odpadmi</t>
  </si>
  <si>
    <t>0560</t>
  </si>
  <si>
    <t>Občianska vybavenosť</t>
  </si>
  <si>
    <t>0640</t>
  </si>
  <si>
    <t>Verejné osvetlenie</t>
  </si>
  <si>
    <t>Rekreácia, šport, kultúra, náboženstvo</t>
  </si>
  <si>
    <t>0810</t>
  </si>
  <si>
    <t>0820</t>
  </si>
  <si>
    <t>Horehronské dni spevu a tanca - obec</t>
  </si>
  <si>
    <t>08203</t>
  </si>
  <si>
    <t>08205</t>
  </si>
  <si>
    <t>08209</t>
  </si>
  <si>
    <t>0830</t>
  </si>
  <si>
    <t>0840</t>
  </si>
  <si>
    <t>0860</t>
  </si>
  <si>
    <t>Vzdelávanie</t>
  </si>
  <si>
    <t>09111</t>
  </si>
  <si>
    <t>09121</t>
  </si>
  <si>
    <t>09501</t>
  </si>
  <si>
    <t>ZUŠ</t>
  </si>
  <si>
    <t>09607</t>
  </si>
  <si>
    <t>Sociálne zabezpečenie</t>
  </si>
  <si>
    <t>10202</t>
  </si>
  <si>
    <t>10203</t>
  </si>
  <si>
    <t>10404</t>
  </si>
  <si>
    <t>1050</t>
  </si>
  <si>
    <t>Aktivačná činnosť</t>
  </si>
  <si>
    <t>10701</t>
  </si>
  <si>
    <t>10703</t>
  </si>
  <si>
    <t>Sociálna pomoc  občanom v núdzi</t>
  </si>
  <si>
    <t>1090</t>
  </si>
  <si>
    <t>Soc. pomoc pri živelných pohromách</t>
  </si>
  <si>
    <t>Transfer pre ZŠ</t>
  </si>
  <si>
    <t>09502</t>
  </si>
  <si>
    <t>Transfer pre ŠKD</t>
  </si>
  <si>
    <t>09601</t>
  </si>
  <si>
    <t>BEŽNÉ VÝDAVKY CELKOM:</t>
  </si>
  <si>
    <t>Kapitálový rozpočet</t>
  </si>
  <si>
    <t>kanalizácia</t>
  </si>
  <si>
    <t>Finančné operácie</t>
  </si>
  <si>
    <t>príjmy bežného rozpočtu</t>
  </si>
  <si>
    <t>výdavky bežného rozpočtu</t>
  </si>
  <si>
    <t>prebytok bežného rozpočtu</t>
  </si>
  <si>
    <t>príjmy kapitálového rozpočtu</t>
  </si>
  <si>
    <t>výdavky kapitálového rozpočtu</t>
  </si>
  <si>
    <t>schodok kapitálového rozpočtu</t>
  </si>
  <si>
    <t>CELKOVÝ  STAV  ROZPOČTU:</t>
  </si>
  <si>
    <t>Príjmy celkom:</t>
  </si>
  <si>
    <t>Výdavky celkom:</t>
  </si>
  <si>
    <t>daň z pozemkov FO, PO</t>
  </si>
  <si>
    <t>daň zo stavieb FO, PO</t>
  </si>
  <si>
    <t>predaj odpadových nádob</t>
  </si>
  <si>
    <t>príjmy za separovaný zber</t>
  </si>
  <si>
    <t>ZUŠ - príspevok rodičov na náklady zariadenia</t>
  </si>
  <si>
    <t>MŠ - príspevok rodičov na náklady zariadenia</t>
  </si>
  <si>
    <t xml:space="preserve">ZŠS - prevod réžie </t>
  </si>
  <si>
    <t>predaj pozemkov, budov</t>
  </si>
  <si>
    <t>príjmy z refundácie za skladníka CO</t>
  </si>
  <si>
    <t>príjmy z ostatných refundácii</t>
  </si>
  <si>
    <t>príjmy z náhrad priestupkového konania</t>
  </si>
  <si>
    <t>príjem z výťažkov lotérií a hazardných hier</t>
  </si>
  <si>
    <t>príjmy z refundácii služieb nebytových priestorov</t>
  </si>
  <si>
    <t>Granty na kultúru</t>
  </si>
  <si>
    <t>Dotácia na matričnú činnosť a REGOP</t>
  </si>
  <si>
    <t>Transfer pre ZŠ - právny subjekt</t>
  </si>
  <si>
    <t>Dotácia na aktivačnú činnosť</t>
  </si>
  <si>
    <t>BEŽNÉ PRÍJMY obce:</t>
  </si>
  <si>
    <t>Vlastný príjem ZŠ</t>
  </si>
  <si>
    <t>Výdavky verejnej správy - samospráva</t>
  </si>
  <si>
    <t>Spoločný stavebný úrad</t>
  </si>
  <si>
    <t>Skladník CO</t>
  </si>
  <si>
    <t>Členské príspevky združeniam, organizáciám</t>
  </si>
  <si>
    <t>Starostlivosť o ŽP, ver.zeleň, čistenie potokov</t>
  </si>
  <si>
    <t>Matričný úrad a REGOP</t>
  </si>
  <si>
    <t>Obecný hasičský zbor</t>
  </si>
  <si>
    <t>Miestne komunikácie-údržba ciest,zimná údržba</t>
  </si>
  <si>
    <t>Správa obecných objektov a majetku</t>
  </si>
  <si>
    <t>Príspevok pre Športový klub</t>
  </si>
  <si>
    <t>Údržba športového areálu</t>
  </si>
  <si>
    <t>Riadenie kultúrnych činností,propagácia</t>
  </si>
  <si>
    <t>Údržba amfiteátra</t>
  </si>
  <si>
    <t>Miestna ľudová knižnica</t>
  </si>
  <si>
    <t>HDST - prevod vstupného SOS</t>
  </si>
  <si>
    <t>Prevádzka Domu smútku a cintorína</t>
  </si>
  <si>
    <t>Kultúrna a športová reprezentácia obce a minigranty</t>
  </si>
  <si>
    <t>ZŠ - údržba priestorov</t>
  </si>
  <si>
    <t>Spoločný školský úrad</t>
  </si>
  <si>
    <t>Opatrovateľská služba</t>
  </si>
  <si>
    <t>Spoločný úrad sociálnej pomoci</t>
  </si>
  <si>
    <t>Mesiac úcty k starším, zlatá svadba</t>
  </si>
  <si>
    <t>Uvítanie detí do života</t>
  </si>
  <si>
    <t>Prídavky na deti</t>
  </si>
  <si>
    <t>Príspevok deťom v hm.núdzi -strava,motivačný,pomôcky</t>
  </si>
  <si>
    <t>BEŽNÉ VÝDAVKY obce:</t>
  </si>
  <si>
    <t>splácanie úveru ŠFRB</t>
  </si>
  <si>
    <t>finančné operácie výdavkové</t>
  </si>
  <si>
    <t>finančné operácie príjmové</t>
  </si>
  <si>
    <t>rozdiel finančných operácií</t>
  </si>
  <si>
    <t>Kapitálové príjmy</t>
  </si>
  <si>
    <t>Kapitálové výdavky</t>
  </si>
  <si>
    <t>príjmové</t>
  </si>
  <si>
    <t>výdavkové</t>
  </si>
  <si>
    <t>REKAPITULÁCIA ROZPOČTU</t>
  </si>
  <si>
    <t>prenájom hrobového miesta</t>
  </si>
  <si>
    <t>pokuty, sankcie</t>
  </si>
  <si>
    <t>príjem za cintorínske služby</t>
  </si>
  <si>
    <t>MŠ</t>
  </si>
  <si>
    <t>príjem z refund. SOS</t>
  </si>
  <si>
    <t>príjmy z katastra za ROEP</t>
  </si>
  <si>
    <t>plnenie rozpočtu</t>
  </si>
  <si>
    <t>rekonštrukcia amfiteátra</t>
  </si>
  <si>
    <t xml:space="preserve">Kolovrátok </t>
  </si>
  <si>
    <t>Školská kuchyňa a jedáleň</t>
  </si>
  <si>
    <t>čerpanie rozpočtu</t>
  </si>
  <si>
    <t>Údržba miest.rozhlasu, SOZA,RTVS,kronika</t>
  </si>
  <si>
    <t>Transfer pre ZŠ :</t>
  </si>
  <si>
    <t>príjem z náhrad poistného plnenia</t>
  </si>
  <si>
    <t>Transfer od obcí na SpU SOC</t>
  </si>
  <si>
    <t>Transfer od ZŠ na SpU ŠKOL</t>
  </si>
  <si>
    <t>Dotácia na HDST od BBSK</t>
  </si>
  <si>
    <t>príjmy zo vstupného a kult.činnosti</t>
  </si>
  <si>
    <t>príjem z dobropisov a vratiek</t>
  </si>
  <si>
    <t>prenájom strojov,prístrojov,zariadení</t>
  </si>
  <si>
    <t>Konverzný kurz: 1 € = 30,1260 Sk</t>
  </si>
  <si>
    <t>príjmy z refundácie zo SF, zam.strava</t>
  </si>
  <si>
    <t>Dotácia MK SR kult. poukazy</t>
  </si>
  <si>
    <t>granty</t>
  </si>
  <si>
    <t>infraštruktúra st.obvod Teplica II.</t>
  </si>
  <si>
    <t>Fašiangy, Mikuláš, Silvester</t>
  </si>
  <si>
    <t>kotolňa st. ZŠ</t>
  </si>
  <si>
    <t>nákup pozemkov st.obvod Teplica II.</t>
  </si>
  <si>
    <t>nákup techniky</t>
  </si>
  <si>
    <t>prevod z FRO - investičné akcie</t>
  </si>
  <si>
    <t>ŠKJ - zariadenie kuchyne</t>
  </si>
  <si>
    <t>Kultúrne podujatia</t>
  </si>
  <si>
    <t>poplatky za služby - užívanie obec.nebyt.priestorov</t>
  </si>
  <si>
    <t>ostatné príjmy /relácie,kopírovanie,fax,kult.../</t>
  </si>
  <si>
    <t>v EUR</t>
  </si>
  <si>
    <t>Rozpočet</t>
  </si>
  <si>
    <t>Fin.a rozpoč.oblasť - HKON, OZ, audit, bank.popl.</t>
  </si>
  <si>
    <t>Rozpočet  2011</t>
  </si>
  <si>
    <t>výstavba zberný dvor</t>
  </si>
  <si>
    <t>návratné zdroje financovania</t>
  </si>
  <si>
    <t>0520</t>
  </si>
  <si>
    <t>výstavba ČOV</t>
  </si>
  <si>
    <t>0620</t>
  </si>
  <si>
    <t>Fašiangy, Mikuláš, Silvester, Zimné večery</t>
  </si>
  <si>
    <t>Transfer na voľby</t>
  </si>
  <si>
    <t>Rozpočet obce Heľpa na rok 2010</t>
  </si>
  <si>
    <t>Rozpočet 2010 v EUR</t>
  </si>
  <si>
    <t>Dotácia na deti v hm.núdzi /strava,pomôcky/</t>
  </si>
  <si>
    <t>Dotácia na matričnú činnosť a REGOB</t>
  </si>
  <si>
    <t xml:space="preserve">splácanie výpomocí </t>
  </si>
  <si>
    <t>Rozpočet v tis.Sk</t>
  </si>
  <si>
    <t>Rozpočet v tis. Sk</t>
  </si>
  <si>
    <t>Dotácia na výchovu,vzdelávanie MŠ</t>
  </si>
  <si>
    <t>Dotácia na projekty M SR</t>
  </si>
  <si>
    <t>stavebné úpravy ZŠ</t>
  </si>
  <si>
    <t>projektová dokumentácia</t>
  </si>
  <si>
    <t>regenerácia sídel</t>
  </si>
  <si>
    <t>kapitálové transfery</t>
  </si>
  <si>
    <t>splácanie inv. úveru na projekty</t>
  </si>
  <si>
    <t>Rozpočet obce Heľpa na roky 2011 - 2012</t>
  </si>
  <si>
    <t>Dotácia na výchovu a vzdelávanie MŠ</t>
  </si>
  <si>
    <t>Rozpočet  2012</t>
  </si>
  <si>
    <t>Príspevok deťom v hm.núdzi -strava,pomôcky</t>
  </si>
  <si>
    <t>rekonštrukcie</t>
  </si>
  <si>
    <t>splácanie úveru projekty</t>
  </si>
  <si>
    <t>prevod z peňažných fondov</t>
  </si>
  <si>
    <t>Prerokovaný OZ v Heľpe UZ č. 88/2009 dňa 11.12.2009</t>
  </si>
  <si>
    <t>Schválený uznesením OZ v Heľpe č. 83/2009 na rokovaní dňa 11.12.2009</t>
  </si>
  <si>
    <t>zmena I.</t>
  </si>
  <si>
    <t>Dotácia MF SR soc.služby</t>
  </si>
  <si>
    <t>Dotácia na osobit.príjemcu PnD</t>
  </si>
  <si>
    <t>nákup budov, objektov na ver. Účely</t>
  </si>
  <si>
    <t>stavebné úpravy ZUŠ</t>
  </si>
  <si>
    <t>stavebné úpravy neurolog.ambulancia</t>
  </si>
  <si>
    <t>Matričný úrad a REGOB</t>
  </si>
  <si>
    <t>0160</t>
  </si>
  <si>
    <t>Voľby NR SR</t>
  </si>
  <si>
    <t>Dotácia na voľby NR SR</t>
  </si>
  <si>
    <t>nákup techniky, preprogram.tel.ústredne</t>
  </si>
  <si>
    <t>ZŠ - odvod za učebnice</t>
  </si>
  <si>
    <t>Skutočnosť 3</t>
  </si>
  <si>
    <t>Skutočnosť 5</t>
  </si>
  <si>
    <t>úprava I.</t>
  </si>
  <si>
    <t>ostatné príjmy /relácie,kopírovanie,fax,.../</t>
  </si>
  <si>
    <t xml:space="preserve">ŠKJ - prevod réžie </t>
  </si>
  <si>
    <t>Dotácia MF SR Uz. vlády</t>
  </si>
  <si>
    <t>Dotácia na aktivačnú činnosť + zamestnanosť</t>
  </si>
  <si>
    <t>nákup budov, objektov na ver. účely</t>
  </si>
  <si>
    <t>schody ku kostolu</t>
  </si>
  <si>
    <t>modernizácia VEO</t>
  </si>
  <si>
    <t>príjem z refund. UPVRS - PRMZ</t>
  </si>
  <si>
    <t>Úprava rozpočtu schválená uznesením OZ v Heľpe č. 128/2010 na rokovaní dňa 21.6.2010</t>
  </si>
  <si>
    <t>úprava II.</t>
  </si>
  <si>
    <t>príjem z refund. UPVRS - PRMZ,AČ</t>
  </si>
  <si>
    <t>Dotácia na voľby NR SR, referendum</t>
  </si>
  <si>
    <t>Dotácia EF SR - POD tvorivé dielne</t>
  </si>
  <si>
    <t>príjmy z refundácií ZŠ</t>
  </si>
  <si>
    <t xml:space="preserve">ZŠ </t>
  </si>
  <si>
    <t>Voľby NR SR, Referendum</t>
  </si>
  <si>
    <t>Spoločný stavebný úrad,tabule projekty</t>
  </si>
  <si>
    <t>regenerácia obce</t>
  </si>
  <si>
    <t>Aktivačná činnosť + zamestnanosť</t>
  </si>
  <si>
    <t>Úprava rozpočtu schválená uznesením OZ v Heľpe č. 157/2010 na rokovaní dňa 30.9.2010</t>
  </si>
  <si>
    <t>Skutočnosť 9</t>
  </si>
  <si>
    <t>Projekt EF POD - tvorivé dielne</t>
  </si>
  <si>
    <t>Skutočnosť 6</t>
  </si>
  <si>
    <t>Voľby, referendum</t>
  </si>
  <si>
    <t>Aktivačná činnosť, PRMZ</t>
  </si>
  <si>
    <t>Skutočnosť 12</t>
  </si>
  <si>
    <t>Úprava rozpočtu schválená uznesením OZ v Heľpe č. 168/2010 na rokovaní dňa 22.11.2010</t>
  </si>
  <si>
    <t>poskyt.návr.fin.výpomoci</t>
  </si>
  <si>
    <t>Kolovrátok + BBSK</t>
  </si>
  <si>
    <t>Horehronské dni spevu a tanca - obec + BBSK</t>
  </si>
  <si>
    <t>úprava III.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</si>
</sst>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"/>
    <numFmt numFmtId="181" formatCode="0.0"/>
    <numFmt numFmtId="182" formatCode="0.00000"/>
    <numFmt numFmtId="183" formatCode="0.0000"/>
  </numFmts>
  <fonts count="37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Bookman Old Style"/>
      <family val="1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color indexed="10"/>
      <name val="Bookman Old Style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4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43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2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3" fontId="4" fillId="2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4" borderId="13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49" fontId="4" fillId="4" borderId="15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2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49" fontId="0" fillId="0" borderId="22" xfId="0" applyNumberFormat="1" applyFill="1" applyBorder="1" applyAlignment="1">
      <alignment horizontal="right"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7" borderId="15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49" fontId="0" fillId="0" borderId="27" xfId="0" applyNumberFormat="1" applyFill="1" applyBorder="1" applyAlignment="1">
      <alignment horizontal="right"/>
    </xf>
    <xf numFmtId="0" fontId="0" fillId="4" borderId="16" xfId="0" applyFill="1" applyBorder="1" applyAlignment="1">
      <alignment/>
    </xf>
    <xf numFmtId="49" fontId="0" fillId="0" borderId="2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0" fillId="0" borderId="30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" fontId="0" fillId="0" borderId="31" xfId="0" applyNumberFormat="1" applyBorder="1" applyAlignment="1">
      <alignment/>
    </xf>
    <xf numFmtId="1" fontId="0" fillId="0" borderId="31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0" fillId="0" borderId="31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11" fillId="25" borderId="33" xfId="0" applyNumberFormat="1" applyFont="1" applyFill="1" applyBorder="1" applyAlignment="1">
      <alignment/>
    </xf>
    <xf numFmtId="1" fontId="2" fillId="17" borderId="31" xfId="0" applyNumberFormat="1" applyFont="1" applyFill="1" applyBorder="1" applyAlignment="1">
      <alignment horizontal="left"/>
    </xf>
    <xf numFmtId="1" fontId="5" fillId="8" borderId="34" xfId="0" applyNumberFormat="1" applyFont="1" applyFill="1" applyBorder="1" applyAlignment="1">
      <alignment horizontal="left"/>
    </xf>
    <xf numFmtId="1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21" xfId="0" applyNumberForma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/>
    </xf>
    <xf numFmtId="1" fontId="1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18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0" fontId="7" fillId="0" borderId="22" xfId="0" applyFont="1" applyBorder="1" applyAlignment="1">
      <alignment/>
    </xf>
    <xf numFmtId="1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19" borderId="39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/>
    </xf>
    <xf numFmtId="1" fontId="0" fillId="0" borderId="20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1" fontId="2" fillId="17" borderId="36" xfId="0" applyNumberFormat="1" applyFont="1" applyFill="1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41" xfId="0" applyFont="1" applyBorder="1" applyAlignment="1">
      <alignment/>
    </xf>
    <xf numFmtId="1" fontId="0" fillId="0" borderId="42" xfId="0" applyNumberFormat="1" applyFont="1" applyFill="1" applyBorder="1" applyAlignment="1">
      <alignment horizontal="right"/>
    </xf>
    <xf numFmtId="1" fontId="2" fillId="8" borderId="43" xfId="0" applyNumberFormat="1" applyFont="1" applyFill="1" applyBorder="1" applyAlignment="1">
      <alignment horizontal="left"/>
    </xf>
    <xf numFmtId="0" fontId="0" fillId="0" borderId="44" xfId="0" applyFont="1" applyBorder="1" applyAlignment="1">
      <alignment/>
    </xf>
    <xf numFmtId="49" fontId="0" fillId="0" borderId="45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 horizontal="right"/>
    </xf>
    <xf numFmtId="49" fontId="0" fillId="0" borderId="27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7" borderId="29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0" borderId="45" xfId="0" applyFont="1" applyFill="1" applyBorder="1" applyAlignment="1">
      <alignment/>
    </xf>
    <xf numFmtId="0" fontId="2" fillId="4" borderId="46" xfId="0" applyFont="1" applyFill="1" applyBorder="1" applyAlignment="1">
      <alignment/>
    </xf>
    <xf numFmtId="0" fontId="0" fillId="4" borderId="47" xfId="0" applyFill="1" applyBorder="1" applyAlignment="1">
      <alignment/>
    </xf>
    <xf numFmtId="1" fontId="2" fillId="17" borderId="30" xfId="0" applyNumberFormat="1" applyFont="1" applyFill="1" applyBorder="1" applyAlignment="1">
      <alignment horizontal="left"/>
    </xf>
    <xf numFmtId="1" fontId="2" fillId="17" borderId="20" xfId="0" applyNumberFormat="1" applyFont="1" applyFill="1" applyBorder="1" applyAlignment="1">
      <alignment horizontal="left"/>
    </xf>
    <xf numFmtId="49" fontId="0" fillId="0" borderId="29" xfId="0" applyNumberFormat="1" applyBorder="1" applyAlignment="1">
      <alignment horizontal="right"/>
    </xf>
    <xf numFmtId="49" fontId="0" fillId="0" borderId="18" xfId="0" applyNumberFormat="1" applyFont="1" applyFill="1" applyBorder="1" applyAlignment="1">
      <alignment horizontal="left"/>
    </xf>
    <xf numFmtId="3" fontId="0" fillId="0" borderId="3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11" fillId="25" borderId="33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5" fillId="8" borderId="48" xfId="0" applyNumberFormat="1" applyFont="1" applyFill="1" applyBorder="1" applyAlignment="1">
      <alignment horizontal="left"/>
    </xf>
    <xf numFmtId="3" fontId="0" fillId="0" borderId="37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8" borderId="34" xfId="0" applyNumberFormat="1" applyFont="1" applyFill="1" applyBorder="1" applyAlignment="1">
      <alignment horizontal="left"/>
    </xf>
    <xf numFmtId="3" fontId="0" fillId="0" borderId="17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49" xfId="0" applyNumberFormat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" fillId="4" borderId="51" xfId="0" applyNumberFormat="1" applyFont="1" applyFill="1" applyBorder="1" applyAlignment="1">
      <alignment horizontal="left"/>
    </xf>
    <xf numFmtId="3" fontId="4" fillId="4" borderId="33" xfId="0" applyNumberFormat="1" applyFont="1" applyFill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4" borderId="16" xfId="0" applyNumberFormat="1" applyFont="1" applyFill="1" applyBorder="1" applyAlignment="1">
      <alignment horizontal="left"/>
    </xf>
    <xf numFmtId="3" fontId="4" fillId="0" borderId="37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17" borderId="42" xfId="0" applyNumberFormat="1" applyFont="1" applyFill="1" applyBorder="1" applyAlignment="1">
      <alignment/>
    </xf>
    <xf numFmtId="3" fontId="2" fillId="4" borderId="33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4" fillId="4" borderId="13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4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4" fillId="7" borderId="51" xfId="0" applyNumberFormat="1" applyFont="1" applyFill="1" applyBorder="1" applyAlignment="1">
      <alignment horizontal="left"/>
    </xf>
    <xf numFmtId="3" fontId="4" fillId="7" borderId="33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2" fillId="7" borderId="33" xfId="0" applyNumberFormat="1" applyFont="1" applyFill="1" applyBorder="1" applyAlignment="1">
      <alignment horizontal="left"/>
    </xf>
    <xf numFmtId="3" fontId="4" fillId="7" borderId="43" xfId="0" applyNumberFormat="1" applyFont="1" applyFill="1" applyBorder="1" applyAlignment="1">
      <alignment horizontal="left"/>
    </xf>
    <xf numFmtId="3" fontId="4" fillId="7" borderId="34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4" borderId="43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4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3" fontId="0" fillId="0" borderId="53" xfId="0" applyNumberFormat="1" applyFont="1" applyFill="1" applyBorder="1" applyAlignment="1">
      <alignment horizontal="right"/>
    </xf>
    <xf numFmtId="3" fontId="2" fillId="17" borderId="13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0" fillId="7" borderId="13" xfId="0" applyFill="1" applyBorder="1" applyAlignment="1">
      <alignment/>
    </xf>
    <xf numFmtId="3" fontId="2" fillId="7" borderId="13" xfId="0" applyNumberFormat="1" applyFont="1" applyFill="1" applyBorder="1" applyAlignment="1">
      <alignment horizontal="left"/>
    </xf>
    <xf numFmtId="3" fontId="0" fillId="0" borderId="44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0" fillId="0" borderId="10" xfId="0" applyFont="1" applyFill="1" applyBorder="1" applyAlignment="1">
      <alignment/>
    </xf>
    <xf numFmtId="49" fontId="0" fillId="0" borderId="54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2" fillId="4" borderId="45" xfId="0" applyFont="1" applyFill="1" applyBorder="1" applyAlignment="1">
      <alignment/>
    </xf>
    <xf numFmtId="49" fontId="0" fillId="0" borderId="45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3" fontId="0" fillId="0" borderId="55" xfId="0" applyNumberFormat="1" applyFont="1" applyBorder="1" applyAlignment="1">
      <alignment/>
    </xf>
    <xf numFmtId="3" fontId="5" fillId="8" borderId="43" xfId="0" applyNumberFormat="1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0" fontId="0" fillId="0" borderId="54" xfId="0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2" fillId="7" borderId="18" xfId="0" applyNumberFormat="1" applyFont="1" applyFill="1" applyBorder="1" applyAlignment="1">
      <alignment horizontal="left"/>
    </xf>
    <xf numFmtId="3" fontId="2" fillId="7" borderId="44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3" fontId="4" fillId="4" borderId="33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3" fontId="2" fillId="4" borderId="33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3" fontId="4" fillId="17" borderId="42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1" fontId="0" fillId="0" borderId="56" xfId="0" applyNumberFormat="1" applyFont="1" applyFill="1" applyBorder="1" applyAlignment="1">
      <alignment horizontal="right"/>
    </xf>
    <xf numFmtId="1" fontId="0" fillId="0" borderId="44" xfId="0" applyNumberFormat="1" applyFont="1" applyFill="1" applyBorder="1" applyAlignment="1">
      <alignment horizontal="right"/>
    </xf>
    <xf numFmtId="49" fontId="0" fillId="0" borderId="57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1" fontId="0" fillId="0" borderId="58" xfId="0" applyNumberFormat="1" applyFont="1" applyFill="1" applyBorder="1" applyAlignment="1">
      <alignment horizontal="right"/>
    </xf>
    <xf numFmtId="1" fontId="0" fillId="0" borderId="41" xfId="0" applyNumberFormat="1" applyFont="1" applyFill="1" applyBorder="1" applyAlignment="1">
      <alignment horizontal="right"/>
    </xf>
    <xf numFmtId="0" fontId="0" fillId="0" borderId="53" xfId="0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0" fontId="0" fillId="0" borderId="31" xfId="0" applyFont="1" applyBorder="1" applyAlignment="1">
      <alignment/>
    </xf>
    <xf numFmtId="1" fontId="0" fillId="0" borderId="20" xfId="0" applyNumberFormat="1" applyFont="1" applyBorder="1" applyAlignment="1">
      <alignment/>
    </xf>
    <xf numFmtId="49" fontId="0" fillId="0" borderId="20" xfId="0" applyNumberFormat="1" applyFill="1" applyBorder="1" applyAlignment="1">
      <alignment horizontal="right"/>
    </xf>
    <xf numFmtId="3" fontId="0" fillId="0" borderId="59" xfId="0" applyNumberFormat="1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0" fillId="0" borderId="61" xfId="0" applyNumberFormat="1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1" xfId="0" applyNumberForma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4" fillId="4" borderId="34" xfId="0" applyNumberFormat="1" applyFont="1" applyFill="1" applyBorder="1" applyAlignment="1">
      <alignment horizontal="left"/>
    </xf>
    <xf numFmtId="3" fontId="4" fillId="4" borderId="48" xfId="0" applyNumberFormat="1" applyFont="1" applyFill="1" applyBorder="1" applyAlignment="1">
      <alignment horizontal="left"/>
    </xf>
    <xf numFmtId="3" fontId="2" fillId="4" borderId="66" xfId="0" applyNumberFormat="1" applyFont="1" applyFill="1" applyBorder="1" applyAlignment="1">
      <alignment horizontal="left"/>
    </xf>
    <xf numFmtId="3" fontId="4" fillId="17" borderId="67" xfId="0" applyNumberFormat="1" applyFont="1" applyFill="1" applyBorder="1" applyAlignment="1">
      <alignment/>
    </xf>
    <xf numFmtId="3" fontId="2" fillId="4" borderId="34" xfId="0" applyNumberFormat="1" applyFont="1" applyFill="1" applyBorder="1" applyAlignment="1">
      <alignment horizontal="left"/>
    </xf>
    <xf numFmtId="3" fontId="0" fillId="0" borderId="68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2" fillId="4" borderId="32" xfId="0" applyNumberFormat="1" applyFont="1" applyFill="1" applyBorder="1" applyAlignment="1">
      <alignment horizontal="left"/>
    </xf>
    <xf numFmtId="3" fontId="4" fillId="0" borderId="36" xfId="0" applyNumberFormat="1" applyFont="1" applyFill="1" applyBorder="1" applyAlignment="1">
      <alignment/>
    </xf>
    <xf numFmtId="3" fontId="12" fillId="0" borderId="44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3" fillId="0" borderId="67" xfId="0" applyNumberFormat="1" applyFont="1" applyFill="1" applyBorder="1" applyAlignment="1">
      <alignment horizontal="center"/>
    </xf>
    <xf numFmtId="3" fontId="12" fillId="0" borderId="31" xfId="0" applyNumberFormat="1" applyFont="1" applyBorder="1" applyAlignment="1">
      <alignment/>
    </xf>
    <xf numFmtId="3" fontId="12" fillId="0" borderId="41" xfId="0" applyNumberFormat="1" applyFont="1" applyFill="1" applyBorder="1" applyAlignment="1">
      <alignment horizontal="right"/>
    </xf>
    <xf numFmtId="3" fontId="12" fillId="0" borderId="36" xfId="0" applyNumberFormat="1" applyFont="1" applyBorder="1" applyAlignment="1">
      <alignment/>
    </xf>
    <xf numFmtId="3" fontId="2" fillId="17" borderId="69" xfId="0" applyNumberFormat="1" applyFont="1" applyFill="1" applyBorder="1" applyAlignment="1">
      <alignment horizontal="left"/>
    </xf>
    <xf numFmtId="3" fontId="2" fillId="17" borderId="33" xfId="0" applyNumberFormat="1" applyFont="1" applyFill="1" applyBorder="1" applyAlignment="1">
      <alignment horizontal="left"/>
    </xf>
    <xf numFmtId="3" fontId="0" fillId="0" borderId="36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 horizontal="right"/>
    </xf>
    <xf numFmtId="3" fontId="12" fillId="0" borderId="53" xfId="0" applyNumberFormat="1" applyFont="1" applyBorder="1" applyAlignment="1">
      <alignment/>
    </xf>
    <xf numFmtId="0" fontId="7" fillId="0" borderId="29" xfId="0" applyFont="1" applyBorder="1" applyAlignment="1">
      <alignment/>
    </xf>
    <xf numFmtId="3" fontId="18" fillId="0" borderId="44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49" fontId="0" fillId="0" borderId="24" xfId="0" applyNumberForma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3" fontId="12" fillId="0" borderId="42" xfId="0" applyNumberFormat="1" applyFont="1" applyBorder="1" applyAlignment="1">
      <alignment/>
    </xf>
    <xf numFmtId="3" fontId="12" fillId="0" borderId="44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53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3" fontId="0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" fillId="17" borderId="33" xfId="0" applyNumberFormat="1" applyFont="1" applyFill="1" applyBorder="1" applyAlignment="1">
      <alignment horizontal="left"/>
    </xf>
    <xf numFmtId="3" fontId="0" fillId="0" borderId="44" xfId="0" applyNumberFormat="1" applyFont="1" applyFill="1" applyBorder="1" applyAlignment="1">
      <alignment horizontal="right"/>
    </xf>
    <xf numFmtId="3" fontId="0" fillId="0" borderId="53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31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1" xfId="0" applyNumberFormat="1" applyFont="1" applyBorder="1" applyAlignment="1">
      <alignment/>
    </xf>
    <xf numFmtId="3" fontId="0" fillId="0" borderId="70" xfId="0" applyNumberFormat="1" applyFont="1" applyFill="1" applyBorder="1" applyAlignment="1">
      <alignment horizontal="right"/>
    </xf>
    <xf numFmtId="3" fontId="0" fillId="0" borderId="40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3" fontId="0" fillId="0" borderId="72" xfId="0" applyNumberFormat="1" applyFont="1" applyFill="1" applyBorder="1" applyAlignment="1">
      <alignment horizontal="right"/>
    </xf>
    <xf numFmtId="3" fontId="2" fillId="4" borderId="43" xfId="0" applyNumberFormat="1" applyFont="1" applyFill="1" applyBorder="1" applyAlignment="1">
      <alignment horizontal="left"/>
    </xf>
    <xf numFmtId="3" fontId="2" fillId="17" borderId="43" xfId="0" applyNumberFormat="1" applyFont="1" applyFill="1" applyBorder="1" applyAlignment="1">
      <alignment horizontal="left"/>
    </xf>
    <xf numFmtId="3" fontId="2" fillId="17" borderId="51" xfId="0" applyNumberFormat="1" applyFont="1" applyFill="1" applyBorder="1" applyAlignment="1">
      <alignment horizontal="left"/>
    </xf>
    <xf numFmtId="3" fontId="2" fillId="7" borderId="51" xfId="0" applyNumberFormat="1" applyFont="1" applyFill="1" applyBorder="1" applyAlignment="1">
      <alignment horizontal="left"/>
    </xf>
    <xf numFmtId="3" fontId="2" fillId="7" borderId="43" xfId="0" applyNumberFormat="1" applyFont="1" applyFill="1" applyBorder="1" applyAlignment="1">
      <alignment horizontal="left"/>
    </xf>
    <xf numFmtId="3" fontId="0" fillId="0" borderId="38" xfId="0" applyNumberFormat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8" borderId="0" xfId="0" applyFill="1" applyAlignment="1">
      <alignment/>
    </xf>
    <xf numFmtId="3" fontId="19" fillId="0" borderId="0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3" fontId="12" fillId="0" borderId="31" xfId="0" applyNumberFormat="1" applyFont="1" applyFill="1" applyBorder="1" applyAlignment="1">
      <alignment horizontal="right"/>
    </xf>
    <xf numFmtId="3" fontId="18" fillId="0" borderId="31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53" xfId="0" applyNumberFormat="1" applyFont="1" applyBorder="1" applyAlignment="1">
      <alignment/>
    </xf>
    <xf numFmtId="3" fontId="12" fillId="0" borderId="44" xfId="0" applyNumberFormat="1" applyFont="1" applyFill="1" applyBorder="1" applyAlignment="1">
      <alignment horizontal="right"/>
    </xf>
    <xf numFmtId="3" fontId="0" fillId="0" borderId="36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36" xfId="0" applyNumberFormat="1" applyFont="1" applyFill="1" applyBorder="1" applyAlignment="1">
      <alignment horizontal="right"/>
    </xf>
    <xf numFmtId="0" fontId="4" fillId="19" borderId="54" xfId="0" applyFont="1" applyFill="1" applyBorder="1" applyAlignment="1">
      <alignment horizontal="center" wrapText="1"/>
    </xf>
    <xf numFmtId="0" fontId="4" fillId="19" borderId="57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9" fillId="25" borderId="73" xfId="0" applyFont="1" applyFill="1" applyBorder="1" applyAlignment="1">
      <alignment/>
    </xf>
    <xf numFmtId="0" fontId="10" fillId="0" borderId="48" xfId="0" applyFont="1" applyBorder="1" applyAlignment="1">
      <alignment/>
    </xf>
    <xf numFmtId="1" fontId="4" fillId="19" borderId="44" xfId="0" applyNumberFormat="1" applyFont="1" applyFill="1" applyBorder="1" applyAlignment="1">
      <alignment horizontal="center" wrapText="1"/>
    </xf>
    <xf numFmtId="1" fontId="4" fillId="19" borderId="41" xfId="0" applyNumberFormat="1" applyFont="1" applyFill="1" applyBorder="1" applyAlignment="1">
      <alignment horizontal="center" wrapText="1"/>
    </xf>
    <xf numFmtId="0" fontId="4" fillId="19" borderId="44" xfId="0" applyFont="1" applyFill="1" applyBorder="1" applyAlignment="1">
      <alignment horizontal="center" wrapText="1"/>
    </xf>
    <xf numFmtId="0" fontId="4" fillId="19" borderId="32" xfId="0" applyFont="1" applyFill="1" applyBorder="1" applyAlignment="1">
      <alignment horizontal="center" wrapText="1"/>
    </xf>
    <xf numFmtId="0" fontId="4" fillId="19" borderId="70" xfId="0" applyFont="1" applyFill="1" applyBorder="1" applyAlignment="1">
      <alignment horizontal="center" wrapText="1"/>
    </xf>
    <xf numFmtId="0" fontId="4" fillId="19" borderId="72" xfId="0" applyFont="1" applyFill="1" applyBorder="1" applyAlignment="1">
      <alignment horizontal="center" wrapText="1"/>
    </xf>
    <xf numFmtId="0" fontId="2" fillId="17" borderId="20" xfId="0" applyFont="1" applyFill="1" applyBorder="1" applyAlignment="1">
      <alignment horizontal="left"/>
    </xf>
    <xf numFmtId="0" fontId="2" fillId="17" borderId="62" xfId="0" applyFont="1" applyFill="1" applyBorder="1" applyAlignment="1">
      <alignment horizontal="left"/>
    </xf>
    <xf numFmtId="0" fontId="6" fillId="25" borderId="24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4" fillId="19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19" borderId="41" xfId="0" applyFont="1" applyFill="1" applyBorder="1" applyAlignment="1">
      <alignment horizontal="center" wrapText="1"/>
    </xf>
    <xf numFmtId="0" fontId="5" fillId="8" borderId="73" xfId="0" applyFont="1" applyFill="1" applyBorder="1" applyAlignment="1">
      <alignment horizontal="left"/>
    </xf>
    <xf numFmtId="0" fontId="5" fillId="8" borderId="69" xfId="0" applyFont="1" applyFill="1" applyBorder="1" applyAlignment="1">
      <alignment horizontal="left"/>
    </xf>
    <xf numFmtId="0" fontId="3" fillId="17" borderId="24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77" xfId="0" applyFont="1" applyFill="1" applyBorder="1" applyAlignment="1">
      <alignment horizontal="center"/>
    </xf>
    <xf numFmtId="0" fontId="0" fillId="0" borderId="7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8" borderId="28" xfId="0" applyFont="1" applyFill="1" applyBorder="1" applyAlignment="1">
      <alignment horizontal="center"/>
    </xf>
    <xf numFmtId="0" fontId="3" fillId="8" borderId="7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4" borderId="73" xfId="0" applyFont="1" applyFill="1" applyBorder="1" applyAlignment="1">
      <alignment horizontal="left"/>
    </xf>
    <xf numFmtId="0" fontId="4" fillId="4" borderId="48" xfId="0" applyFont="1" applyFill="1" applyBorder="1" applyAlignment="1">
      <alignment horizontal="left"/>
    </xf>
    <xf numFmtId="49" fontId="4" fillId="17" borderId="28" xfId="0" applyNumberFormat="1" applyFont="1" applyFill="1" applyBorder="1" applyAlignment="1">
      <alignment horizontal="left"/>
    </xf>
    <xf numFmtId="49" fontId="4" fillId="17" borderId="79" xfId="0" applyNumberFormat="1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76" xfId="0" applyFont="1" applyFill="1" applyBorder="1" applyAlignment="1">
      <alignment horizontal="center"/>
    </xf>
    <xf numFmtId="0" fontId="4" fillId="19" borderId="28" xfId="0" applyFont="1" applyFill="1" applyBorder="1" applyAlignment="1">
      <alignment horizontal="center" vertical="center"/>
    </xf>
    <xf numFmtId="0" fontId="4" fillId="19" borderId="76" xfId="0" applyFont="1" applyFill="1" applyBorder="1" applyAlignment="1">
      <alignment horizontal="center" vertical="center"/>
    </xf>
    <xf numFmtId="0" fontId="4" fillId="7" borderId="73" xfId="0" applyFont="1" applyFill="1" applyBorder="1" applyAlignment="1">
      <alignment horizontal="left"/>
    </xf>
    <xf numFmtId="0" fontId="4" fillId="7" borderId="48" xfId="0" applyFont="1" applyFill="1" applyBorder="1" applyAlignment="1">
      <alignment horizontal="left"/>
    </xf>
    <xf numFmtId="0" fontId="3" fillId="7" borderId="28" xfId="0" applyFont="1" applyFill="1" applyBorder="1" applyAlignment="1">
      <alignment horizontal="center"/>
    </xf>
    <xf numFmtId="0" fontId="3" fillId="7" borderId="7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19" borderId="39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19" borderId="44" xfId="0" applyFont="1" applyFill="1" applyBorder="1" applyAlignment="1">
      <alignment horizontal="center" vertical="center" wrapText="1"/>
    </xf>
    <xf numFmtId="0" fontId="4" fillId="19" borderId="41" xfId="0" applyFont="1" applyFill="1" applyBorder="1" applyAlignment="1">
      <alignment horizontal="center" vertical="center" wrapText="1"/>
    </xf>
    <xf numFmtId="0" fontId="4" fillId="19" borderId="61" xfId="0" applyFont="1" applyFill="1" applyBorder="1" applyAlignment="1">
      <alignment horizontal="center" wrapText="1"/>
    </xf>
    <xf numFmtId="0" fontId="4" fillId="19" borderId="65" xfId="0" applyFont="1" applyFill="1" applyBorder="1" applyAlignment="1">
      <alignment horizontal="center" wrapText="1"/>
    </xf>
    <xf numFmtId="0" fontId="2" fillId="17" borderId="73" xfId="0" applyFont="1" applyFill="1" applyBorder="1" applyAlignment="1">
      <alignment horizontal="left"/>
    </xf>
    <xf numFmtId="0" fontId="2" fillId="17" borderId="48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" fillId="19" borderId="63" xfId="0" applyFont="1" applyFill="1" applyBorder="1" applyAlignment="1">
      <alignment horizontal="center" wrapText="1"/>
    </xf>
    <xf numFmtId="0" fontId="6" fillId="25" borderId="28" xfId="0" applyFont="1" applyFill="1" applyBorder="1" applyAlignment="1">
      <alignment horizontal="center"/>
    </xf>
    <xf numFmtId="0" fontId="6" fillId="25" borderId="76" xfId="0" applyFont="1" applyFill="1" applyBorder="1" applyAlignment="1">
      <alignment horizontal="center"/>
    </xf>
    <xf numFmtId="0" fontId="3" fillId="17" borderId="28" xfId="0" applyFont="1" applyFill="1" applyBorder="1" applyAlignment="1">
      <alignment horizontal="center"/>
    </xf>
    <xf numFmtId="0" fontId="3" fillId="17" borderId="76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3" fontId="2" fillId="7" borderId="0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6.00390625" style="0" customWidth="1"/>
    <col min="2" max="2" width="42.375" style="0" customWidth="1"/>
    <col min="3" max="4" width="13.875" style="0" customWidth="1"/>
  </cols>
  <sheetData>
    <row r="1" spans="1:7" ht="20.25">
      <c r="A1" s="426" t="s">
        <v>203</v>
      </c>
      <c r="B1" s="426"/>
      <c r="C1" s="426"/>
      <c r="D1" s="426"/>
      <c r="E1" s="1"/>
      <c r="F1" s="1"/>
      <c r="G1" s="1"/>
    </row>
    <row r="2" spans="1:7" ht="15.75">
      <c r="A2" s="427" t="s">
        <v>178</v>
      </c>
      <c r="B2" s="427"/>
      <c r="C2" s="427"/>
      <c r="D2" s="427"/>
      <c r="E2" s="2"/>
      <c r="F2" s="2"/>
      <c r="G2" s="2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428" t="s">
        <v>210</v>
      </c>
      <c r="B4" s="428"/>
      <c r="C4" s="428"/>
      <c r="D4" s="428"/>
      <c r="E4" s="81"/>
      <c r="F4" s="81"/>
      <c r="G4" s="2"/>
    </row>
    <row r="5" spans="1:7" ht="12.75">
      <c r="A5" s="81"/>
      <c r="B5" s="81"/>
      <c r="C5" s="81"/>
      <c r="D5" s="81"/>
      <c r="E5" s="81"/>
      <c r="F5" s="81"/>
      <c r="G5" s="81"/>
    </row>
    <row r="6" spans="5:7" ht="12.75">
      <c r="E6" s="15"/>
      <c r="F6" s="15"/>
      <c r="G6" s="15"/>
    </row>
    <row r="7" spans="1:7" ht="18.75" thickBot="1">
      <c r="A7" s="424" t="s">
        <v>0</v>
      </c>
      <c r="B7" s="425"/>
      <c r="C7" s="425"/>
      <c r="D7" s="425"/>
      <c r="E7" s="67"/>
      <c r="F7" s="67"/>
      <c r="G7" s="67"/>
    </row>
    <row r="8" spans="1:4" ht="12.75" customHeight="1">
      <c r="A8" s="397" t="s">
        <v>1</v>
      </c>
      <c r="B8" s="398"/>
      <c r="C8" s="100" t="s">
        <v>179</v>
      </c>
      <c r="D8" s="100" t="s">
        <v>179</v>
      </c>
    </row>
    <row r="9" spans="1:4" ht="13.5" thickBot="1">
      <c r="A9" s="420"/>
      <c r="B9" s="421"/>
      <c r="C9" s="101">
        <v>2011</v>
      </c>
      <c r="D9" s="101">
        <v>2012</v>
      </c>
    </row>
    <row r="10" spans="1:4" ht="13.5" thickBot="1">
      <c r="A10" s="422" t="s">
        <v>2</v>
      </c>
      <c r="B10" s="423"/>
      <c r="C10" s="186">
        <f>SUM(C11:C18)</f>
        <v>620562</v>
      </c>
      <c r="D10" s="186">
        <f>SUM(D11:D18)</f>
        <v>620562</v>
      </c>
    </row>
    <row r="11" spans="1:4" ht="13.5" thickBot="1">
      <c r="A11" s="65">
        <v>111</v>
      </c>
      <c r="B11" s="33" t="s">
        <v>3</v>
      </c>
      <c r="C11" s="181">
        <v>580000</v>
      </c>
      <c r="D11" s="181">
        <v>580000</v>
      </c>
    </row>
    <row r="12" spans="1:4" ht="12.75">
      <c r="A12" s="116">
        <v>121</v>
      </c>
      <c r="B12" s="28" t="s">
        <v>90</v>
      </c>
      <c r="C12" s="233">
        <v>13200</v>
      </c>
      <c r="D12" s="233">
        <v>13200</v>
      </c>
    </row>
    <row r="13" spans="1:4" ht="12.75">
      <c r="A13" s="117">
        <v>121</v>
      </c>
      <c r="B13" s="6" t="s">
        <v>91</v>
      </c>
      <c r="C13" s="189">
        <v>12900</v>
      </c>
      <c r="D13" s="189">
        <v>12900</v>
      </c>
    </row>
    <row r="14" spans="1:5" ht="13.5" thickBot="1">
      <c r="A14" s="118">
        <v>121</v>
      </c>
      <c r="B14" s="29" t="s">
        <v>4</v>
      </c>
      <c r="C14" s="234">
        <v>72</v>
      </c>
      <c r="D14" s="234">
        <v>72</v>
      </c>
      <c r="E14" s="66"/>
    </row>
    <row r="15" spans="1:4" ht="12.75">
      <c r="A15" s="116">
        <v>133</v>
      </c>
      <c r="B15" s="28" t="s">
        <v>5</v>
      </c>
      <c r="C15" s="233">
        <v>480</v>
      </c>
      <c r="D15" s="233">
        <v>480</v>
      </c>
    </row>
    <row r="16" spans="1:4" ht="12.75">
      <c r="A16" s="117">
        <v>133</v>
      </c>
      <c r="B16" s="6" t="s">
        <v>6</v>
      </c>
      <c r="C16" s="189">
        <v>210</v>
      </c>
      <c r="D16" s="189">
        <v>210</v>
      </c>
    </row>
    <row r="17" spans="1:4" ht="12.75">
      <c r="A17" s="117">
        <v>133</v>
      </c>
      <c r="B17" s="6" t="s">
        <v>7</v>
      </c>
      <c r="C17" s="189">
        <v>1700</v>
      </c>
      <c r="D17" s="189">
        <v>1700</v>
      </c>
    </row>
    <row r="18" spans="1:5" ht="13.5" thickBot="1">
      <c r="A18" s="118">
        <v>133</v>
      </c>
      <c r="B18" s="29" t="s">
        <v>8</v>
      </c>
      <c r="C18" s="234">
        <v>12000</v>
      </c>
      <c r="D18" s="234">
        <v>12000</v>
      </c>
      <c r="E18" s="66"/>
    </row>
    <row r="19" spans="1:4" ht="13.5" thickBot="1">
      <c r="A19" s="422" t="s">
        <v>9</v>
      </c>
      <c r="B19" s="423"/>
      <c r="C19" s="183">
        <f>SUM(C20:C37)</f>
        <v>78883</v>
      </c>
      <c r="D19" s="183">
        <f>SUM(D20:D37)</f>
        <v>78883</v>
      </c>
    </row>
    <row r="20" spans="1:4" ht="12.75">
      <c r="A20" s="119">
        <v>212</v>
      </c>
      <c r="B20" s="45" t="s">
        <v>10</v>
      </c>
      <c r="C20" s="235">
        <v>816</v>
      </c>
      <c r="D20" s="235">
        <v>816</v>
      </c>
    </row>
    <row r="21" spans="1:4" ht="12.75">
      <c r="A21" s="116">
        <v>212</v>
      </c>
      <c r="B21" s="28" t="s">
        <v>144</v>
      </c>
      <c r="C21" s="233">
        <v>100</v>
      </c>
      <c r="D21" s="233">
        <v>100</v>
      </c>
    </row>
    <row r="22" spans="1:4" ht="12.75">
      <c r="A22" s="117">
        <v>212</v>
      </c>
      <c r="B22" s="6" t="s">
        <v>11</v>
      </c>
      <c r="C22" s="189">
        <v>3787</v>
      </c>
      <c r="D22" s="189">
        <v>3787</v>
      </c>
    </row>
    <row r="23" spans="1:5" ht="12.75">
      <c r="A23" s="117">
        <v>212</v>
      </c>
      <c r="B23" s="6" t="s">
        <v>12</v>
      </c>
      <c r="C23" s="189">
        <v>9500</v>
      </c>
      <c r="D23" s="189">
        <v>9500</v>
      </c>
      <c r="E23" s="66"/>
    </row>
    <row r="24" spans="1:5" ht="13.5" thickBot="1">
      <c r="A24" s="120">
        <v>212</v>
      </c>
      <c r="B24" s="32" t="s">
        <v>163</v>
      </c>
      <c r="C24" s="190">
        <v>20</v>
      </c>
      <c r="D24" s="190">
        <v>20</v>
      </c>
      <c r="E24" s="66"/>
    </row>
    <row r="25" spans="1:4" ht="13.5" thickBot="1">
      <c r="A25" s="121">
        <v>221</v>
      </c>
      <c r="B25" s="30" t="s">
        <v>13</v>
      </c>
      <c r="C25" s="236">
        <v>9900</v>
      </c>
      <c r="D25" s="236">
        <v>9900</v>
      </c>
    </row>
    <row r="26" spans="1:4" ht="13.5" thickBot="1">
      <c r="A26" s="121">
        <v>222</v>
      </c>
      <c r="B26" s="30" t="s">
        <v>145</v>
      </c>
      <c r="C26" s="236">
        <v>100</v>
      </c>
      <c r="D26" s="236">
        <v>100</v>
      </c>
    </row>
    <row r="27" spans="1:4" ht="12.75">
      <c r="A27" s="116">
        <v>223</v>
      </c>
      <c r="B27" s="28" t="s">
        <v>177</v>
      </c>
      <c r="C27" s="233">
        <v>500</v>
      </c>
      <c r="D27" s="233">
        <v>500</v>
      </c>
    </row>
    <row r="28" spans="1:4" ht="12.75">
      <c r="A28" s="117">
        <v>223</v>
      </c>
      <c r="B28" s="6" t="s">
        <v>15</v>
      </c>
      <c r="C28" s="189">
        <v>650</v>
      </c>
      <c r="D28" s="189">
        <v>650</v>
      </c>
    </row>
    <row r="29" spans="1:4" ht="12.75">
      <c r="A29" s="117">
        <v>223</v>
      </c>
      <c r="B29" s="6" t="s">
        <v>92</v>
      </c>
      <c r="C29" s="189">
        <v>810</v>
      </c>
      <c r="D29" s="189">
        <v>810</v>
      </c>
    </row>
    <row r="30" spans="1:4" ht="12.75">
      <c r="A30" s="117">
        <v>223</v>
      </c>
      <c r="B30" s="6" t="s">
        <v>161</v>
      </c>
      <c r="C30" s="189">
        <v>5000</v>
      </c>
      <c r="D30" s="189">
        <v>5000</v>
      </c>
    </row>
    <row r="31" spans="1:4" ht="12.75">
      <c r="A31" s="117">
        <v>223</v>
      </c>
      <c r="B31" s="6" t="s">
        <v>93</v>
      </c>
      <c r="C31" s="189">
        <v>10100</v>
      </c>
      <c r="D31" s="189">
        <v>10100</v>
      </c>
    </row>
    <row r="32" spans="1:4" ht="12.75">
      <c r="A32" s="117">
        <v>223</v>
      </c>
      <c r="B32" s="6" t="s">
        <v>16</v>
      </c>
      <c r="C32" s="189">
        <v>1500</v>
      </c>
      <c r="D32" s="189">
        <v>1500</v>
      </c>
    </row>
    <row r="33" spans="1:4" ht="12.75">
      <c r="A33" s="117">
        <v>223</v>
      </c>
      <c r="B33" s="6" t="s">
        <v>176</v>
      </c>
      <c r="C33" s="189">
        <v>17400</v>
      </c>
      <c r="D33" s="189">
        <v>17400</v>
      </c>
    </row>
    <row r="34" spans="1:4" ht="12.75">
      <c r="A34" s="117">
        <v>223</v>
      </c>
      <c r="B34" s="6" t="s">
        <v>94</v>
      </c>
      <c r="C34" s="189">
        <v>6600</v>
      </c>
      <c r="D34" s="189">
        <v>6600</v>
      </c>
    </row>
    <row r="35" spans="1:4" ht="12.75">
      <c r="A35" s="117">
        <v>223</v>
      </c>
      <c r="B35" s="6" t="s">
        <v>95</v>
      </c>
      <c r="C35" s="189">
        <v>1000</v>
      </c>
      <c r="D35" s="189">
        <v>1000</v>
      </c>
    </row>
    <row r="36" spans="1:4" ht="12.75">
      <c r="A36" s="117">
        <v>223</v>
      </c>
      <c r="B36" s="6" t="s">
        <v>96</v>
      </c>
      <c r="C36" s="189">
        <v>11000</v>
      </c>
      <c r="D36" s="189">
        <v>11000</v>
      </c>
    </row>
    <row r="37" spans="1:5" ht="13.5" thickBot="1">
      <c r="A37" s="118">
        <v>223</v>
      </c>
      <c r="B37" s="29" t="s">
        <v>17</v>
      </c>
      <c r="C37" s="234">
        <v>100</v>
      </c>
      <c r="D37" s="234">
        <v>100</v>
      </c>
      <c r="E37" s="66"/>
    </row>
    <row r="38" spans="1:4" ht="13.5" thickBot="1">
      <c r="A38" s="422" t="s">
        <v>18</v>
      </c>
      <c r="B38" s="423"/>
      <c r="C38" s="183">
        <f>SUM(C39)</f>
        <v>500</v>
      </c>
      <c r="D38" s="183">
        <f>SUM(D39)</f>
        <v>500</v>
      </c>
    </row>
    <row r="39" spans="1:4" ht="13.5" thickBot="1">
      <c r="A39" s="122">
        <v>240</v>
      </c>
      <c r="B39" s="30" t="s">
        <v>19</v>
      </c>
      <c r="C39" s="236">
        <v>500</v>
      </c>
      <c r="D39" s="237">
        <v>500</v>
      </c>
    </row>
    <row r="40" spans="1:4" ht="13.5" thickBot="1">
      <c r="A40" s="422" t="s">
        <v>14</v>
      </c>
      <c r="B40" s="423"/>
      <c r="C40" s="183">
        <f>SUM(C41:C50)</f>
        <v>21540</v>
      </c>
      <c r="D40" s="183">
        <f>SUM(D41:D50)</f>
        <v>21540</v>
      </c>
    </row>
    <row r="41" spans="1:5" ht="12.75">
      <c r="A41" s="123">
        <v>292</v>
      </c>
      <c r="B41" s="31" t="s">
        <v>157</v>
      </c>
      <c r="C41" s="162">
        <v>0</v>
      </c>
      <c r="D41" s="162">
        <v>0</v>
      </c>
      <c r="E41" s="15"/>
    </row>
    <row r="42" spans="1:4" ht="12.75">
      <c r="A42" s="123">
        <v>292</v>
      </c>
      <c r="B42" s="31" t="s">
        <v>101</v>
      </c>
      <c r="C42" s="162">
        <v>400</v>
      </c>
      <c r="D42" s="162">
        <v>400</v>
      </c>
    </row>
    <row r="43" spans="1:4" ht="12.75">
      <c r="A43" s="124">
        <v>292</v>
      </c>
      <c r="B43" s="7" t="s">
        <v>162</v>
      </c>
      <c r="C43" s="178">
        <v>0</v>
      </c>
      <c r="D43" s="178">
        <v>0</v>
      </c>
    </row>
    <row r="44" spans="1:4" ht="12.75">
      <c r="A44" s="124">
        <v>292</v>
      </c>
      <c r="B44" s="6" t="s">
        <v>98</v>
      </c>
      <c r="C44" s="189">
        <v>140</v>
      </c>
      <c r="D44" s="189">
        <v>140</v>
      </c>
    </row>
    <row r="45" spans="1:4" ht="12.75">
      <c r="A45" s="124">
        <v>292</v>
      </c>
      <c r="B45" s="7" t="s">
        <v>165</v>
      </c>
      <c r="C45" s="178">
        <v>6800</v>
      </c>
      <c r="D45" s="178">
        <v>6800</v>
      </c>
    </row>
    <row r="46" spans="1:4" ht="12.75">
      <c r="A46" s="124">
        <v>292</v>
      </c>
      <c r="B46" s="7" t="s">
        <v>146</v>
      </c>
      <c r="C46" s="178">
        <v>200</v>
      </c>
      <c r="D46" s="178">
        <v>200</v>
      </c>
    </row>
    <row r="47" spans="1:4" ht="12.75">
      <c r="A47" s="124">
        <v>292</v>
      </c>
      <c r="B47" s="7" t="s">
        <v>148</v>
      </c>
      <c r="C47" s="178">
        <v>0</v>
      </c>
      <c r="D47" s="178">
        <v>0</v>
      </c>
    </row>
    <row r="48" spans="1:4" ht="12.75">
      <c r="A48" s="124">
        <v>292</v>
      </c>
      <c r="B48" s="6" t="s">
        <v>102</v>
      </c>
      <c r="C48" s="189">
        <v>12000</v>
      </c>
      <c r="D48" s="189">
        <v>12000</v>
      </c>
    </row>
    <row r="49" spans="1:4" ht="12.75">
      <c r="A49" s="124">
        <v>292</v>
      </c>
      <c r="B49" s="6" t="s">
        <v>99</v>
      </c>
      <c r="C49" s="189">
        <v>2000</v>
      </c>
      <c r="D49" s="189">
        <v>2000</v>
      </c>
    </row>
    <row r="50" spans="1:4" ht="13.5" thickBot="1">
      <c r="A50" s="124">
        <v>292</v>
      </c>
      <c r="B50" s="6" t="s">
        <v>100</v>
      </c>
      <c r="C50" s="189">
        <v>0</v>
      </c>
      <c r="D50" s="189">
        <v>0</v>
      </c>
    </row>
    <row r="51" spans="1:4" ht="13.5" thickBot="1">
      <c r="A51" s="57" t="s">
        <v>20</v>
      </c>
      <c r="B51" s="58"/>
      <c r="C51" s="183">
        <f>SUM(C52:C63)</f>
        <v>327740</v>
      </c>
      <c r="D51" s="183">
        <f>SUM(D52:D63)</f>
        <v>327740</v>
      </c>
    </row>
    <row r="52" spans="1:4" ht="12.75">
      <c r="A52" s="126">
        <v>311</v>
      </c>
      <c r="B52" s="28" t="s">
        <v>103</v>
      </c>
      <c r="C52" s="233">
        <v>0</v>
      </c>
      <c r="D52" s="233">
        <v>0</v>
      </c>
    </row>
    <row r="53" spans="1:4" ht="12.75">
      <c r="A53" s="127">
        <v>312</v>
      </c>
      <c r="B53" s="6" t="s">
        <v>104</v>
      </c>
      <c r="C53" s="189">
        <v>3600</v>
      </c>
      <c r="D53" s="189">
        <v>3600</v>
      </c>
    </row>
    <row r="54" spans="1:4" ht="12.75">
      <c r="A54" s="127">
        <v>312</v>
      </c>
      <c r="B54" s="5" t="s">
        <v>21</v>
      </c>
      <c r="C54" s="238">
        <v>3000</v>
      </c>
      <c r="D54" s="238">
        <v>3000</v>
      </c>
    </row>
    <row r="55" spans="1:4" ht="12.75">
      <c r="A55" s="127">
        <v>312</v>
      </c>
      <c r="B55" s="8" t="s">
        <v>105</v>
      </c>
      <c r="C55" s="239">
        <v>289000</v>
      </c>
      <c r="D55" s="239">
        <v>289000</v>
      </c>
    </row>
    <row r="56" spans="1:4" ht="12.75">
      <c r="A56" s="127">
        <v>312</v>
      </c>
      <c r="B56" s="221" t="s">
        <v>204</v>
      </c>
      <c r="C56" s="199">
        <v>1700</v>
      </c>
      <c r="D56" s="199">
        <v>1700</v>
      </c>
    </row>
    <row r="57" spans="1:4" ht="12.75">
      <c r="A57" s="127">
        <v>312</v>
      </c>
      <c r="B57" s="6" t="s">
        <v>191</v>
      </c>
      <c r="C57" s="189">
        <v>4900</v>
      </c>
      <c r="D57" s="189">
        <v>4900</v>
      </c>
    </row>
    <row r="58" spans="1:4" ht="12.75">
      <c r="A58" s="127">
        <v>312</v>
      </c>
      <c r="B58" s="6" t="s">
        <v>22</v>
      </c>
      <c r="C58" s="189">
        <v>1300</v>
      </c>
      <c r="D58" s="189">
        <v>1300</v>
      </c>
    </row>
    <row r="59" spans="1:4" ht="12.75">
      <c r="A59" s="127">
        <v>312</v>
      </c>
      <c r="B59" s="9" t="s">
        <v>106</v>
      </c>
      <c r="C59" s="197">
        <v>2500</v>
      </c>
      <c r="D59" s="197">
        <v>2500</v>
      </c>
    </row>
    <row r="60" spans="1:4" ht="12.75">
      <c r="A60" s="127">
        <v>312</v>
      </c>
      <c r="B60" s="9" t="s">
        <v>166</v>
      </c>
      <c r="C60" s="197">
        <v>0</v>
      </c>
      <c r="D60" s="197">
        <v>0</v>
      </c>
    </row>
    <row r="61" spans="1:6" ht="12.75" customHeight="1">
      <c r="A61" s="127">
        <v>312</v>
      </c>
      <c r="B61" s="9" t="s">
        <v>158</v>
      </c>
      <c r="C61" s="197">
        <v>8620</v>
      </c>
      <c r="D61" s="197">
        <v>8620</v>
      </c>
      <c r="F61" s="3"/>
    </row>
    <row r="62" spans="1:6" ht="12.75" customHeight="1">
      <c r="A62" s="127">
        <v>312</v>
      </c>
      <c r="B62" s="9" t="s">
        <v>159</v>
      </c>
      <c r="C62" s="197">
        <v>13120</v>
      </c>
      <c r="D62" s="197">
        <v>13120</v>
      </c>
      <c r="F62" s="3"/>
    </row>
    <row r="63" spans="1:6" ht="12.75" customHeight="1" thickBot="1">
      <c r="A63" s="48">
        <v>312</v>
      </c>
      <c r="B63" s="42" t="s">
        <v>160</v>
      </c>
      <c r="C63" s="240">
        <v>0</v>
      </c>
      <c r="D63" s="240">
        <v>0</v>
      </c>
      <c r="F63" s="3"/>
    </row>
    <row r="64" spans="1:4" ht="15.75">
      <c r="A64" s="128" t="s">
        <v>107</v>
      </c>
      <c r="B64" s="129"/>
      <c r="C64" s="241">
        <f>SUM(C10+C19+C38+C40+C51)</f>
        <v>1049225</v>
      </c>
      <c r="D64" s="242">
        <f>SUM(D10+D19+D38+D40+D51)</f>
        <v>1049225</v>
      </c>
    </row>
    <row r="65" spans="1:4" ht="13.5" thickBot="1">
      <c r="A65" s="130">
        <v>236</v>
      </c>
      <c r="B65" s="59" t="s">
        <v>108</v>
      </c>
      <c r="C65" s="243">
        <v>1674</v>
      </c>
      <c r="D65" s="243">
        <v>1674</v>
      </c>
    </row>
    <row r="66" spans="1:4" ht="16.5" thickBot="1">
      <c r="A66" s="60" t="s">
        <v>23</v>
      </c>
      <c r="B66" s="58"/>
      <c r="C66" s="185">
        <f>SUM(C64:C65)</f>
        <v>1050899</v>
      </c>
      <c r="D66" s="185">
        <f>SUM(D64:D65)</f>
        <v>1050899</v>
      </c>
    </row>
    <row r="67" spans="1:4" ht="15.75">
      <c r="A67" s="10"/>
      <c r="B67" s="16"/>
      <c r="C67" s="16"/>
      <c r="D67" s="16"/>
    </row>
    <row r="68" spans="1:4" ht="12.75">
      <c r="A68" s="11"/>
      <c r="B68" s="13"/>
      <c r="C68" s="13"/>
      <c r="D68" s="13"/>
    </row>
    <row r="69" spans="1:6" ht="18.75" thickBot="1">
      <c r="A69" s="418" t="s">
        <v>24</v>
      </c>
      <c r="B69" s="419"/>
      <c r="C69" s="419"/>
      <c r="D69" s="419"/>
      <c r="E69" s="14"/>
      <c r="F69" s="14"/>
    </row>
    <row r="70" spans="1:7" ht="18">
      <c r="A70" s="397" t="s">
        <v>1</v>
      </c>
      <c r="B70" s="398"/>
      <c r="C70" s="387" t="s">
        <v>181</v>
      </c>
      <c r="D70" s="387" t="s">
        <v>205</v>
      </c>
      <c r="E70" s="3"/>
      <c r="F70" s="3"/>
      <c r="G70" s="3"/>
    </row>
    <row r="71" spans="1:4" ht="12.75" customHeight="1" thickBot="1">
      <c r="A71" s="420"/>
      <c r="B71" s="421"/>
      <c r="C71" s="388"/>
      <c r="D71" s="388"/>
    </row>
    <row r="72" spans="1:4" ht="13.5" thickBot="1">
      <c r="A72" s="35" t="s">
        <v>25</v>
      </c>
      <c r="B72" s="36"/>
      <c r="C72" s="244">
        <f>SUM(C73:C75)</f>
        <v>164600</v>
      </c>
      <c r="D72" s="244">
        <f>SUM(D73:D75)</f>
        <v>164600</v>
      </c>
    </row>
    <row r="73" spans="1:4" ht="12.75">
      <c r="A73" s="49" t="s">
        <v>26</v>
      </c>
      <c r="B73" s="34" t="s">
        <v>109</v>
      </c>
      <c r="C73" s="245">
        <v>145000</v>
      </c>
      <c r="D73" s="245">
        <v>145000</v>
      </c>
    </row>
    <row r="74" spans="1:4" ht="12.75">
      <c r="A74" s="50" t="s">
        <v>27</v>
      </c>
      <c r="B74" s="9" t="s">
        <v>180</v>
      </c>
      <c r="C74" s="197">
        <v>16000</v>
      </c>
      <c r="D74" s="197">
        <v>16000</v>
      </c>
    </row>
    <row r="75" spans="1:4" ht="13.5" thickBot="1">
      <c r="A75" s="95" t="s">
        <v>29</v>
      </c>
      <c r="B75" s="9" t="s">
        <v>114</v>
      </c>
      <c r="C75" s="197">
        <v>3600</v>
      </c>
      <c r="D75" s="197">
        <v>3600</v>
      </c>
    </row>
    <row r="76" spans="1:4" ht="13.5" thickBot="1">
      <c r="A76" s="414" t="s">
        <v>30</v>
      </c>
      <c r="B76" s="415"/>
      <c r="C76" s="244">
        <f>C77</f>
        <v>140</v>
      </c>
      <c r="D76" s="244">
        <f>D77</f>
        <v>140</v>
      </c>
    </row>
    <row r="77" spans="1:4" ht="13.5" thickBot="1">
      <c r="A77" s="62" t="s">
        <v>31</v>
      </c>
      <c r="B77" s="16" t="s">
        <v>111</v>
      </c>
      <c r="C77" s="246">
        <v>140</v>
      </c>
      <c r="D77" s="246">
        <v>140</v>
      </c>
    </row>
    <row r="78" spans="1:4" ht="13.5" thickBot="1">
      <c r="A78" s="414" t="s">
        <v>32</v>
      </c>
      <c r="B78" s="415"/>
      <c r="C78" s="244">
        <f>C79</f>
        <v>4500</v>
      </c>
      <c r="D78" s="244">
        <f>D79</f>
        <v>4500</v>
      </c>
    </row>
    <row r="79" spans="1:4" ht="13.5" thickBot="1">
      <c r="A79" s="113" t="s">
        <v>33</v>
      </c>
      <c r="B79" s="38" t="s">
        <v>115</v>
      </c>
      <c r="C79" s="246">
        <v>4500</v>
      </c>
      <c r="D79" s="246">
        <v>4500</v>
      </c>
    </row>
    <row r="80" spans="1:4" ht="13.5" thickBot="1">
      <c r="A80" s="35" t="s">
        <v>34</v>
      </c>
      <c r="B80" s="39"/>
      <c r="C80" s="244">
        <f>SUM(C81:C84)</f>
        <v>126500</v>
      </c>
      <c r="D80" s="244">
        <f>SUM(D81:D84)</f>
        <v>126500</v>
      </c>
    </row>
    <row r="81" spans="1:4" ht="12.75">
      <c r="A81" s="114" t="s">
        <v>35</v>
      </c>
      <c r="B81" s="31" t="s">
        <v>112</v>
      </c>
      <c r="C81" s="162">
        <v>2200</v>
      </c>
      <c r="D81" s="162">
        <v>2200</v>
      </c>
    </row>
    <row r="82" spans="1:4" ht="12.75">
      <c r="A82" s="95" t="s">
        <v>36</v>
      </c>
      <c r="B82" s="9" t="s">
        <v>110</v>
      </c>
      <c r="C82" s="197">
        <v>5000</v>
      </c>
      <c r="D82" s="197">
        <v>5000</v>
      </c>
    </row>
    <row r="83" spans="1:4" ht="12.75">
      <c r="A83" s="95" t="s">
        <v>37</v>
      </c>
      <c r="B83" s="9" t="s">
        <v>116</v>
      </c>
      <c r="C83" s="197">
        <v>4300</v>
      </c>
      <c r="D83" s="197">
        <v>4300</v>
      </c>
    </row>
    <row r="84" spans="1:4" ht="13.5" thickBot="1">
      <c r="A84" s="111" t="s">
        <v>38</v>
      </c>
      <c r="B84" s="37" t="s">
        <v>117</v>
      </c>
      <c r="C84" s="179">
        <v>115000</v>
      </c>
      <c r="D84" s="179">
        <v>115000</v>
      </c>
    </row>
    <row r="85" spans="1:4" ht="13.5" thickBot="1">
      <c r="A85" s="35" t="s">
        <v>39</v>
      </c>
      <c r="B85" s="36"/>
      <c r="C85" s="244">
        <f>SUM(C86:C87)</f>
        <v>25000</v>
      </c>
      <c r="D85" s="244">
        <f>SUM(D86:D87)</f>
        <v>25000</v>
      </c>
    </row>
    <row r="86" spans="1:4" ht="12.75">
      <c r="A86" s="53" t="s">
        <v>40</v>
      </c>
      <c r="B86" s="34" t="s">
        <v>41</v>
      </c>
      <c r="C86" s="245">
        <v>20500</v>
      </c>
      <c r="D86" s="245">
        <v>20500</v>
      </c>
    </row>
    <row r="87" spans="1:4" ht="13.5" thickBot="1">
      <c r="A87" s="111" t="s">
        <v>42</v>
      </c>
      <c r="B87" s="37" t="s">
        <v>113</v>
      </c>
      <c r="C87" s="179">
        <v>4500</v>
      </c>
      <c r="D87" s="179">
        <v>4500</v>
      </c>
    </row>
    <row r="88" spans="1:4" ht="13.5" thickBot="1">
      <c r="A88" s="35" t="s">
        <v>43</v>
      </c>
      <c r="B88" s="39"/>
      <c r="C88" s="244">
        <f>SUM(D89:D89)</f>
        <v>15000</v>
      </c>
      <c r="D88" s="244">
        <f>SUM(D89)</f>
        <v>15000</v>
      </c>
    </row>
    <row r="89" spans="1:4" ht="13.5" thickBot="1">
      <c r="A89" s="115" t="s">
        <v>44</v>
      </c>
      <c r="B89" s="42" t="s">
        <v>45</v>
      </c>
      <c r="C89" s="254">
        <v>15000</v>
      </c>
      <c r="D89" s="240">
        <v>15000</v>
      </c>
    </row>
    <row r="90" spans="1:4" ht="13.5" thickBot="1">
      <c r="A90" s="43" t="s">
        <v>46</v>
      </c>
      <c r="B90" s="36"/>
      <c r="C90" s="244">
        <f>SUM(C91:C103)</f>
        <v>59200</v>
      </c>
      <c r="D90" s="244">
        <f>SUM(D91:D103)</f>
        <v>59200</v>
      </c>
    </row>
    <row r="91" spans="1:4" ht="12.75">
      <c r="A91" s="112" t="s">
        <v>47</v>
      </c>
      <c r="B91" s="44" t="s">
        <v>118</v>
      </c>
      <c r="C91" s="247">
        <v>5000</v>
      </c>
      <c r="D91" s="247">
        <v>5000</v>
      </c>
    </row>
    <row r="92" spans="1:4" ht="13.5" thickBot="1">
      <c r="A92" s="82" t="s">
        <v>47</v>
      </c>
      <c r="B92" s="42" t="s">
        <v>119</v>
      </c>
      <c r="C92" s="240">
        <v>3000</v>
      </c>
      <c r="D92" s="240">
        <v>3000</v>
      </c>
    </row>
    <row r="93" spans="1:4" ht="12.75">
      <c r="A93" s="53" t="s">
        <v>48</v>
      </c>
      <c r="B93" s="41" t="s">
        <v>120</v>
      </c>
      <c r="C93" s="162">
        <v>16000</v>
      </c>
      <c r="D93" s="162">
        <v>16000</v>
      </c>
    </row>
    <row r="94" spans="1:4" ht="12.75">
      <c r="A94" s="95" t="s">
        <v>50</v>
      </c>
      <c r="B94" s="40" t="s">
        <v>121</v>
      </c>
      <c r="C94" s="248">
        <v>700</v>
      </c>
      <c r="D94" s="248">
        <v>700</v>
      </c>
    </row>
    <row r="95" spans="1:4" ht="13.5" thickBot="1">
      <c r="A95" s="82" t="s">
        <v>51</v>
      </c>
      <c r="B95" s="42" t="s">
        <v>122</v>
      </c>
      <c r="C95" s="240">
        <v>2000</v>
      </c>
      <c r="D95" s="240">
        <v>2000</v>
      </c>
    </row>
    <row r="96" spans="1:4" ht="12.75">
      <c r="A96" s="95" t="s">
        <v>52</v>
      </c>
      <c r="B96" s="9" t="s">
        <v>169</v>
      </c>
      <c r="C96" s="197">
        <v>1600</v>
      </c>
      <c r="D96" s="197">
        <v>1600</v>
      </c>
    </row>
    <row r="97" spans="1:4" ht="12.75">
      <c r="A97" s="95" t="s">
        <v>52</v>
      </c>
      <c r="B97" s="9" t="s">
        <v>152</v>
      </c>
      <c r="C97" s="197">
        <v>2000</v>
      </c>
      <c r="D97" s="197">
        <v>2000</v>
      </c>
    </row>
    <row r="98" spans="1:4" ht="12.75">
      <c r="A98" s="95" t="s">
        <v>52</v>
      </c>
      <c r="B98" s="9" t="s">
        <v>49</v>
      </c>
      <c r="C98" s="197">
        <v>7000</v>
      </c>
      <c r="D98" s="197">
        <v>7000</v>
      </c>
    </row>
    <row r="99" spans="1:4" ht="12.75">
      <c r="A99" s="111" t="s">
        <v>52</v>
      </c>
      <c r="B99" s="37" t="s">
        <v>175</v>
      </c>
      <c r="C99" s="179">
        <v>0</v>
      </c>
      <c r="D99" s="179">
        <v>0</v>
      </c>
    </row>
    <row r="100" spans="1:4" ht="13.5" thickBot="1">
      <c r="A100" s="82" t="s">
        <v>52</v>
      </c>
      <c r="B100" s="42" t="s">
        <v>123</v>
      </c>
      <c r="C100" s="240">
        <v>10000</v>
      </c>
      <c r="D100" s="240">
        <v>10000</v>
      </c>
    </row>
    <row r="101" spans="1:4" ht="12.75">
      <c r="A101" s="112" t="s">
        <v>53</v>
      </c>
      <c r="B101" s="44" t="s">
        <v>155</v>
      </c>
      <c r="C101" s="247">
        <v>1600</v>
      </c>
      <c r="D101" s="247">
        <v>1600</v>
      </c>
    </row>
    <row r="102" spans="1:4" ht="12.75">
      <c r="A102" s="53" t="s">
        <v>54</v>
      </c>
      <c r="B102" s="34" t="s">
        <v>124</v>
      </c>
      <c r="C102" s="245">
        <v>7300</v>
      </c>
      <c r="D102" s="245">
        <v>7300</v>
      </c>
    </row>
    <row r="103" spans="1:4" ht="13.5" thickBot="1">
      <c r="A103" s="111" t="s">
        <v>55</v>
      </c>
      <c r="B103" s="37" t="s">
        <v>125</v>
      </c>
      <c r="C103" s="179">
        <v>3000</v>
      </c>
      <c r="D103" s="179">
        <v>3000</v>
      </c>
    </row>
    <row r="104" spans="1:4" ht="13.5" thickBot="1">
      <c r="A104" s="414" t="s">
        <v>56</v>
      </c>
      <c r="B104" s="415"/>
      <c r="C104" s="244">
        <f>SUM(C105:C109)</f>
        <v>251120</v>
      </c>
      <c r="D104" s="244">
        <f>SUM(D105:D109)</f>
        <v>251120</v>
      </c>
    </row>
    <row r="105" spans="1:4" ht="12.75">
      <c r="A105" s="70" t="s">
        <v>57</v>
      </c>
      <c r="B105" s="31" t="s">
        <v>147</v>
      </c>
      <c r="C105" s="162">
        <v>85000</v>
      </c>
      <c r="D105" s="162">
        <v>85000</v>
      </c>
    </row>
    <row r="106" spans="1:4" ht="12.75">
      <c r="A106" s="84" t="s">
        <v>58</v>
      </c>
      <c r="B106" s="7" t="s">
        <v>126</v>
      </c>
      <c r="C106" s="178">
        <v>0</v>
      </c>
      <c r="D106" s="178">
        <v>0</v>
      </c>
    </row>
    <row r="107" spans="1:4" ht="12.75">
      <c r="A107" s="84" t="s">
        <v>59</v>
      </c>
      <c r="B107" s="7" t="s">
        <v>60</v>
      </c>
      <c r="C107" s="178">
        <v>95000</v>
      </c>
      <c r="D107" s="178">
        <v>95000</v>
      </c>
    </row>
    <row r="108" spans="1:4" ht="12.75">
      <c r="A108" s="84" t="s">
        <v>76</v>
      </c>
      <c r="B108" s="7" t="s">
        <v>153</v>
      </c>
      <c r="C108" s="178">
        <v>58000</v>
      </c>
      <c r="D108" s="178">
        <v>58000</v>
      </c>
    </row>
    <row r="109" spans="1:4" ht="13.5" thickBot="1">
      <c r="A109" s="82" t="s">
        <v>61</v>
      </c>
      <c r="B109" s="42" t="s">
        <v>127</v>
      </c>
      <c r="C109" s="240">
        <v>13120</v>
      </c>
      <c r="D109" s="240">
        <v>13120</v>
      </c>
    </row>
    <row r="110" spans="1:4" ht="13.5" thickBot="1">
      <c r="A110" s="35" t="s">
        <v>62</v>
      </c>
      <c r="B110" s="36"/>
      <c r="C110" s="244">
        <f>SUM(C111:C119)</f>
        <v>96500</v>
      </c>
      <c r="D110" s="244">
        <f>SUM(D111:D119)</f>
        <v>96500</v>
      </c>
    </row>
    <row r="111" spans="1:4" ht="12.75">
      <c r="A111" s="53" t="s">
        <v>63</v>
      </c>
      <c r="B111" s="34" t="s">
        <v>128</v>
      </c>
      <c r="C111" s="245">
        <v>74000</v>
      </c>
      <c r="D111" s="245">
        <v>74000</v>
      </c>
    </row>
    <row r="112" spans="1:4" ht="12.75">
      <c r="A112" s="95" t="s">
        <v>64</v>
      </c>
      <c r="B112" s="9" t="s">
        <v>129</v>
      </c>
      <c r="C112" s="197">
        <v>11000</v>
      </c>
      <c r="D112" s="197">
        <v>11000</v>
      </c>
    </row>
    <row r="113" spans="1:4" ht="13.5" thickBot="1">
      <c r="A113" s="82" t="s">
        <v>64</v>
      </c>
      <c r="B113" s="42" t="s">
        <v>130</v>
      </c>
      <c r="C113" s="240">
        <v>1500</v>
      </c>
      <c r="D113" s="240">
        <v>1500</v>
      </c>
    </row>
    <row r="114" spans="1:4" ht="12.75">
      <c r="A114" s="53" t="s">
        <v>65</v>
      </c>
      <c r="B114" s="34" t="s">
        <v>131</v>
      </c>
      <c r="C114" s="245">
        <v>200</v>
      </c>
      <c r="D114" s="245">
        <v>200</v>
      </c>
    </row>
    <row r="115" spans="1:4" ht="12.75">
      <c r="A115" s="95" t="s">
        <v>66</v>
      </c>
      <c r="B115" s="9" t="s">
        <v>67</v>
      </c>
      <c r="C115" s="197">
        <v>3000</v>
      </c>
      <c r="D115" s="197">
        <v>3000</v>
      </c>
    </row>
    <row r="116" spans="1:4" ht="12.75">
      <c r="A116" s="95" t="s">
        <v>68</v>
      </c>
      <c r="B116" s="9" t="s">
        <v>132</v>
      </c>
      <c r="C116" s="197">
        <v>1300</v>
      </c>
      <c r="D116" s="197">
        <v>1300</v>
      </c>
    </row>
    <row r="117" spans="1:4" ht="12.75">
      <c r="A117" s="95" t="s">
        <v>68</v>
      </c>
      <c r="B117" s="9" t="s">
        <v>206</v>
      </c>
      <c r="C117" s="197">
        <v>4900</v>
      </c>
      <c r="D117" s="197">
        <v>4900</v>
      </c>
    </row>
    <row r="118" spans="1:4" ht="12.75">
      <c r="A118" s="95" t="s">
        <v>69</v>
      </c>
      <c r="B118" s="9" t="s">
        <v>70</v>
      </c>
      <c r="C118" s="197">
        <v>300</v>
      </c>
      <c r="D118" s="197">
        <v>300</v>
      </c>
    </row>
    <row r="119" spans="1:4" ht="13.5" thickBot="1">
      <c r="A119" s="82" t="s">
        <v>71</v>
      </c>
      <c r="B119" s="42" t="s">
        <v>72</v>
      </c>
      <c r="C119" s="240">
        <v>300</v>
      </c>
      <c r="D119" s="240">
        <v>300</v>
      </c>
    </row>
    <row r="120" spans="1:4" ht="16.5" thickBot="1">
      <c r="A120" s="131" t="s">
        <v>134</v>
      </c>
      <c r="B120" s="132"/>
      <c r="C120" s="249">
        <f>SUM(C72+C76+C78+C80+C85+C88+C90+C104+C110)</f>
        <v>742560</v>
      </c>
      <c r="D120" s="249">
        <f>SUM(D72+D76+D78+D80+D85+D88+D90+D104+D110)</f>
        <v>742560</v>
      </c>
    </row>
    <row r="121" spans="1:4" ht="12.75">
      <c r="A121" s="93" t="s">
        <v>58</v>
      </c>
      <c r="B121" s="92" t="s">
        <v>73</v>
      </c>
      <c r="C121" s="251">
        <v>290474</v>
      </c>
      <c r="D121" s="251">
        <v>290474</v>
      </c>
    </row>
    <row r="122" spans="1:4" ht="12.75">
      <c r="A122" s="94" t="s">
        <v>74</v>
      </c>
      <c r="B122" s="8" t="s">
        <v>75</v>
      </c>
      <c r="C122" s="252">
        <v>17000</v>
      </c>
      <c r="D122" s="252">
        <v>17000</v>
      </c>
    </row>
    <row r="123" spans="1:4" ht="13.5" thickBot="1">
      <c r="A123" s="416" t="s">
        <v>156</v>
      </c>
      <c r="B123" s="417"/>
      <c r="C123" s="253">
        <f>SUM(C121:C122)</f>
        <v>307474</v>
      </c>
      <c r="D123" s="253">
        <f>SUM(D121:D122)</f>
        <v>307474</v>
      </c>
    </row>
    <row r="124" spans="1:4" ht="16.5" thickBot="1">
      <c r="A124" s="61" t="s">
        <v>77</v>
      </c>
      <c r="B124" s="39"/>
      <c r="C124" s="250">
        <f>C120+C123</f>
        <v>1050034</v>
      </c>
      <c r="D124" s="250">
        <f>D120+D123</f>
        <v>1050034</v>
      </c>
    </row>
    <row r="126" spans="1:4" ht="12.75">
      <c r="A126" s="11"/>
      <c r="B126" s="17"/>
      <c r="C126" s="17"/>
      <c r="D126" s="17"/>
    </row>
    <row r="127" spans="1:4" ht="18.75" thickBot="1">
      <c r="A127" s="410" t="s">
        <v>78</v>
      </c>
      <c r="B127" s="411"/>
      <c r="C127" s="411"/>
      <c r="D127" s="411"/>
    </row>
    <row r="128" spans="1:5" ht="12.75">
      <c r="A128" s="397" t="s">
        <v>1</v>
      </c>
      <c r="B128" s="398"/>
      <c r="C128" s="389" t="s">
        <v>181</v>
      </c>
      <c r="D128" s="389" t="s">
        <v>205</v>
      </c>
      <c r="E128" s="80"/>
    </row>
    <row r="129" spans="1:7" ht="12.75" customHeight="1" thickBot="1">
      <c r="A129" s="412"/>
      <c r="B129" s="413"/>
      <c r="C129" s="390"/>
      <c r="D129" s="390"/>
      <c r="E129" s="18"/>
      <c r="F129" s="80"/>
      <c r="G129" s="80"/>
    </row>
    <row r="130" spans="1:7" ht="15.75" thickBot="1">
      <c r="A130" s="402" t="s">
        <v>139</v>
      </c>
      <c r="B130" s="403"/>
      <c r="C130" s="79">
        <f>SUM(C131:C132)</f>
        <v>0</v>
      </c>
      <c r="D130" s="79">
        <f>SUM(D131:D132)</f>
        <v>0</v>
      </c>
      <c r="F130" s="18"/>
      <c r="G130" s="4"/>
    </row>
    <row r="131" spans="1:4" ht="12.75">
      <c r="A131" s="69">
        <v>230</v>
      </c>
      <c r="B131" s="44" t="s">
        <v>97</v>
      </c>
      <c r="C131" s="98">
        <v>0</v>
      </c>
      <c r="D131" s="110">
        <v>0</v>
      </c>
    </row>
    <row r="132" spans="1:4" ht="13.5" thickBot="1">
      <c r="A132" s="68">
        <v>321</v>
      </c>
      <c r="B132" s="42" t="s">
        <v>167</v>
      </c>
      <c r="C132" s="99">
        <v>0</v>
      </c>
      <c r="D132" s="107">
        <v>0</v>
      </c>
    </row>
    <row r="133" spans="1:4" ht="18.75" thickBot="1">
      <c r="A133" s="52"/>
      <c r="B133" s="3"/>
      <c r="C133" s="3"/>
      <c r="D133" s="3"/>
    </row>
    <row r="134" spans="1:4" ht="16.5" thickBot="1">
      <c r="A134" s="402" t="s">
        <v>140</v>
      </c>
      <c r="B134" s="403"/>
      <c r="C134" s="109">
        <f>SUM(C135:C137)</f>
        <v>0</v>
      </c>
      <c r="D134" s="109">
        <f>SUM(D135:D137)</f>
        <v>0</v>
      </c>
    </row>
    <row r="135" spans="1:4" ht="12.75">
      <c r="A135" s="222" t="s">
        <v>38</v>
      </c>
      <c r="B135" s="136" t="s">
        <v>172</v>
      </c>
      <c r="C135" s="255">
        <v>0</v>
      </c>
      <c r="D135" s="256">
        <v>0</v>
      </c>
    </row>
    <row r="136" spans="1:4" ht="12.75">
      <c r="A136" s="64" t="s">
        <v>38</v>
      </c>
      <c r="B136" s="83" t="s">
        <v>207</v>
      </c>
      <c r="C136" s="102">
        <v>0</v>
      </c>
      <c r="D136" s="108">
        <v>0</v>
      </c>
    </row>
    <row r="137" spans="1:4" ht="13.5" thickBot="1">
      <c r="A137" s="257" t="s">
        <v>36</v>
      </c>
      <c r="B137" s="258" t="s">
        <v>199</v>
      </c>
      <c r="C137" s="259">
        <v>0</v>
      </c>
      <c r="D137" s="260">
        <v>0</v>
      </c>
    </row>
    <row r="138" spans="1:4" ht="12.75">
      <c r="A138" s="20"/>
      <c r="B138" s="21"/>
      <c r="C138" s="21"/>
      <c r="D138" s="21"/>
    </row>
    <row r="139" spans="1:4" ht="12.75">
      <c r="A139" s="21"/>
      <c r="B139" s="17"/>
      <c r="C139" s="17"/>
      <c r="D139" s="17"/>
    </row>
    <row r="140" spans="1:5" ht="18.75" thickBot="1">
      <c r="A140" s="404" t="s">
        <v>80</v>
      </c>
      <c r="B140" s="405"/>
      <c r="C140" s="406"/>
      <c r="D140" s="406"/>
      <c r="E140" s="87"/>
    </row>
    <row r="141" spans="1:7" ht="12.75">
      <c r="A141" s="397" t="s">
        <v>1</v>
      </c>
      <c r="B141" s="407"/>
      <c r="C141" s="381" t="s">
        <v>181</v>
      </c>
      <c r="D141" s="389" t="s">
        <v>205</v>
      </c>
      <c r="E141" s="22"/>
      <c r="F141" s="87"/>
      <c r="G141" s="88"/>
    </row>
    <row r="142" spans="1:7" ht="12.75" customHeight="1" thickBot="1">
      <c r="A142" s="408"/>
      <c r="B142" s="409"/>
      <c r="C142" s="382"/>
      <c r="D142" s="401"/>
      <c r="F142" s="22"/>
      <c r="G142" s="4"/>
    </row>
    <row r="143" spans="1:4" ht="15.75">
      <c r="A143" s="393" t="s">
        <v>141</v>
      </c>
      <c r="B143" s="394"/>
      <c r="C143" s="133">
        <f>SUM(C144:C144)</f>
        <v>0</v>
      </c>
      <c r="D143" s="105">
        <f>SUM(D144:D144)</f>
        <v>0</v>
      </c>
    </row>
    <row r="144" spans="1:4" ht="12.75">
      <c r="A144" s="47">
        <v>454</v>
      </c>
      <c r="B144" s="106" t="s">
        <v>209</v>
      </c>
      <c r="C144" s="103">
        <v>0</v>
      </c>
      <c r="D144" s="104">
        <v>0</v>
      </c>
    </row>
    <row r="145" spans="1:4" ht="15.75">
      <c r="A145" s="393" t="s">
        <v>142</v>
      </c>
      <c r="B145" s="394"/>
      <c r="C145" s="134">
        <f>C146</f>
        <v>865</v>
      </c>
      <c r="D145" s="78">
        <f>D146</f>
        <v>865</v>
      </c>
    </row>
    <row r="146" spans="1:4" ht="12.75">
      <c r="A146" s="46">
        <v>821</v>
      </c>
      <c r="B146" s="264" t="s">
        <v>208</v>
      </c>
      <c r="C146" s="265">
        <v>865</v>
      </c>
      <c r="D146" s="73">
        <v>865</v>
      </c>
    </row>
    <row r="147" spans="1:5" ht="14.25" customHeight="1" thickBot="1">
      <c r="A147" s="205">
        <v>821</v>
      </c>
      <c r="B147" s="261" t="s">
        <v>135</v>
      </c>
      <c r="C147" s="262">
        <v>531</v>
      </c>
      <c r="D147" s="263">
        <v>531.1027019849963</v>
      </c>
      <c r="E147" s="25"/>
    </row>
    <row r="148" spans="1:4" ht="15.75">
      <c r="A148" s="10"/>
      <c r="B148" s="11"/>
      <c r="C148" s="11"/>
      <c r="D148" s="11"/>
    </row>
    <row r="149" spans="1:4" ht="15.75">
      <c r="A149" s="10"/>
      <c r="B149" s="11"/>
      <c r="C149" s="11"/>
      <c r="D149" s="11"/>
    </row>
    <row r="150" spans="1:5" ht="15.75">
      <c r="A150" s="10"/>
      <c r="B150" s="11"/>
      <c r="C150" s="11"/>
      <c r="D150" s="11"/>
      <c r="E150" s="12"/>
    </row>
    <row r="151" spans="2:7" ht="18">
      <c r="B151" s="17"/>
      <c r="C151" s="17"/>
      <c r="D151" s="17"/>
      <c r="E151" s="12"/>
      <c r="F151" s="12"/>
      <c r="G151" s="25"/>
    </row>
    <row r="152" spans="1:7" ht="18.75" thickBot="1">
      <c r="A152" s="395" t="s">
        <v>143</v>
      </c>
      <c r="B152" s="396"/>
      <c r="C152" s="396"/>
      <c r="D152" s="396"/>
      <c r="E152" s="23"/>
      <c r="F152" s="12"/>
      <c r="G152" s="25"/>
    </row>
    <row r="153" spans="1:6" ht="12.75" customHeight="1">
      <c r="A153" s="397" t="s">
        <v>1</v>
      </c>
      <c r="B153" s="398"/>
      <c r="C153" s="391" t="s">
        <v>181</v>
      </c>
      <c r="D153" s="389" t="s">
        <v>205</v>
      </c>
      <c r="F153" s="23"/>
    </row>
    <row r="154" spans="1:4" ht="13.5" thickBot="1">
      <c r="A154" s="399"/>
      <c r="B154" s="400"/>
      <c r="C154" s="392"/>
      <c r="D154" s="401"/>
    </row>
    <row r="155" spans="1:4" ht="15">
      <c r="A155" s="96" t="s">
        <v>81</v>
      </c>
      <c r="B155" s="28"/>
      <c r="C155" s="97">
        <f>C66</f>
        <v>1050899</v>
      </c>
      <c r="D155" s="97">
        <f>D66</f>
        <v>1050899</v>
      </c>
    </row>
    <row r="156" spans="1:4" ht="15">
      <c r="A156" s="54" t="s">
        <v>82</v>
      </c>
      <c r="B156" s="6"/>
      <c r="C156" s="73">
        <f>C124</f>
        <v>1050034</v>
      </c>
      <c r="D156" s="73">
        <f>D124</f>
        <v>1050034</v>
      </c>
    </row>
    <row r="157" spans="1:4" ht="15.75">
      <c r="A157" s="46"/>
      <c r="B157" s="24" t="s">
        <v>83</v>
      </c>
      <c r="C157" s="74">
        <f>C155-C156</f>
        <v>865</v>
      </c>
      <c r="D157" s="74">
        <f>D155-D156</f>
        <v>865</v>
      </c>
    </row>
    <row r="158" spans="1:4" ht="15">
      <c r="A158" s="54" t="s">
        <v>84</v>
      </c>
      <c r="B158" s="6"/>
      <c r="C158" s="73">
        <f>C130</f>
        <v>0</v>
      </c>
      <c r="D158" s="73">
        <f>D130</f>
        <v>0</v>
      </c>
    </row>
    <row r="159" spans="1:4" ht="15">
      <c r="A159" s="54" t="s">
        <v>85</v>
      </c>
      <c r="B159" s="6"/>
      <c r="C159" s="72">
        <f>C134</f>
        <v>0</v>
      </c>
      <c r="D159" s="72">
        <f>D134</f>
        <v>0</v>
      </c>
    </row>
    <row r="160" spans="1:4" ht="15.75">
      <c r="A160" s="46"/>
      <c r="B160" s="26" t="s">
        <v>86</v>
      </c>
      <c r="C160" s="74">
        <f>C158-C159</f>
        <v>0</v>
      </c>
      <c r="D160" s="74">
        <f>D158-D159</f>
        <v>0</v>
      </c>
    </row>
    <row r="161" spans="1:4" ht="15">
      <c r="A161" s="383" t="s">
        <v>137</v>
      </c>
      <c r="B161" s="384"/>
      <c r="C161" s="75">
        <f>C143</f>
        <v>0</v>
      </c>
      <c r="D161" s="75">
        <f>D143</f>
        <v>0</v>
      </c>
    </row>
    <row r="162" spans="1:4" ht="15">
      <c r="A162" s="383" t="s">
        <v>136</v>
      </c>
      <c r="B162" s="384"/>
      <c r="C162" s="75">
        <f>C145</f>
        <v>865</v>
      </c>
      <c r="D162" s="75">
        <f>D145</f>
        <v>865</v>
      </c>
    </row>
    <row r="163" spans="1:4" ht="16.5" thickBot="1">
      <c r="A163" s="55"/>
      <c r="B163" s="56" t="s">
        <v>138</v>
      </c>
      <c r="C163" s="76">
        <f>C161-C162</f>
        <v>-865</v>
      </c>
      <c r="D163" s="76">
        <f>D161-D162</f>
        <v>-865</v>
      </c>
    </row>
    <row r="164" spans="1:4" ht="16.5" thickBot="1">
      <c r="A164" s="385" t="s">
        <v>87</v>
      </c>
      <c r="B164" s="386"/>
      <c r="C164" s="77">
        <f>C157+C160+C163</f>
        <v>0</v>
      </c>
      <c r="D164" s="77">
        <f>D157+D160+D163</f>
        <v>0</v>
      </c>
    </row>
    <row r="166" spans="2:4" ht="12.75">
      <c r="B166" s="27" t="s">
        <v>88</v>
      </c>
      <c r="C166" s="4">
        <f>C155+C158+C161</f>
        <v>1050899</v>
      </c>
      <c r="D166" s="4">
        <f>D155+D158+D161</f>
        <v>1050899</v>
      </c>
    </row>
    <row r="167" spans="2:4" ht="12.75">
      <c r="B167" s="27" t="s">
        <v>89</v>
      </c>
      <c r="C167" s="4">
        <f>C156+C159+C162</f>
        <v>1050899</v>
      </c>
      <c r="D167" s="4">
        <f>D156+D159+D162</f>
        <v>1050899</v>
      </c>
    </row>
    <row r="168" spans="2:4" ht="12.75">
      <c r="B168" s="27"/>
      <c r="C168" s="4"/>
      <c r="D168" s="4"/>
    </row>
    <row r="169" spans="2:4" ht="12.75">
      <c r="B169" s="27" t="s">
        <v>150</v>
      </c>
      <c r="C169" s="4">
        <f>C166-C65</f>
        <v>1049225</v>
      </c>
      <c r="D169" s="4">
        <f>D166-D65</f>
        <v>1049225</v>
      </c>
    </row>
    <row r="170" spans="2:4" ht="12.75">
      <c r="B170" s="27" t="s">
        <v>154</v>
      </c>
      <c r="C170" s="4">
        <f>C167-C123</f>
        <v>743425</v>
      </c>
      <c r="D170" s="4">
        <f>D167-D123</f>
        <v>743425</v>
      </c>
    </row>
  </sheetData>
  <sheetProtection/>
  <mergeCells count="36">
    <mergeCell ref="A7:D7"/>
    <mergeCell ref="A8:B9"/>
    <mergeCell ref="A1:D1"/>
    <mergeCell ref="A2:D2"/>
    <mergeCell ref="A4:D4"/>
    <mergeCell ref="A69:D69"/>
    <mergeCell ref="A70:B71"/>
    <mergeCell ref="D70:D71"/>
    <mergeCell ref="A10:B10"/>
    <mergeCell ref="A19:B19"/>
    <mergeCell ref="A38:B38"/>
    <mergeCell ref="A40:B40"/>
    <mergeCell ref="A127:D127"/>
    <mergeCell ref="A128:B129"/>
    <mergeCell ref="D128:D129"/>
    <mergeCell ref="A76:B76"/>
    <mergeCell ref="A78:B78"/>
    <mergeCell ref="A104:B104"/>
    <mergeCell ref="A123:B123"/>
    <mergeCell ref="A153:B154"/>
    <mergeCell ref="D153:D154"/>
    <mergeCell ref="A130:B130"/>
    <mergeCell ref="A134:B134"/>
    <mergeCell ref="A140:D140"/>
    <mergeCell ref="A141:B142"/>
    <mergeCell ref="D141:D142"/>
    <mergeCell ref="A161:B161"/>
    <mergeCell ref="A162:B162"/>
    <mergeCell ref="A164:B164"/>
    <mergeCell ref="C70:C71"/>
    <mergeCell ref="C128:C129"/>
    <mergeCell ref="C141:C142"/>
    <mergeCell ref="C153:C154"/>
    <mergeCell ref="A143:B143"/>
    <mergeCell ref="A145:B145"/>
    <mergeCell ref="A152:D1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6.625" style="0" customWidth="1"/>
    <col min="2" max="2" width="41.00390625" style="0" customWidth="1"/>
    <col min="3" max="3" width="12.375" style="0" customWidth="1"/>
    <col min="4" max="4" width="11.75390625" style="0" customWidth="1"/>
    <col min="5" max="5" width="11.625" style="0" customWidth="1"/>
  </cols>
  <sheetData>
    <row r="1" spans="1:6" ht="20.25">
      <c r="A1" s="426" t="s">
        <v>189</v>
      </c>
      <c r="B1" s="426"/>
      <c r="C1" s="426"/>
      <c r="D1" s="426"/>
      <c r="E1" s="426"/>
      <c r="F1" s="1"/>
    </row>
    <row r="2" spans="1:6" ht="15.75">
      <c r="A2" s="437"/>
      <c r="B2" s="437"/>
      <c r="C2" s="437"/>
      <c r="D2" s="437"/>
      <c r="E2" s="437"/>
      <c r="F2" s="2"/>
    </row>
    <row r="3" spans="1:6" ht="12.75">
      <c r="A3" t="s">
        <v>211</v>
      </c>
      <c r="F3" s="81"/>
    </row>
    <row r="4" spans="1:6" ht="12.75">
      <c r="A4" s="91"/>
      <c r="B4" s="91"/>
      <c r="C4" s="91"/>
      <c r="D4" s="91"/>
      <c r="E4" s="91"/>
      <c r="F4" s="81"/>
    </row>
    <row r="5" spans="1:6" ht="12.75">
      <c r="A5" s="81" t="s">
        <v>164</v>
      </c>
      <c r="B5" s="81"/>
      <c r="C5" s="81"/>
      <c r="D5" s="81"/>
      <c r="E5" s="81"/>
      <c r="F5" s="81"/>
    </row>
    <row r="6" spans="5:6" ht="12.75">
      <c r="E6" s="220">
        <v>30.126</v>
      </c>
      <c r="F6" s="15"/>
    </row>
    <row r="7" spans="1:6" ht="18.75" thickBot="1">
      <c r="A7" s="424" t="s">
        <v>0</v>
      </c>
      <c r="B7" s="425"/>
      <c r="C7" s="425"/>
      <c r="D7" s="425"/>
      <c r="E7" s="425"/>
      <c r="F7" s="67"/>
    </row>
    <row r="8" spans="1:6" ht="12.75">
      <c r="A8" s="397" t="s">
        <v>1</v>
      </c>
      <c r="B8" s="398"/>
      <c r="C8" s="389" t="s">
        <v>190</v>
      </c>
      <c r="D8" s="429" t="s">
        <v>212</v>
      </c>
      <c r="E8" s="429" t="s">
        <v>224</v>
      </c>
      <c r="F8" s="433" t="s">
        <v>194</v>
      </c>
    </row>
    <row r="9" spans="1:6" ht="13.5" thickBot="1">
      <c r="A9" s="420"/>
      <c r="B9" s="421"/>
      <c r="C9" s="401"/>
      <c r="D9" s="430"/>
      <c r="E9" s="430"/>
      <c r="F9" s="438"/>
    </row>
    <row r="10" spans="1:6" ht="13.5" thickBot="1">
      <c r="A10" s="422" t="s">
        <v>2</v>
      </c>
      <c r="B10" s="423"/>
      <c r="C10" s="186">
        <f>SUM(C11:C18)</f>
        <v>620562</v>
      </c>
      <c r="D10" s="186">
        <f>SUM(D11:D18)</f>
        <v>620592</v>
      </c>
      <c r="E10" s="186">
        <f>SUM(E11:E18)</f>
        <v>173354</v>
      </c>
      <c r="F10" s="186">
        <f>SUM(F11:F18)</f>
        <v>18695.954592000002</v>
      </c>
    </row>
    <row r="11" spans="1:6" ht="13.5" thickBot="1">
      <c r="A11" s="65">
        <v>111</v>
      </c>
      <c r="B11" s="33" t="s">
        <v>3</v>
      </c>
      <c r="C11" s="192">
        <v>580000</v>
      </c>
      <c r="D11" s="275">
        <v>580000</v>
      </c>
      <c r="E11" s="275">
        <v>155854</v>
      </c>
      <c r="F11" s="268">
        <f>D11*$E$6/1000</f>
        <v>17473.08</v>
      </c>
    </row>
    <row r="12" spans="1:6" ht="12.75">
      <c r="A12" s="116">
        <v>121</v>
      </c>
      <c r="B12" s="28" t="s">
        <v>90</v>
      </c>
      <c r="C12" s="161">
        <v>13200</v>
      </c>
      <c r="D12" s="276">
        <v>13200</v>
      </c>
      <c r="E12" s="276">
        <v>2938</v>
      </c>
      <c r="F12" s="269">
        <f aca="true" t="shared" si="0" ref="F12:F68">D12*$E$6/1000</f>
        <v>397.6632</v>
      </c>
    </row>
    <row r="13" spans="1:6" ht="12.75">
      <c r="A13" s="117">
        <v>121</v>
      </c>
      <c r="B13" s="6" t="s">
        <v>91</v>
      </c>
      <c r="C13" s="157">
        <v>12900</v>
      </c>
      <c r="D13" s="140">
        <v>12900</v>
      </c>
      <c r="E13" s="140">
        <v>6311</v>
      </c>
      <c r="F13" s="270">
        <f t="shared" si="0"/>
        <v>388.6254</v>
      </c>
    </row>
    <row r="14" spans="1:7" ht="13.5" thickBot="1">
      <c r="A14" s="118">
        <v>121</v>
      </c>
      <c r="B14" s="29" t="s">
        <v>4</v>
      </c>
      <c r="C14" s="166">
        <v>72</v>
      </c>
      <c r="D14" s="277">
        <v>72</v>
      </c>
      <c r="E14" s="277">
        <v>55</v>
      </c>
      <c r="F14" s="268">
        <f t="shared" si="0"/>
        <v>2.1690720000000003</v>
      </c>
      <c r="G14" s="195">
        <f>SUM(D12:D14)</f>
        <v>26172</v>
      </c>
    </row>
    <row r="15" spans="1:6" ht="12.75">
      <c r="A15" s="116">
        <v>133</v>
      </c>
      <c r="B15" s="28" t="s">
        <v>5</v>
      </c>
      <c r="C15" s="161">
        <v>480</v>
      </c>
      <c r="D15" s="276">
        <v>480</v>
      </c>
      <c r="E15" s="276">
        <v>441</v>
      </c>
      <c r="F15" s="269">
        <f t="shared" si="0"/>
        <v>14.460480000000002</v>
      </c>
    </row>
    <row r="16" spans="1:6" ht="12.75">
      <c r="A16" s="117">
        <v>133</v>
      </c>
      <c r="B16" s="6" t="s">
        <v>6</v>
      </c>
      <c r="C16" s="157">
        <v>210</v>
      </c>
      <c r="D16" s="298">
        <v>240</v>
      </c>
      <c r="E16" s="140">
        <v>231</v>
      </c>
      <c r="F16" s="270">
        <f t="shared" si="0"/>
        <v>7.230240000000001</v>
      </c>
    </row>
    <row r="17" spans="1:6" ht="12.75">
      <c r="A17" s="117">
        <v>133</v>
      </c>
      <c r="B17" s="6" t="s">
        <v>7</v>
      </c>
      <c r="C17" s="157">
        <v>1700</v>
      </c>
      <c r="D17" s="140">
        <v>1700</v>
      </c>
      <c r="E17" s="140">
        <v>252</v>
      </c>
      <c r="F17" s="270">
        <f t="shared" si="0"/>
        <v>51.214200000000005</v>
      </c>
    </row>
    <row r="18" spans="1:7" ht="13.5" thickBot="1">
      <c r="A18" s="118">
        <v>133</v>
      </c>
      <c r="B18" s="29" t="s">
        <v>8</v>
      </c>
      <c r="C18" s="166">
        <v>12000</v>
      </c>
      <c r="D18" s="277">
        <v>12000</v>
      </c>
      <c r="E18" s="277">
        <v>7272</v>
      </c>
      <c r="F18" s="268">
        <f t="shared" si="0"/>
        <v>361.512</v>
      </c>
      <c r="G18" s="195">
        <f>SUM(D15:D18)</f>
        <v>14420</v>
      </c>
    </row>
    <row r="19" spans="1:6" ht="13.5" thickBot="1">
      <c r="A19" s="422" t="s">
        <v>9</v>
      </c>
      <c r="B19" s="423"/>
      <c r="C19" s="186">
        <f>SUM(C20:C37)</f>
        <v>78883</v>
      </c>
      <c r="D19" s="186">
        <f>SUM(D20:D37)</f>
        <v>81683</v>
      </c>
      <c r="E19" s="186">
        <f>SUM(E20:E37)</f>
        <v>15846</v>
      </c>
      <c r="F19" s="186">
        <f>SUM(F20:F37)</f>
        <v>2460.7820580000002</v>
      </c>
    </row>
    <row r="20" spans="1:6" ht="12.75">
      <c r="A20" s="119">
        <v>212</v>
      </c>
      <c r="B20" s="45" t="s">
        <v>10</v>
      </c>
      <c r="C20" s="176">
        <v>477</v>
      </c>
      <c r="D20" s="278">
        <v>477</v>
      </c>
      <c r="E20" s="278">
        <v>110</v>
      </c>
      <c r="F20" s="270">
        <f t="shared" si="0"/>
        <v>14.370102000000001</v>
      </c>
    </row>
    <row r="21" spans="1:6" ht="12.75">
      <c r="A21" s="116">
        <v>212</v>
      </c>
      <c r="B21" s="28" t="s">
        <v>144</v>
      </c>
      <c r="C21" s="161">
        <v>100</v>
      </c>
      <c r="D21" s="300">
        <v>900</v>
      </c>
      <c r="E21" s="321">
        <v>481</v>
      </c>
      <c r="F21" s="270">
        <f t="shared" si="0"/>
        <v>27.113400000000002</v>
      </c>
    </row>
    <row r="22" spans="1:6" ht="12.75">
      <c r="A22" s="117">
        <v>212</v>
      </c>
      <c r="B22" s="6" t="s">
        <v>11</v>
      </c>
      <c r="C22" s="157">
        <v>3684</v>
      </c>
      <c r="D22" s="140">
        <v>3684</v>
      </c>
      <c r="E22" s="140">
        <v>975</v>
      </c>
      <c r="F22" s="270">
        <f t="shared" si="0"/>
        <v>110.98418400000001</v>
      </c>
    </row>
    <row r="23" spans="1:7" ht="12.75">
      <c r="A23" s="117">
        <v>212</v>
      </c>
      <c r="B23" s="6" t="s">
        <v>12</v>
      </c>
      <c r="C23" s="157">
        <v>9942</v>
      </c>
      <c r="D23" s="140">
        <v>9942</v>
      </c>
      <c r="E23" s="140">
        <v>2551</v>
      </c>
      <c r="F23" s="270">
        <f t="shared" si="0"/>
        <v>299.512692</v>
      </c>
      <c r="G23" s="66"/>
    </row>
    <row r="24" spans="1:7" ht="13.5" thickBot="1">
      <c r="A24" s="120">
        <v>212</v>
      </c>
      <c r="B24" s="32" t="s">
        <v>163</v>
      </c>
      <c r="C24" s="188">
        <v>20</v>
      </c>
      <c r="D24" s="279">
        <v>20</v>
      </c>
      <c r="E24" s="279">
        <v>0</v>
      </c>
      <c r="F24" s="271">
        <f t="shared" si="0"/>
        <v>0.60252</v>
      </c>
      <c r="G24" s="195">
        <f>SUM(D20:D24)</f>
        <v>15023</v>
      </c>
    </row>
    <row r="25" spans="1:6" ht="13.5" thickBot="1">
      <c r="A25" s="121">
        <v>221</v>
      </c>
      <c r="B25" s="30" t="s">
        <v>13</v>
      </c>
      <c r="C25" s="191">
        <v>9900</v>
      </c>
      <c r="D25" s="280">
        <v>9900</v>
      </c>
      <c r="E25" s="280">
        <v>648</v>
      </c>
      <c r="F25" s="272">
        <f t="shared" si="0"/>
        <v>298.2474</v>
      </c>
    </row>
    <row r="26" spans="1:6" ht="13.5" thickBot="1">
      <c r="A26" s="121">
        <v>222</v>
      </c>
      <c r="B26" s="30" t="s">
        <v>145</v>
      </c>
      <c r="C26" s="191">
        <v>100</v>
      </c>
      <c r="D26" s="280">
        <v>100</v>
      </c>
      <c r="E26" s="280">
        <v>100</v>
      </c>
      <c r="F26" s="272">
        <f t="shared" si="0"/>
        <v>3.0126</v>
      </c>
    </row>
    <row r="27" spans="1:6" ht="12.75">
      <c r="A27" s="116">
        <v>223</v>
      </c>
      <c r="B27" s="28" t="s">
        <v>177</v>
      </c>
      <c r="C27" s="161">
        <v>500</v>
      </c>
      <c r="D27" s="276">
        <v>500</v>
      </c>
      <c r="E27" s="276">
        <v>105</v>
      </c>
      <c r="F27" s="273">
        <f t="shared" si="0"/>
        <v>15.063</v>
      </c>
    </row>
    <row r="28" spans="1:6" ht="12.75">
      <c r="A28" s="117">
        <v>223</v>
      </c>
      <c r="B28" s="6" t="s">
        <v>92</v>
      </c>
      <c r="C28" s="157">
        <v>810</v>
      </c>
      <c r="D28" s="140">
        <v>810</v>
      </c>
      <c r="E28" s="140">
        <v>90</v>
      </c>
      <c r="F28" s="270">
        <f t="shared" si="0"/>
        <v>24.402060000000002</v>
      </c>
    </row>
    <row r="29" spans="1:6" ht="12.75">
      <c r="A29" s="117">
        <v>223</v>
      </c>
      <c r="B29" s="6" t="s">
        <v>16</v>
      </c>
      <c r="C29" s="157">
        <v>5000</v>
      </c>
      <c r="D29" s="140">
        <v>5000</v>
      </c>
      <c r="E29" s="140">
        <v>1782</v>
      </c>
      <c r="F29" s="270">
        <f t="shared" si="0"/>
        <v>150.63</v>
      </c>
    </row>
    <row r="30" spans="1:6" ht="12.75">
      <c r="A30" s="117">
        <v>223</v>
      </c>
      <c r="B30" s="6" t="s">
        <v>161</v>
      </c>
      <c r="C30" s="157">
        <v>10100</v>
      </c>
      <c r="D30" s="140">
        <v>10100</v>
      </c>
      <c r="E30" s="140">
        <v>0</v>
      </c>
      <c r="F30" s="270">
        <f t="shared" si="0"/>
        <v>304.2726</v>
      </c>
    </row>
    <row r="31" spans="1:6" ht="12.75">
      <c r="A31" s="117">
        <v>223</v>
      </c>
      <c r="B31" s="6" t="s">
        <v>93</v>
      </c>
      <c r="C31" s="157">
        <v>1500</v>
      </c>
      <c r="D31" s="140">
        <v>1500</v>
      </c>
      <c r="E31" s="140">
        <v>608</v>
      </c>
      <c r="F31" s="270">
        <f t="shared" si="0"/>
        <v>45.189</v>
      </c>
    </row>
    <row r="32" spans="1:6" ht="12.75">
      <c r="A32" s="117">
        <v>223</v>
      </c>
      <c r="B32" s="6" t="s">
        <v>15</v>
      </c>
      <c r="C32" s="157">
        <v>650</v>
      </c>
      <c r="D32" s="140">
        <v>650</v>
      </c>
      <c r="E32" s="140">
        <v>159</v>
      </c>
      <c r="F32" s="270">
        <f t="shared" si="0"/>
        <v>19.5819</v>
      </c>
    </row>
    <row r="33" spans="1:6" ht="12.75">
      <c r="A33" s="117">
        <v>223</v>
      </c>
      <c r="B33" s="6" t="s">
        <v>176</v>
      </c>
      <c r="C33" s="157">
        <v>17400</v>
      </c>
      <c r="D33" s="298">
        <v>19400</v>
      </c>
      <c r="E33" s="322">
        <v>4449</v>
      </c>
      <c r="F33" s="270">
        <f t="shared" si="0"/>
        <v>584.4444</v>
      </c>
    </row>
    <row r="34" spans="1:6" ht="12.75">
      <c r="A34" s="117">
        <v>223</v>
      </c>
      <c r="B34" s="6" t="s">
        <v>94</v>
      </c>
      <c r="C34" s="157">
        <v>6600</v>
      </c>
      <c r="D34" s="140">
        <v>6600</v>
      </c>
      <c r="E34" s="140">
        <v>1565</v>
      </c>
      <c r="F34" s="270">
        <f t="shared" si="0"/>
        <v>198.8316</v>
      </c>
    </row>
    <row r="35" spans="1:6" ht="12.75">
      <c r="A35" s="117">
        <v>223</v>
      </c>
      <c r="B35" s="6" t="s">
        <v>95</v>
      </c>
      <c r="C35" s="157">
        <v>1000</v>
      </c>
      <c r="D35" s="140">
        <v>1000</v>
      </c>
      <c r="E35" s="140">
        <v>285</v>
      </c>
      <c r="F35" s="270">
        <f t="shared" si="0"/>
        <v>30.126</v>
      </c>
    </row>
    <row r="36" spans="1:6" ht="12.75">
      <c r="A36" s="117">
        <v>223</v>
      </c>
      <c r="B36" s="6" t="s">
        <v>96</v>
      </c>
      <c r="C36" s="157">
        <v>11000</v>
      </c>
      <c r="D36" s="140">
        <v>11000</v>
      </c>
      <c r="E36" s="140">
        <v>1938</v>
      </c>
      <c r="F36" s="270">
        <f>D36*$E$6/1000</f>
        <v>331.386</v>
      </c>
    </row>
    <row r="37" spans="1:6" ht="13.5" thickBot="1">
      <c r="A37" s="118">
        <v>223</v>
      </c>
      <c r="B37" s="29" t="s">
        <v>17</v>
      </c>
      <c r="C37" s="166">
        <v>100</v>
      </c>
      <c r="D37" s="277">
        <v>100</v>
      </c>
      <c r="E37" s="277">
        <v>0</v>
      </c>
      <c r="F37" s="270">
        <f t="shared" si="0"/>
        <v>3.0126</v>
      </c>
    </row>
    <row r="38" spans="1:7" ht="13.5" thickBot="1">
      <c r="A38" s="422" t="s">
        <v>18</v>
      </c>
      <c r="B38" s="423"/>
      <c r="C38" s="186">
        <f>SUM(C39)</f>
        <v>1100</v>
      </c>
      <c r="D38" s="186">
        <f>SUM(D39)</f>
        <v>1100</v>
      </c>
      <c r="E38" s="186">
        <f>SUM(E39)</f>
        <v>596</v>
      </c>
      <c r="F38" s="186">
        <f>SUM(F39)</f>
        <v>33.1386</v>
      </c>
      <c r="G38" s="195">
        <f>SUM(D27:D37)</f>
        <v>56660</v>
      </c>
    </row>
    <row r="39" spans="1:6" ht="13.5" thickBot="1">
      <c r="A39" s="205">
        <v>240</v>
      </c>
      <c r="B39" s="32" t="s">
        <v>19</v>
      </c>
      <c r="C39" s="188">
        <v>1100</v>
      </c>
      <c r="D39" s="279">
        <v>1100</v>
      </c>
      <c r="E39" s="279">
        <v>596</v>
      </c>
      <c r="F39" s="270">
        <f t="shared" si="0"/>
        <v>33.1386</v>
      </c>
    </row>
    <row r="40" spans="1:6" ht="13.5" thickBot="1">
      <c r="A40" s="422" t="s">
        <v>14</v>
      </c>
      <c r="B40" s="423"/>
      <c r="C40" s="186">
        <f>SUM(C41:C51)</f>
        <v>21640</v>
      </c>
      <c r="D40" s="186">
        <f>SUM(D41:D51)</f>
        <v>23004</v>
      </c>
      <c r="E40" s="186">
        <f>SUM(E41:E51)</f>
        <v>3584</v>
      </c>
      <c r="F40" s="186">
        <f>SUM(F41:F51)</f>
        <v>693.018504</v>
      </c>
    </row>
    <row r="41" spans="1:6" ht="12.75">
      <c r="A41" s="123">
        <v>292</v>
      </c>
      <c r="B41" s="31" t="s">
        <v>157</v>
      </c>
      <c r="C41" s="162">
        <v>0</v>
      </c>
      <c r="D41" s="317">
        <v>200</v>
      </c>
      <c r="E41" s="211">
        <v>142</v>
      </c>
      <c r="F41" s="270">
        <f t="shared" si="0"/>
        <v>6.0252</v>
      </c>
    </row>
    <row r="42" spans="1:7" ht="12.75">
      <c r="A42" s="123">
        <v>292</v>
      </c>
      <c r="B42" s="31" t="s">
        <v>101</v>
      </c>
      <c r="C42" s="162">
        <v>400</v>
      </c>
      <c r="D42" s="211">
        <v>400</v>
      </c>
      <c r="E42" s="211">
        <v>52</v>
      </c>
      <c r="F42" s="270">
        <f t="shared" si="0"/>
        <v>12.0504</v>
      </c>
      <c r="G42" s="15"/>
    </row>
    <row r="43" spans="1:6" ht="12.75">
      <c r="A43" s="124">
        <v>292</v>
      </c>
      <c r="B43" s="7" t="s">
        <v>162</v>
      </c>
      <c r="C43" s="178">
        <v>0</v>
      </c>
      <c r="D43" s="318">
        <f>106+1008</f>
        <v>1114</v>
      </c>
      <c r="E43" s="153">
        <f>106+1008</f>
        <v>1114</v>
      </c>
      <c r="F43" s="270">
        <f t="shared" si="0"/>
        <v>33.560364</v>
      </c>
    </row>
    <row r="44" spans="1:6" ht="12.75">
      <c r="A44" s="124">
        <v>292</v>
      </c>
      <c r="B44" s="6" t="s">
        <v>98</v>
      </c>
      <c r="C44" s="189">
        <v>140</v>
      </c>
      <c r="D44" s="281">
        <v>140</v>
      </c>
      <c r="E44" s="281">
        <v>0</v>
      </c>
      <c r="F44" s="270">
        <f t="shared" si="0"/>
        <v>4.21764</v>
      </c>
    </row>
    <row r="45" spans="1:6" ht="12.75">
      <c r="A45" s="124">
        <v>292</v>
      </c>
      <c r="B45" s="7" t="s">
        <v>165</v>
      </c>
      <c r="C45" s="178">
        <v>6800</v>
      </c>
      <c r="D45" s="153">
        <v>6800</v>
      </c>
      <c r="E45" s="153">
        <f>536+200</f>
        <v>736</v>
      </c>
      <c r="F45" s="270">
        <f t="shared" si="0"/>
        <v>204.85680000000002</v>
      </c>
    </row>
    <row r="46" spans="1:6" ht="12.75">
      <c r="A46" s="124">
        <v>292</v>
      </c>
      <c r="B46" s="7" t="s">
        <v>146</v>
      </c>
      <c r="C46" s="178">
        <v>200</v>
      </c>
      <c r="D46" s="153">
        <v>200</v>
      </c>
      <c r="E46" s="153">
        <v>0</v>
      </c>
      <c r="F46" s="270">
        <f t="shared" si="0"/>
        <v>6.0252</v>
      </c>
    </row>
    <row r="47" spans="1:6" ht="12.75">
      <c r="A47" s="124">
        <v>292</v>
      </c>
      <c r="B47" s="7" t="s">
        <v>148</v>
      </c>
      <c r="C47" s="178">
        <v>0</v>
      </c>
      <c r="D47" s="153">
        <v>0</v>
      </c>
      <c r="E47" s="153">
        <v>0</v>
      </c>
      <c r="F47" s="270">
        <f t="shared" si="0"/>
        <v>0</v>
      </c>
    </row>
    <row r="48" spans="1:6" ht="12.75">
      <c r="A48" s="124">
        <v>292</v>
      </c>
      <c r="B48" s="6" t="s">
        <v>102</v>
      </c>
      <c r="C48" s="189">
        <v>12000</v>
      </c>
      <c r="D48" s="281">
        <v>12000</v>
      </c>
      <c r="E48" s="281">
        <v>1425</v>
      </c>
      <c r="F48" s="270">
        <f t="shared" si="0"/>
        <v>361.512</v>
      </c>
    </row>
    <row r="49" spans="1:6" ht="12.75">
      <c r="A49" s="124">
        <v>292</v>
      </c>
      <c r="B49" s="6" t="s">
        <v>99</v>
      </c>
      <c r="C49" s="189">
        <v>2000</v>
      </c>
      <c r="D49" s="281">
        <v>2000</v>
      </c>
      <c r="E49" s="281">
        <f>35+70</f>
        <v>105</v>
      </c>
      <c r="F49" s="270">
        <f t="shared" si="0"/>
        <v>60.252</v>
      </c>
    </row>
    <row r="50" spans="1:6" ht="12.75">
      <c r="A50" s="124">
        <v>292</v>
      </c>
      <c r="B50" s="6" t="s">
        <v>100</v>
      </c>
      <c r="C50" s="189">
        <v>100</v>
      </c>
      <c r="D50" s="281">
        <v>100</v>
      </c>
      <c r="E50" s="281">
        <v>10</v>
      </c>
      <c r="F50" s="270">
        <f t="shared" si="0"/>
        <v>3.0126</v>
      </c>
    </row>
    <row r="51" spans="1:6" ht="13.5" thickBot="1">
      <c r="A51" s="125">
        <v>292</v>
      </c>
      <c r="B51" s="32" t="s">
        <v>149</v>
      </c>
      <c r="C51" s="190">
        <v>0</v>
      </c>
      <c r="D51" s="319">
        <v>50</v>
      </c>
      <c r="E51" s="323">
        <v>0</v>
      </c>
      <c r="F51" s="270">
        <f t="shared" si="0"/>
        <v>1.5063</v>
      </c>
    </row>
    <row r="52" spans="1:6" ht="13.5" thickBot="1">
      <c r="A52" s="57" t="s">
        <v>20</v>
      </c>
      <c r="B52" s="58"/>
      <c r="C52" s="182">
        <f>SUM(C53:C66)</f>
        <v>327540</v>
      </c>
      <c r="D52" s="182">
        <f>SUM(D53:D66)</f>
        <v>344686</v>
      </c>
      <c r="E52" s="182">
        <f>SUM(E53:E66)</f>
        <v>87109</v>
      </c>
      <c r="F52" s="182">
        <f>SUM(F53:F66)</f>
        <v>10384.010436</v>
      </c>
    </row>
    <row r="53" spans="1:6" ht="12.75">
      <c r="A53" s="126">
        <v>311</v>
      </c>
      <c r="B53" s="28" t="s">
        <v>103</v>
      </c>
      <c r="C53" s="161">
        <v>0</v>
      </c>
      <c r="D53" s="276">
        <v>0</v>
      </c>
      <c r="E53" s="321">
        <v>0</v>
      </c>
      <c r="F53" s="270">
        <f t="shared" si="0"/>
        <v>0</v>
      </c>
    </row>
    <row r="54" spans="1:6" ht="12.75">
      <c r="A54" s="127">
        <v>312</v>
      </c>
      <c r="B54" s="6" t="s">
        <v>192</v>
      </c>
      <c r="C54" s="157">
        <v>3600</v>
      </c>
      <c r="D54" s="298">
        <v>3620</v>
      </c>
      <c r="E54" s="322">
        <v>668</v>
      </c>
      <c r="F54" s="270">
        <f t="shared" si="0"/>
        <v>109.05612</v>
      </c>
    </row>
    <row r="55" spans="1:6" ht="12.75">
      <c r="A55" s="127">
        <v>312</v>
      </c>
      <c r="B55" s="5" t="s">
        <v>21</v>
      </c>
      <c r="C55" s="164">
        <v>3000</v>
      </c>
      <c r="D55" s="304">
        <v>3074</v>
      </c>
      <c r="E55" s="324">
        <v>650</v>
      </c>
      <c r="F55" s="270">
        <f t="shared" si="0"/>
        <v>92.607324</v>
      </c>
    </row>
    <row r="56" spans="1:6" ht="12.75">
      <c r="A56" s="127">
        <v>312</v>
      </c>
      <c r="B56" s="8" t="s">
        <v>105</v>
      </c>
      <c r="C56" s="184">
        <f>280000+4800+4000</f>
        <v>288800</v>
      </c>
      <c r="D56" s="310">
        <f>290583+6300+5085</f>
        <v>301968</v>
      </c>
      <c r="E56" s="325">
        <f>72645+1890+1271</f>
        <v>75806</v>
      </c>
      <c r="F56" s="270">
        <f t="shared" si="0"/>
        <v>9097.087968</v>
      </c>
    </row>
    <row r="57" spans="1:6" ht="12.75">
      <c r="A57" s="127">
        <v>312</v>
      </c>
      <c r="B57" s="221" t="s">
        <v>196</v>
      </c>
      <c r="C57" s="198">
        <v>1700</v>
      </c>
      <c r="D57" s="304">
        <v>1978</v>
      </c>
      <c r="E57" s="326">
        <v>495</v>
      </c>
      <c r="F57" s="270">
        <f t="shared" si="0"/>
        <v>59.589228000000006</v>
      </c>
    </row>
    <row r="58" spans="1:6" ht="12.75">
      <c r="A58" s="127">
        <v>312</v>
      </c>
      <c r="B58" s="221" t="s">
        <v>213</v>
      </c>
      <c r="C58" s="198">
        <v>0</v>
      </c>
      <c r="D58" s="304">
        <v>276</v>
      </c>
      <c r="E58" s="326">
        <v>276</v>
      </c>
      <c r="F58" s="270">
        <f t="shared" si="0"/>
        <v>8.314776</v>
      </c>
    </row>
    <row r="59" spans="1:6" ht="12.75">
      <c r="A59" s="127">
        <v>312</v>
      </c>
      <c r="B59" s="221" t="s">
        <v>214</v>
      </c>
      <c r="C59" s="198">
        <v>0</v>
      </c>
      <c r="D59" s="304">
        <v>20</v>
      </c>
      <c r="E59" s="326">
        <v>5</v>
      </c>
      <c r="F59" s="270">
        <f t="shared" si="0"/>
        <v>0.60252</v>
      </c>
    </row>
    <row r="60" spans="1:6" ht="12.75">
      <c r="A60" s="127">
        <v>312</v>
      </c>
      <c r="B60" s="6" t="s">
        <v>191</v>
      </c>
      <c r="C60" s="157">
        <v>4900</v>
      </c>
      <c r="D60" s="140">
        <v>4900</v>
      </c>
      <c r="E60" s="327">
        <v>2947</v>
      </c>
      <c r="F60" s="270">
        <f t="shared" si="0"/>
        <v>147.6174</v>
      </c>
    </row>
    <row r="61" spans="1:6" ht="12.75">
      <c r="A61" s="127">
        <v>312</v>
      </c>
      <c r="B61" s="6" t="s">
        <v>22</v>
      </c>
      <c r="C61" s="157">
        <v>1300</v>
      </c>
      <c r="D61" s="140">
        <v>1300</v>
      </c>
      <c r="E61" s="327">
        <v>217</v>
      </c>
      <c r="F61" s="270">
        <f t="shared" si="0"/>
        <v>39.1638</v>
      </c>
    </row>
    <row r="62" spans="1:6" ht="12.75">
      <c r="A62" s="127">
        <v>312</v>
      </c>
      <c r="B62" s="6" t="s">
        <v>221</v>
      </c>
      <c r="C62" s="157">
        <v>0</v>
      </c>
      <c r="D62" s="298">
        <v>100</v>
      </c>
      <c r="E62" s="327">
        <v>0</v>
      </c>
      <c r="F62" s="270">
        <f t="shared" si="0"/>
        <v>3.0126</v>
      </c>
    </row>
    <row r="63" spans="1:6" ht="12.75">
      <c r="A63" s="127">
        <v>312</v>
      </c>
      <c r="B63" s="9" t="s">
        <v>106</v>
      </c>
      <c r="C63" s="163">
        <v>2500</v>
      </c>
      <c r="D63" s="311">
        <v>3600</v>
      </c>
      <c r="E63" s="327">
        <v>0</v>
      </c>
      <c r="F63" s="270">
        <f t="shared" si="0"/>
        <v>108.45360000000001</v>
      </c>
    </row>
    <row r="64" spans="1:6" ht="12.75">
      <c r="A64" s="127">
        <v>312</v>
      </c>
      <c r="B64" s="9" t="s">
        <v>158</v>
      </c>
      <c r="C64" s="163">
        <v>8620</v>
      </c>
      <c r="D64" s="138">
        <v>8620</v>
      </c>
      <c r="E64" s="327">
        <v>2237</v>
      </c>
      <c r="F64" s="270">
        <f t="shared" si="0"/>
        <v>259.68612</v>
      </c>
    </row>
    <row r="65" spans="1:6" ht="12.75">
      <c r="A65" s="127">
        <v>312</v>
      </c>
      <c r="B65" s="9" t="s">
        <v>159</v>
      </c>
      <c r="C65" s="163">
        <v>13120</v>
      </c>
      <c r="D65" s="311">
        <v>15230</v>
      </c>
      <c r="E65" s="327">
        <v>3808</v>
      </c>
      <c r="F65" s="270">
        <f>D65*$E$6/1000</f>
        <v>458.81898000000007</v>
      </c>
    </row>
    <row r="66" spans="1:6" ht="13.5" thickBot="1">
      <c r="A66" s="130">
        <v>312</v>
      </c>
      <c r="B66" s="37" t="s">
        <v>160</v>
      </c>
      <c r="C66" s="174">
        <v>0</v>
      </c>
      <c r="D66" s="282">
        <v>0</v>
      </c>
      <c r="E66" s="328">
        <v>0</v>
      </c>
      <c r="F66" s="274">
        <f t="shared" si="0"/>
        <v>0</v>
      </c>
    </row>
    <row r="67" spans="1:6" ht="16.5" thickBot="1">
      <c r="A67" s="60" t="s">
        <v>107</v>
      </c>
      <c r="B67" s="216"/>
      <c r="C67" s="217">
        <f>SUM(C10+C19+C38+C40+C52)</f>
        <v>1049725</v>
      </c>
      <c r="D67" s="217">
        <f>SUM(D10+D19+D38+D40+D52)</f>
        <v>1071065</v>
      </c>
      <c r="E67" s="217">
        <f>SUM(E10+E19+E38+E40+E52)</f>
        <v>280489</v>
      </c>
      <c r="F67" s="217">
        <f>SUM(F10+F19+F38+F40+F52)</f>
        <v>32266.90419</v>
      </c>
    </row>
    <row r="68" spans="1:6" ht="16.5" thickBot="1">
      <c r="A68" s="213">
        <v>236</v>
      </c>
      <c r="B68" s="214" t="s">
        <v>108</v>
      </c>
      <c r="C68" s="215">
        <v>1674</v>
      </c>
      <c r="D68" s="283">
        <v>1674</v>
      </c>
      <c r="E68" s="283">
        <v>0</v>
      </c>
      <c r="F68" s="273">
        <f t="shared" si="0"/>
        <v>50.430924</v>
      </c>
    </row>
    <row r="69" spans="1:6" ht="16.5" thickBot="1">
      <c r="A69" s="60" t="s">
        <v>23</v>
      </c>
      <c r="B69" s="58"/>
      <c r="C69" s="185">
        <f>SUM(C67:C68)</f>
        <v>1051399</v>
      </c>
      <c r="D69" s="185">
        <f>SUM(D67:D68)</f>
        <v>1072739</v>
      </c>
      <c r="E69" s="185">
        <f>SUM(E67:E68)</f>
        <v>280489</v>
      </c>
      <c r="F69" s="185">
        <f>SUM(F67:F68)</f>
        <v>32317.335114</v>
      </c>
    </row>
    <row r="70" spans="1:5" ht="15.75">
      <c r="A70" s="10"/>
      <c r="B70" s="16"/>
      <c r="C70" s="16"/>
      <c r="D70" s="16"/>
      <c r="E70" s="89"/>
    </row>
    <row r="71" spans="1:5" ht="18.75" thickBot="1">
      <c r="A71" s="418" t="s">
        <v>24</v>
      </c>
      <c r="B71" s="419"/>
      <c r="C71" s="419"/>
      <c r="D71" s="419"/>
      <c r="E71" s="419"/>
    </row>
    <row r="72" spans="1:7" ht="18">
      <c r="A72" s="397" t="s">
        <v>1</v>
      </c>
      <c r="B72" s="398"/>
      <c r="C72" s="389" t="s">
        <v>190</v>
      </c>
      <c r="D72" s="429" t="s">
        <v>212</v>
      </c>
      <c r="E72" s="429" t="s">
        <v>224</v>
      </c>
      <c r="F72" s="389" t="s">
        <v>194</v>
      </c>
      <c r="G72" s="3"/>
    </row>
    <row r="73" spans="1:6" ht="12.75" customHeight="1" thickBot="1">
      <c r="A73" s="420"/>
      <c r="B73" s="421"/>
      <c r="C73" s="401"/>
      <c r="D73" s="430"/>
      <c r="E73" s="430"/>
      <c r="F73" s="401"/>
    </row>
    <row r="74" spans="1:6" ht="13.5" thickBot="1">
      <c r="A74" s="35" t="s">
        <v>25</v>
      </c>
      <c r="B74" s="36"/>
      <c r="C74" s="158">
        <f>SUM(C75:C78)</f>
        <v>164600</v>
      </c>
      <c r="D74" s="158">
        <f>SUM(D75:D78)</f>
        <v>164720</v>
      </c>
      <c r="E74" s="158">
        <f>SUM(E75:E78)</f>
        <v>35889</v>
      </c>
      <c r="F74" s="158">
        <f>SUM(F75:F78)</f>
        <v>4962.35472</v>
      </c>
    </row>
    <row r="75" spans="1:6" ht="12.75">
      <c r="A75" s="49" t="s">
        <v>26</v>
      </c>
      <c r="B75" s="34" t="s">
        <v>109</v>
      </c>
      <c r="C75" s="160">
        <v>145000</v>
      </c>
      <c r="D75" s="137">
        <v>145000</v>
      </c>
      <c r="E75" s="137">
        <v>31890</v>
      </c>
      <c r="F75" s="270">
        <f aca="true" t="shared" si="1" ref="F75:F87">D75*$E$6/1000</f>
        <v>4368.27</v>
      </c>
    </row>
    <row r="76" spans="1:6" ht="12.75">
      <c r="A76" s="50" t="s">
        <v>27</v>
      </c>
      <c r="B76" s="9" t="s">
        <v>28</v>
      </c>
      <c r="C76" s="163">
        <v>16000</v>
      </c>
      <c r="D76" s="138">
        <v>16000</v>
      </c>
      <c r="E76" s="138">
        <v>2910</v>
      </c>
      <c r="F76" s="270">
        <f t="shared" si="1"/>
        <v>482.016</v>
      </c>
    </row>
    <row r="77" spans="1:6" ht="12.75">
      <c r="A77" s="95" t="s">
        <v>29</v>
      </c>
      <c r="B77" s="9" t="s">
        <v>218</v>
      </c>
      <c r="C77" s="163">
        <v>3600</v>
      </c>
      <c r="D77" s="311">
        <v>3620</v>
      </c>
      <c r="E77" s="138">
        <v>1074</v>
      </c>
      <c r="F77" s="270">
        <f t="shared" si="1"/>
        <v>109.05612</v>
      </c>
    </row>
    <row r="78" spans="1:6" ht="13.5" thickBot="1">
      <c r="A78" s="312" t="s">
        <v>219</v>
      </c>
      <c r="B78" s="313" t="s">
        <v>220</v>
      </c>
      <c r="C78" s="228">
        <v>0</v>
      </c>
      <c r="D78" s="314">
        <v>100</v>
      </c>
      <c r="E78" s="296">
        <v>15</v>
      </c>
      <c r="F78" s="270">
        <f t="shared" si="1"/>
        <v>3.0126</v>
      </c>
    </row>
    <row r="79" spans="1:6" ht="13.5" thickBot="1">
      <c r="A79" s="414" t="s">
        <v>30</v>
      </c>
      <c r="B79" s="415"/>
      <c r="C79" s="158">
        <f>SUM(C80)</f>
        <v>140</v>
      </c>
      <c r="D79" s="159">
        <f>SUM(D80)</f>
        <v>140</v>
      </c>
      <c r="E79" s="159">
        <f>SUM(E80)</f>
        <v>0</v>
      </c>
      <c r="F79" s="284">
        <f>F80</f>
        <v>4.21764</v>
      </c>
    </row>
    <row r="80" spans="1:6" ht="13.5" thickBot="1">
      <c r="A80" s="62" t="s">
        <v>31</v>
      </c>
      <c r="B80" s="16" t="s">
        <v>111</v>
      </c>
      <c r="C80" s="180">
        <v>140</v>
      </c>
      <c r="D80" s="289">
        <v>140</v>
      </c>
      <c r="E80" s="289">
        <v>0</v>
      </c>
      <c r="F80" s="270">
        <f t="shared" si="1"/>
        <v>4.21764</v>
      </c>
    </row>
    <row r="81" spans="1:6" ht="13.5" thickBot="1">
      <c r="A81" s="414" t="s">
        <v>32</v>
      </c>
      <c r="B81" s="415"/>
      <c r="C81" s="177">
        <f>SUM(C82)</f>
        <v>4500</v>
      </c>
      <c r="D81" s="159">
        <f>SUM(D82)</f>
        <v>4500</v>
      </c>
      <c r="E81" s="159">
        <f>SUM(E82)</f>
        <v>1185</v>
      </c>
      <c r="F81" s="284">
        <f>F82</f>
        <v>135.567</v>
      </c>
    </row>
    <row r="82" spans="1:6" ht="13.5" thickBot="1">
      <c r="A82" s="113" t="s">
        <v>33</v>
      </c>
      <c r="B82" s="38" t="s">
        <v>115</v>
      </c>
      <c r="C82" s="181">
        <v>4500</v>
      </c>
      <c r="D82" s="207">
        <v>4500</v>
      </c>
      <c r="E82" s="207">
        <v>1185</v>
      </c>
      <c r="F82" s="270">
        <f t="shared" si="1"/>
        <v>135.567</v>
      </c>
    </row>
    <row r="83" spans="1:6" ht="13.5" thickBot="1">
      <c r="A83" s="35" t="s">
        <v>34</v>
      </c>
      <c r="B83" s="39"/>
      <c r="C83" s="158">
        <f>SUM(C84:C87)</f>
        <v>126500</v>
      </c>
      <c r="D83" s="159">
        <f>SUM(D84:D87)</f>
        <v>125700</v>
      </c>
      <c r="E83" s="159">
        <f>SUM(E84:E87)</f>
        <v>25402</v>
      </c>
      <c r="F83" s="284">
        <f>SUM(F84:F87)</f>
        <v>3786.8382</v>
      </c>
    </row>
    <row r="84" spans="1:6" ht="12.75">
      <c r="A84" s="114" t="s">
        <v>35</v>
      </c>
      <c r="B84" s="31" t="s">
        <v>112</v>
      </c>
      <c r="C84" s="162">
        <v>2200</v>
      </c>
      <c r="D84" s="211">
        <v>2200</v>
      </c>
      <c r="E84" s="211">
        <v>451</v>
      </c>
      <c r="F84" s="270">
        <f t="shared" si="1"/>
        <v>66.2772</v>
      </c>
    </row>
    <row r="85" spans="1:6" ht="12.75">
      <c r="A85" s="95" t="s">
        <v>36</v>
      </c>
      <c r="B85" s="9" t="s">
        <v>110</v>
      </c>
      <c r="C85" s="163">
        <v>5000</v>
      </c>
      <c r="D85" s="138">
        <v>5000</v>
      </c>
      <c r="E85" s="138">
        <v>1305</v>
      </c>
      <c r="F85" s="270">
        <f t="shared" si="1"/>
        <v>150.63</v>
      </c>
    </row>
    <row r="86" spans="1:6" ht="12.75">
      <c r="A86" s="95" t="s">
        <v>37</v>
      </c>
      <c r="B86" s="9" t="s">
        <v>116</v>
      </c>
      <c r="C86" s="193">
        <v>4300</v>
      </c>
      <c r="D86" s="141">
        <v>4300</v>
      </c>
      <c r="E86" s="141">
        <v>1621</v>
      </c>
      <c r="F86" s="270">
        <f t="shared" si="1"/>
        <v>129.5418</v>
      </c>
    </row>
    <row r="87" spans="1:6" ht="13.5" thickBot="1">
      <c r="A87" s="111" t="s">
        <v>38</v>
      </c>
      <c r="B87" s="37" t="s">
        <v>117</v>
      </c>
      <c r="C87" s="230">
        <v>115000</v>
      </c>
      <c r="D87" s="316">
        <v>114200</v>
      </c>
      <c r="E87" s="333">
        <v>22025</v>
      </c>
      <c r="F87" s="270">
        <f t="shared" si="1"/>
        <v>3440.3892</v>
      </c>
    </row>
    <row r="88" spans="1:6" ht="13.5" thickBot="1">
      <c r="A88" s="35" t="s">
        <v>39</v>
      </c>
      <c r="B88" s="36"/>
      <c r="C88" s="158">
        <f>SUM(C89:C90)</f>
        <v>25000</v>
      </c>
      <c r="D88" s="159">
        <f>SUM(D89:D90)</f>
        <v>25000</v>
      </c>
      <c r="E88" s="159">
        <f>SUM(E89:E90)</f>
        <v>2400</v>
      </c>
      <c r="F88" s="284">
        <f>SUM(F89:F90)</f>
        <v>753.15</v>
      </c>
    </row>
    <row r="89" spans="1:6" ht="12.75">
      <c r="A89" s="112" t="s">
        <v>40</v>
      </c>
      <c r="B89" s="44" t="s">
        <v>41</v>
      </c>
      <c r="C89" s="175">
        <v>20500</v>
      </c>
      <c r="D89" s="290">
        <v>20500</v>
      </c>
      <c r="E89" s="290">
        <v>2260</v>
      </c>
      <c r="F89" s="270">
        <f>D89*$E$6/1000</f>
        <v>617.583</v>
      </c>
    </row>
    <row r="90" spans="1:6" ht="13.5" thickBot="1">
      <c r="A90" s="82" t="s">
        <v>42</v>
      </c>
      <c r="B90" s="42" t="s">
        <v>113</v>
      </c>
      <c r="C90" s="165">
        <v>4500</v>
      </c>
      <c r="D90" s="291">
        <v>4500</v>
      </c>
      <c r="E90" s="291">
        <v>140</v>
      </c>
      <c r="F90" s="270">
        <f>D90*$E$6/1000</f>
        <v>135.567</v>
      </c>
    </row>
    <row r="91" spans="1:6" ht="13.5" thickBot="1">
      <c r="A91" s="35" t="s">
        <v>43</v>
      </c>
      <c r="B91" s="39"/>
      <c r="C91" s="158">
        <f>SUM(C92)</f>
        <v>15000</v>
      </c>
      <c r="D91" s="159">
        <f>SUM(D92)</f>
        <v>15000</v>
      </c>
      <c r="E91" s="159">
        <f>SUM(E92)</f>
        <v>4445</v>
      </c>
      <c r="F91" s="285">
        <f>SUM(F92)</f>
        <v>451.89</v>
      </c>
    </row>
    <row r="92" spans="1:6" ht="13.5" thickBot="1">
      <c r="A92" s="226" t="s">
        <v>44</v>
      </c>
      <c r="B92" s="37" t="s">
        <v>45</v>
      </c>
      <c r="C92" s="174">
        <v>15000</v>
      </c>
      <c r="D92" s="282">
        <v>15000</v>
      </c>
      <c r="E92" s="282">
        <v>4445</v>
      </c>
      <c r="F92" s="270">
        <f>D92*$E$6/1000</f>
        <v>451.89</v>
      </c>
    </row>
    <row r="93" spans="1:6" ht="13.5" thickBot="1">
      <c r="A93" s="43" t="s">
        <v>46</v>
      </c>
      <c r="B93" s="36"/>
      <c r="C93" s="158">
        <f>SUM(C94:C106)</f>
        <v>59200</v>
      </c>
      <c r="D93" s="159">
        <f>SUM(D94:D106)</f>
        <v>62320</v>
      </c>
      <c r="E93" s="159">
        <f>SUM(E94:E106)</f>
        <v>13006</v>
      </c>
      <c r="F93" s="285">
        <f>SUM(F94:F106)</f>
        <v>1877.45232</v>
      </c>
    </row>
    <row r="94" spans="1:6" ht="12.75">
      <c r="A94" s="53" t="s">
        <v>47</v>
      </c>
      <c r="B94" s="34" t="s">
        <v>118</v>
      </c>
      <c r="C94" s="160">
        <v>5000</v>
      </c>
      <c r="D94" s="137">
        <v>5000</v>
      </c>
      <c r="E94" s="137">
        <v>618</v>
      </c>
      <c r="F94" s="270">
        <f aca="true" t="shared" si="2" ref="F94:F106">D94*$E$6/1000</f>
        <v>150.63</v>
      </c>
    </row>
    <row r="95" spans="1:6" ht="13.5" thickBot="1">
      <c r="A95" s="82" t="s">
        <v>47</v>
      </c>
      <c r="B95" s="42" t="s">
        <v>119</v>
      </c>
      <c r="C95" s="165">
        <v>3000</v>
      </c>
      <c r="D95" s="291">
        <v>3000</v>
      </c>
      <c r="E95" s="291">
        <v>175</v>
      </c>
      <c r="F95" s="271">
        <f t="shared" si="2"/>
        <v>90.378</v>
      </c>
    </row>
    <row r="96" spans="1:6" ht="12.75">
      <c r="A96" s="53" t="s">
        <v>48</v>
      </c>
      <c r="B96" s="41" t="s">
        <v>120</v>
      </c>
      <c r="C96" s="172">
        <v>16000</v>
      </c>
      <c r="D96" s="292">
        <v>18420</v>
      </c>
      <c r="E96" s="334">
        <v>4235</v>
      </c>
      <c r="F96" s="273">
        <f t="shared" si="2"/>
        <v>554.92092</v>
      </c>
    </row>
    <row r="97" spans="1:6" ht="12.75">
      <c r="A97" s="95" t="s">
        <v>50</v>
      </c>
      <c r="B97" s="40" t="s">
        <v>121</v>
      </c>
      <c r="C97" s="173">
        <v>700</v>
      </c>
      <c r="D97" s="138">
        <v>700</v>
      </c>
      <c r="E97" s="138">
        <v>88</v>
      </c>
      <c r="F97" s="270">
        <f t="shared" si="2"/>
        <v>21.0882</v>
      </c>
    </row>
    <row r="98" spans="1:6" ht="13.5" thickBot="1">
      <c r="A98" s="82" t="s">
        <v>51</v>
      </c>
      <c r="B98" s="42" t="s">
        <v>122</v>
      </c>
      <c r="C98" s="165">
        <v>2000</v>
      </c>
      <c r="D98" s="291">
        <v>2000</v>
      </c>
      <c r="E98" s="291">
        <v>751</v>
      </c>
      <c r="F98" s="271">
        <f t="shared" si="2"/>
        <v>60.252</v>
      </c>
    </row>
    <row r="99" spans="1:6" ht="12.75">
      <c r="A99" s="95" t="s">
        <v>52</v>
      </c>
      <c r="B99" s="9" t="s">
        <v>187</v>
      </c>
      <c r="C99" s="163">
        <v>1600</v>
      </c>
      <c r="D99" s="311">
        <f>1600+700</f>
        <v>2300</v>
      </c>
      <c r="E99" s="138">
        <v>1201</v>
      </c>
      <c r="F99" s="273">
        <f t="shared" si="2"/>
        <v>69.2898</v>
      </c>
    </row>
    <row r="100" spans="1:6" ht="12.75">
      <c r="A100" s="95" t="s">
        <v>52</v>
      </c>
      <c r="B100" s="9" t="s">
        <v>152</v>
      </c>
      <c r="C100" s="163">
        <v>2000</v>
      </c>
      <c r="D100" s="138">
        <v>2000</v>
      </c>
      <c r="E100" s="138">
        <v>0</v>
      </c>
      <c r="F100" s="270">
        <f t="shared" si="2"/>
        <v>60.252</v>
      </c>
    </row>
    <row r="101" spans="1:6" ht="12.75">
      <c r="A101" s="95" t="s">
        <v>52</v>
      </c>
      <c r="B101" s="9" t="s">
        <v>49</v>
      </c>
      <c r="C101" s="163">
        <v>7000</v>
      </c>
      <c r="D101" s="138">
        <v>7000</v>
      </c>
      <c r="E101" s="138">
        <v>0</v>
      </c>
      <c r="F101" s="270">
        <f t="shared" si="2"/>
        <v>210.882</v>
      </c>
    </row>
    <row r="102" spans="1:6" ht="12.75">
      <c r="A102" s="111" t="s">
        <v>52</v>
      </c>
      <c r="B102" s="37" t="s">
        <v>175</v>
      </c>
      <c r="C102" s="174">
        <v>0</v>
      </c>
      <c r="D102" s="282">
        <v>0</v>
      </c>
      <c r="E102" s="282">
        <v>0</v>
      </c>
      <c r="F102" s="270">
        <f t="shared" si="2"/>
        <v>0</v>
      </c>
    </row>
    <row r="103" spans="1:6" ht="13.5" thickBot="1">
      <c r="A103" s="82" t="s">
        <v>52</v>
      </c>
      <c r="B103" s="42" t="s">
        <v>123</v>
      </c>
      <c r="C103" s="165">
        <v>10000</v>
      </c>
      <c r="D103" s="291">
        <v>10000</v>
      </c>
      <c r="E103" s="291">
        <v>0</v>
      </c>
      <c r="F103" s="271">
        <f t="shared" si="2"/>
        <v>301.26</v>
      </c>
    </row>
    <row r="104" spans="1:6" ht="12.75">
      <c r="A104" s="112" t="s">
        <v>53</v>
      </c>
      <c r="B104" s="44" t="s">
        <v>155</v>
      </c>
      <c r="C104" s="175">
        <v>1600</v>
      </c>
      <c r="D104" s="290">
        <v>1600</v>
      </c>
      <c r="E104" s="290">
        <v>1018</v>
      </c>
      <c r="F104" s="273">
        <f t="shared" si="2"/>
        <v>48.2016</v>
      </c>
    </row>
    <row r="105" spans="1:6" ht="12.75">
      <c r="A105" s="53" t="s">
        <v>54</v>
      </c>
      <c r="B105" s="34" t="s">
        <v>124</v>
      </c>
      <c r="C105" s="160">
        <v>7300</v>
      </c>
      <c r="D105" s="137">
        <v>7300</v>
      </c>
      <c r="E105" s="137">
        <v>4246</v>
      </c>
      <c r="F105" s="270">
        <f t="shared" si="2"/>
        <v>219.9198</v>
      </c>
    </row>
    <row r="106" spans="1:6" ht="13.5" thickBot="1">
      <c r="A106" s="111" t="s">
        <v>55</v>
      </c>
      <c r="B106" s="37" t="s">
        <v>125</v>
      </c>
      <c r="C106" s="174">
        <v>3000</v>
      </c>
      <c r="D106" s="282">
        <v>3000</v>
      </c>
      <c r="E106" s="282">
        <v>674</v>
      </c>
      <c r="F106" s="270">
        <f t="shared" si="2"/>
        <v>90.378</v>
      </c>
    </row>
    <row r="107" spans="1:6" ht="13.5" thickBot="1">
      <c r="A107" s="414" t="s">
        <v>56</v>
      </c>
      <c r="B107" s="415"/>
      <c r="C107" s="177">
        <f>SUM(C108:C112)</f>
        <v>251198</v>
      </c>
      <c r="D107" s="159">
        <f>SUM(D108:D112)</f>
        <v>253308</v>
      </c>
      <c r="E107" s="159">
        <f>SUM(E108:E112)</f>
        <v>65718</v>
      </c>
      <c r="F107" s="284">
        <f>SUM(F108:F112)</f>
        <v>7631.156808</v>
      </c>
    </row>
    <row r="108" spans="1:6" ht="12.75">
      <c r="A108" s="222" t="s">
        <v>57</v>
      </c>
      <c r="B108" s="223" t="s">
        <v>147</v>
      </c>
      <c r="C108" s="224">
        <v>85000</v>
      </c>
      <c r="D108" s="218">
        <v>85000</v>
      </c>
      <c r="E108" s="218">
        <v>22816</v>
      </c>
      <c r="F108" s="270">
        <f>D108*$E$6/1000</f>
        <v>2560.71</v>
      </c>
    </row>
    <row r="109" spans="1:6" ht="12.75">
      <c r="A109" s="84" t="s">
        <v>58</v>
      </c>
      <c r="B109" s="7" t="s">
        <v>223</v>
      </c>
      <c r="C109" s="178">
        <v>78</v>
      </c>
      <c r="D109" s="153">
        <v>78</v>
      </c>
      <c r="E109" s="153">
        <v>0</v>
      </c>
      <c r="F109" s="270">
        <f>D109*$E$6/1000</f>
        <v>2.349828</v>
      </c>
    </row>
    <row r="110" spans="1:6" ht="12.75">
      <c r="A110" s="84" t="s">
        <v>59</v>
      </c>
      <c r="B110" s="7" t="s">
        <v>60</v>
      </c>
      <c r="C110" s="178">
        <v>95000</v>
      </c>
      <c r="D110" s="153">
        <v>95000</v>
      </c>
      <c r="E110" s="153">
        <v>26451</v>
      </c>
      <c r="F110" s="270">
        <f>D110*$E$6/1000</f>
        <v>2861.97</v>
      </c>
    </row>
    <row r="111" spans="1:6" ht="12.75">
      <c r="A111" s="84" t="s">
        <v>76</v>
      </c>
      <c r="B111" s="7" t="s">
        <v>153</v>
      </c>
      <c r="C111" s="178">
        <v>58000</v>
      </c>
      <c r="D111" s="153">
        <v>58000</v>
      </c>
      <c r="E111" s="153">
        <v>13139</v>
      </c>
      <c r="F111" s="270">
        <f>D111*$E$6/1000</f>
        <v>1747.308</v>
      </c>
    </row>
    <row r="112" spans="1:6" ht="13.5" thickBot="1">
      <c r="A112" s="111" t="s">
        <v>61</v>
      </c>
      <c r="B112" s="37" t="s">
        <v>127</v>
      </c>
      <c r="C112" s="179">
        <v>13120</v>
      </c>
      <c r="D112" s="320">
        <v>15230</v>
      </c>
      <c r="E112" s="335">
        <v>3312</v>
      </c>
      <c r="F112" s="270">
        <f>D112*$E$6/1000</f>
        <v>458.81898000000007</v>
      </c>
    </row>
    <row r="113" spans="1:6" ht="13.5" thickBot="1">
      <c r="A113" s="35" t="s">
        <v>62</v>
      </c>
      <c r="B113" s="36"/>
      <c r="C113" s="158">
        <f>SUM(C114:C122)</f>
        <v>96500</v>
      </c>
      <c r="D113" s="159">
        <f>SUM(D114:D122)</f>
        <v>97200</v>
      </c>
      <c r="E113" s="159">
        <f>SUM(E114:E122)</f>
        <v>21746</v>
      </c>
      <c r="F113" s="284">
        <f>SUM(F114:F122)</f>
        <v>2928.2472</v>
      </c>
    </row>
    <row r="114" spans="1:6" ht="12.75">
      <c r="A114" s="53" t="s">
        <v>63</v>
      </c>
      <c r="B114" s="34" t="s">
        <v>128</v>
      </c>
      <c r="C114" s="160">
        <v>74000</v>
      </c>
      <c r="D114" s="137">
        <v>74000</v>
      </c>
      <c r="E114" s="137">
        <v>16919</v>
      </c>
      <c r="F114" s="270">
        <f aca="true" t="shared" si="3" ref="F114:F125">D114*$E$6/1000</f>
        <v>2229.324</v>
      </c>
    </row>
    <row r="115" spans="1:6" ht="12.75">
      <c r="A115" s="95" t="s">
        <v>64</v>
      </c>
      <c r="B115" s="9" t="s">
        <v>129</v>
      </c>
      <c r="C115" s="163">
        <v>11000</v>
      </c>
      <c r="D115" s="138">
        <v>11000</v>
      </c>
      <c r="E115" s="138">
        <v>2675</v>
      </c>
      <c r="F115" s="270">
        <f t="shared" si="3"/>
        <v>331.386</v>
      </c>
    </row>
    <row r="116" spans="1:6" ht="13.5" thickBot="1">
      <c r="A116" s="82" t="s">
        <v>64</v>
      </c>
      <c r="B116" s="42" t="s">
        <v>130</v>
      </c>
      <c r="C116" s="165">
        <v>1500</v>
      </c>
      <c r="D116" s="291">
        <v>1500</v>
      </c>
      <c r="E116" s="291">
        <v>0</v>
      </c>
      <c r="F116" s="271">
        <f t="shared" si="3"/>
        <v>45.189</v>
      </c>
    </row>
    <row r="117" spans="1:6" ht="12.75">
      <c r="A117" s="53" t="s">
        <v>65</v>
      </c>
      <c r="B117" s="34" t="s">
        <v>131</v>
      </c>
      <c r="C117" s="160">
        <v>200</v>
      </c>
      <c r="D117" s="137">
        <v>200</v>
      </c>
      <c r="E117" s="137">
        <v>0</v>
      </c>
      <c r="F117" s="273">
        <f t="shared" si="3"/>
        <v>6.0252</v>
      </c>
    </row>
    <row r="118" spans="1:6" ht="12.75">
      <c r="A118" s="95" t="s">
        <v>66</v>
      </c>
      <c r="B118" s="9" t="s">
        <v>67</v>
      </c>
      <c r="C118" s="163">
        <v>3000</v>
      </c>
      <c r="D118" s="311">
        <v>3700</v>
      </c>
      <c r="E118" s="138">
        <v>482</v>
      </c>
      <c r="F118" s="270">
        <f t="shared" si="3"/>
        <v>111.46620000000001</v>
      </c>
    </row>
    <row r="119" spans="1:6" ht="12.75">
      <c r="A119" s="95" t="s">
        <v>68</v>
      </c>
      <c r="B119" s="9" t="s">
        <v>132</v>
      </c>
      <c r="C119" s="163">
        <v>1300</v>
      </c>
      <c r="D119" s="138">
        <v>1300</v>
      </c>
      <c r="E119" s="138">
        <v>217</v>
      </c>
      <c r="F119" s="270">
        <f t="shared" si="3"/>
        <v>39.1638</v>
      </c>
    </row>
    <row r="120" spans="1:6" ht="12.75">
      <c r="A120" s="95" t="s">
        <v>68</v>
      </c>
      <c r="B120" s="9" t="s">
        <v>133</v>
      </c>
      <c r="C120" s="163">
        <v>4900</v>
      </c>
      <c r="D120" s="138">
        <v>4900</v>
      </c>
      <c r="E120" s="138">
        <v>1453</v>
      </c>
      <c r="F120" s="270">
        <f t="shared" si="3"/>
        <v>147.6174</v>
      </c>
    </row>
    <row r="121" spans="1:6" ht="12.75">
      <c r="A121" s="95" t="s">
        <v>69</v>
      </c>
      <c r="B121" s="9" t="s">
        <v>70</v>
      </c>
      <c r="C121" s="163">
        <v>300</v>
      </c>
      <c r="D121" s="138">
        <v>300</v>
      </c>
      <c r="E121" s="138">
        <v>0</v>
      </c>
      <c r="F121" s="270">
        <f t="shared" si="3"/>
        <v>9.0378</v>
      </c>
    </row>
    <row r="122" spans="1:6" ht="12.75">
      <c r="A122" s="95" t="s">
        <v>71</v>
      </c>
      <c r="B122" s="9" t="s">
        <v>72</v>
      </c>
      <c r="C122" s="163">
        <v>300</v>
      </c>
      <c r="D122" s="138">
        <v>300</v>
      </c>
      <c r="E122" s="138">
        <v>0</v>
      </c>
      <c r="F122" s="270">
        <f t="shared" si="3"/>
        <v>9.0378</v>
      </c>
    </row>
    <row r="123" spans="1:6" ht="16.5" thickBot="1">
      <c r="A123" s="225" t="s">
        <v>134</v>
      </c>
      <c r="B123" s="63"/>
      <c r="C123" s="167">
        <f>SUM(C74+C79+C81+C83+C88+C91+C93+C107+C113)</f>
        <v>742638</v>
      </c>
      <c r="D123" s="293">
        <f>SUM(D74+D79+D81+D83+D88+D91+D93+D107+D113)</f>
        <v>747888</v>
      </c>
      <c r="E123" s="293">
        <f>SUM(E74+E79+E81+E83+E88+E91+E93+E107+E113)</f>
        <v>169791</v>
      </c>
      <c r="F123" s="286">
        <f>SUM(F74+F79+F81+F83+F88+F91+F93+F107+F113)</f>
        <v>22530.873887999995</v>
      </c>
    </row>
    <row r="124" spans="1:6" ht="12.75">
      <c r="A124" s="93" t="s">
        <v>58</v>
      </c>
      <c r="B124" s="92" t="s">
        <v>73</v>
      </c>
      <c r="C124" s="168">
        <f>C56+C68-78</f>
        <v>290396</v>
      </c>
      <c r="D124" s="308">
        <f>D56+D68-78</f>
        <v>303564</v>
      </c>
      <c r="E124" s="308">
        <f>E56+E68</f>
        <v>75806</v>
      </c>
      <c r="F124" s="270">
        <f t="shared" si="3"/>
        <v>9145.169064000002</v>
      </c>
    </row>
    <row r="125" spans="1:6" ht="12.75">
      <c r="A125" s="94" t="s">
        <v>74</v>
      </c>
      <c r="B125" s="8" t="s">
        <v>75</v>
      </c>
      <c r="C125" s="169">
        <v>17000</v>
      </c>
      <c r="D125" s="294">
        <v>17000</v>
      </c>
      <c r="E125" s="294">
        <v>4250</v>
      </c>
      <c r="F125" s="270">
        <f t="shared" si="3"/>
        <v>512.142</v>
      </c>
    </row>
    <row r="126" spans="1:6" ht="13.5" thickBot="1">
      <c r="A126" s="416" t="s">
        <v>156</v>
      </c>
      <c r="B126" s="417"/>
      <c r="C126" s="170">
        <f>SUM(C124:C125)</f>
        <v>307396</v>
      </c>
      <c r="D126" s="170">
        <f>SUM(D124:D125)</f>
        <v>320564</v>
      </c>
      <c r="E126" s="170">
        <f>SUM(E124:E125)</f>
        <v>80056</v>
      </c>
      <c r="F126" s="287">
        <f>SUM(F124:F125)</f>
        <v>9657.311064000001</v>
      </c>
    </row>
    <row r="127" spans="1:6" ht="16.5" thickBot="1">
      <c r="A127" s="61" t="s">
        <v>77</v>
      </c>
      <c r="B127" s="39"/>
      <c r="C127" s="171">
        <f>C123+C126</f>
        <v>1050034</v>
      </c>
      <c r="D127" s="171">
        <f>D123+D126</f>
        <v>1068452</v>
      </c>
      <c r="E127" s="171">
        <f>E123+E126</f>
        <v>249847</v>
      </c>
      <c r="F127" s="288">
        <f>F123+F126</f>
        <v>32188.184951999996</v>
      </c>
    </row>
    <row r="128" ht="12.75">
      <c r="E128" s="80"/>
    </row>
    <row r="129" spans="1:5" ht="12.75">
      <c r="A129" s="11"/>
      <c r="B129" s="17"/>
      <c r="C129" s="17"/>
      <c r="D129" s="17"/>
      <c r="E129" s="18"/>
    </row>
    <row r="130" spans="1:5" ht="18.75" thickBot="1">
      <c r="A130" s="410" t="s">
        <v>78</v>
      </c>
      <c r="B130" s="411"/>
      <c r="C130" s="411"/>
      <c r="D130" s="411"/>
      <c r="E130" s="411"/>
    </row>
    <row r="131" spans="1:6" ht="12.75">
      <c r="A131" s="397" t="s">
        <v>1</v>
      </c>
      <c r="B131" s="398"/>
      <c r="C131" s="389" t="s">
        <v>190</v>
      </c>
      <c r="D131" s="429" t="s">
        <v>212</v>
      </c>
      <c r="E131" s="429" t="s">
        <v>224</v>
      </c>
      <c r="F131" s="389" t="s">
        <v>195</v>
      </c>
    </row>
    <row r="132" spans="1:7" ht="12.75" customHeight="1" thickBot="1">
      <c r="A132" s="412"/>
      <c r="B132" s="413"/>
      <c r="C132" s="390"/>
      <c r="D132" s="430"/>
      <c r="E132" s="430"/>
      <c r="F132" s="390"/>
      <c r="G132" s="80"/>
    </row>
    <row r="133" spans="1:7" ht="15.75" thickBot="1">
      <c r="A133" s="402" t="s">
        <v>139</v>
      </c>
      <c r="B133" s="403"/>
      <c r="C133" s="146">
        <f>SUM(C134:C136)</f>
        <v>0</v>
      </c>
      <c r="D133" s="146">
        <f>SUM(D134:D136)</f>
        <v>1194</v>
      </c>
      <c r="E133" s="146">
        <f>SUM(E134:E136)</f>
        <v>502</v>
      </c>
      <c r="F133" s="146">
        <f>SUM(F134:F136)</f>
        <v>35.970444</v>
      </c>
      <c r="G133" s="18"/>
    </row>
    <row r="134" spans="1:6" ht="12.75">
      <c r="A134" s="69">
        <v>230</v>
      </c>
      <c r="B134" s="44" t="s">
        <v>97</v>
      </c>
      <c r="C134" s="147">
        <v>0</v>
      </c>
      <c r="D134" s="295">
        <f>478+692+24</f>
        <v>1194</v>
      </c>
      <c r="E134" s="290">
        <v>502</v>
      </c>
      <c r="F134" s="270">
        <f>D134*$E$6/1000</f>
        <v>35.970444</v>
      </c>
    </row>
    <row r="135" spans="1:6" ht="12.75">
      <c r="A135" s="127">
        <v>322</v>
      </c>
      <c r="B135" s="227" t="s">
        <v>201</v>
      </c>
      <c r="C135" s="228">
        <v>0</v>
      </c>
      <c r="D135" s="296">
        <v>0</v>
      </c>
      <c r="E135" s="296">
        <v>0</v>
      </c>
      <c r="F135" s="270">
        <f>D135*$E$6/1000</f>
        <v>0</v>
      </c>
    </row>
    <row r="136" spans="1:6" ht="13.5" thickBot="1">
      <c r="A136" s="68">
        <v>321</v>
      </c>
      <c r="B136" s="42" t="s">
        <v>167</v>
      </c>
      <c r="C136" s="145">
        <v>0</v>
      </c>
      <c r="D136" s="291">
        <v>0</v>
      </c>
      <c r="E136" s="291">
        <v>0</v>
      </c>
      <c r="F136" s="271">
        <f>D136*$E$6/1000</f>
        <v>0</v>
      </c>
    </row>
    <row r="137" spans="1:6" ht="18.75" thickBot="1">
      <c r="A137" s="52"/>
      <c r="B137" s="3"/>
      <c r="C137" s="148"/>
      <c r="D137" s="297"/>
      <c r="E137" s="297"/>
      <c r="F137" s="149"/>
    </row>
    <row r="138" spans="1:6" ht="16.5" thickBot="1">
      <c r="A138" s="402" t="s">
        <v>140</v>
      </c>
      <c r="B138" s="403"/>
      <c r="C138" s="150">
        <f>SUM(C139:C153)</f>
        <v>200666</v>
      </c>
      <c r="D138" s="150">
        <f>SUM(D139:D153)</f>
        <v>321548</v>
      </c>
      <c r="E138" s="150">
        <f>SUM(E139:E153)</f>
        <v>97246</v>
      </c>
      <c r="F138" s="150">
        <f>SUM(F139:F153)</f>
        <v>9686.955048000002</v>
      </c>
    </row>
    <row r="139" spans="1:6" ht="12.75">
      <c r="A139" s="95" t="s">
        <v>36</v>
      </c>
      <c r="B139" s="6" t="s">
        <v>171</v>
      </c>
      <c r="C139" s="151">
        <v>0</v>
      </c>
      <c r="D139" s="298">
        <f>3870+553</f>
        <v>4423</v>
      </c>
      <c r="E139" s="322">
        <v>3869</v>
      </c>
      <c r="F139" s="270">
        <f aca="true" t="shared" si="4" ref="F139:F153">D139*$E$6/1000</f>
        <v>133.247298</v>
      </c>
    </row>
    <row r="140" spans="1:6" ht="12.75">
      <c r="A140" s="266" t="s">
        <v>36</v>
      </c>
      <c r="B140" s="6" t="s">
        <v>215</v>
      </c>
      <c r="C140" s="267">
        <v>0</v>
      </c>
      <c r="D140" s="298">
        <v>35000</v>
      </c>
      <c r="E140" s="322">
        <v>35000</v>
      </c>
      <c r="F140" s="270">
        <f t="shared" si="4"/>
        <v>1054.41</v>
      </c>
    </row>
    <row r="141" spans="1:6" ht="13.5" thickBot="1">
      <c r="A141" s="64" t="s">
        <v>36</v>
      </c>
      <c r="B141" s="83" t="s">
        <v>199</v>
      </c>
      <c r="C141" s="152">
        <v>0</v>
      </c>
      <c r="D141" s="299">
        <f>36974+426+4201+2500+9664</f>
        <v>53765</v>
      </c>
      <c r="E141" s="336">
        <v>45854</v>
      </c>
      <c r="F141" s="268">
        <f t="shared" si="4"/>
        <v>1619.72439</v>
      </c>
    </row>
    <row r="142" spans="1:6" ht="12.75">
      <c r="A142" s="135" t="s">
        <v>38</v>
      </c>
      <c r="B142" s="136" t="s">
        <v>222</v>
      </c>
      <c r="C142" s="155">
        <v>0</v>
      </c>
      <c r="D142" s="315">
        <v>800</v>
      </c>
      <c r="E142" s="337">
        <v>772</v>
      </c>
      <c r="F142" s="273">
        <f t="shared" si="4"/>
        <v>24.1008</v>
      </c>
    </row>
    <row r="143" spans="1:6" ht="12.75">
      <c r="A143" s="70" t="s">
        <v>38</v>
      </c>
      <c r="B143" s="28" t="s">
        <v>217</v>
      </c>
      <c r="C143" s="156">
        <v>0</v>
      </c>
      <c r="D143" s="300">
        <v>19520</v>
      </c>
      <c r="E143" s="321">
        <v>4377</v>
      </c>
      <c r="F143" s="270">
        <f>D143*$E$6/1000</f>
        <v>588.05952</v>
      </c>
    </row>
    <row r="144" spans="1:6" ht="12.75">
      <c r="A144" s="49" t="s">
        <v>40</v>
      </c>
      <c r="B144" s="28" t="s">
        <v>182</v>
      </c>
      <c r="C144" s="156">
        <v>38706</v>
      </c>
      <c r="D144" s="276">
        <v>38706</v>
      </c>
      <c r="E144" s="321">
        <v>0</v>
      </c>
      <c r="F144" s="270">
        <f t="shared" si="4"/>
        <v>1166.056956</v>
      </c>
    </row>
    <row r="145" spans="1:6" ht="12.75">
      <c r="A145" s="84" t="s">
        <v>184</v>
      </c>
      <c r="B145" s="85" t="s">
        <v>79</v>
      </c>
      <c r="C145" s="151">
        <v>0</v>
      </c>
      <c r="D145" s="140">
        <v>0</v>
      </c>
      <c r="E145" s="322">
        <v>0</v>
      </c>
      <c r="F145" s="270">
        <f t="shared" si="4"/>
        <v>0</v>
      </c>
    </row>
    <row r="146" spans="1:6" ht="12.75">
      <c r="A146" s="95" t="s">
        <v>184</v>
      </c>
      <c r="B146" s="6" t="s">
        <v>185</v>
      </c>
      <c r="C146" s="157">
        <v>73550</v>
      </c>
      <c r="D146" s="140">
        <v>73550</v>
      </c>
      <c r="E146" s="322">
        <v>0</v>
      </c>
      <c r="F146" s="270">
        <f t="shared" si="4"/>
        <v>2215.7673000000004</v>
      </c>
    </row>
    <row r="147" spans="1:6" ht="12.75">
      <c r="A147" s="84" t="s">
        <v>186</v>
      </c>
      <c r="B147" s="6" t="s">
        <v>168</v>
      </c>
      <c r="C147" s="151">
        <v>0</v>
      </c>
      <c r="D147" s="140">
        <v>0</v>
      </c>
      <c r="E147" s="322">
        <v>0</v>
      </c>
      <c r="F147" s="270">
        <f t="shared" si="4"/>
        <v>0</v>
      </c>
    </row>
    <row r="148" spans="1:6" ht="12.75">
      <c r="A148" s="70" t="s">
        <v>186</v>
      </c>
      <c r="B148" s="28" t="s">
        <v>200</v>
      </c>
      <c r="C148" s="156">
        <v>49247</v>
      </c>
      <c r="D148" s="276">
        <v>49247</v>
      </c>
      <c r="E148" s="321">
        <v>0</v>
      </c>
      <c r="F148" s="270">
        <f t="shared" si="4"/>
        <v>1483.615122</v>
      </c>
    </row>
    <row r="149" spans="1:6" ht="12.75">
      <c r="A149" s="49" t="s">
        <v>50</v>
      </c>
      <c r="B149" s="28" t="s">
        <v>151</v>
      </c>
      <c r="C149" s="156">
        <v>0</v>
      </c>
      <c r="D149" s="276">
        <v>0</v>
      </c>
      <c r="E149" s="321">
        <v>0</v>
      </c>
      <c r="F149" s="270">
        <f t="shared" si="4"/>
        <v>0</v>
      </c>
    </row>
    <row r="150" spans="1:6" ht="12.75">
      <c r="A150" s="50" t="s">
        <v>58</v>
      </c>
      <c r="B150" s="6" t="s">
        <v>170</v>
      </c>
      <c r="C150" s="151">
        <v>8984</v>
      </c>
      <c r="D150" s="140">
        <v>8984</v>
      </c>
      <c r="E150" s="322">
        <v>0</v>
      </c>
      <c r="F150" s="270">
        <f t="shared" si="4"/>
        <v>270.65198399999997</v>
      </c>
    </row>
    <row r="151" spans="1:6" ht="12.75">
      <c r="A151" s="50" t="s">
        <v>58</v>
      </c>
      <c r="B151" s="6" t="s">
        <v>198</v>
      </c>
      <c r="C151" s="151">
        <v>30179</v>
      </c>
      <c r="D151" s="140">
        <v>30179</v>
      </c>
      <c r="E151" s="322">
        <v>0</v>
      </c>
      <c r="F151" s="270">
        <f t="shared" si="4"/>
        <v>909.172554</v>
      </c>
    </row>
    <row r="152" spans="1:6" ht="12.75">
      <c r="A152" s="50" t="s">
        <v>58</v>
      </c>
      <c r="B152" s="6" t="s">
        <v>216</v>
      </c>
      <c r="C152" s="151">
        <v>0</v>
      </c>
      <c r="D152" s="298">
        <v>7374</v>
      </c>
      <c r="E152" s="322">
        <v>7374</v>
      </c>
      <c r="F152" s="270">
        <f t="shared" si="4"/>
        <v>222.149124</v>
      </c>
    </row>
    <row r="153" spans="1:6" ht="13.5" thickBot="1">
      <c r="A153" s="51" t="s">
        <v>76</v>
      </c>
      <c r="B153" s="32" t="s">
        <v>174</v>
      </c>
      <c r="C153" s="154">
        <v>0</v>
      </c>
      <c r="D153" s="279">
        <v>0</v>
      </c>
      <c r="E153" s="279">
        <v>0</v>
      </c>
      <c r="F153" s="271">
        <f t="shared" si="4"/>
        <v>0</v>
      </c>
    </row>
    <row r="155" spans="1:6" ht="12.75">
      <c r="A155" s="20"/>
      <c r="B155" s="21"/>
      <c r="C155" s="21"/>
      <c r="D155" s="21"/>
      <c r="E155" s="86"/>
      <c r="F155" s="87"/>
    </row>
    <row r="156" spans="1:6" ht="12.75" customHeight="1">
      <c r="A156" s="21"/>
      <c r="B156" s="17"/>
      <c r="C156" s="17"/>
      <c r="D156" s="17"/>
      <c r="E156" s="22"/>
      <c r="F156" s="22"/>
    </row>
    <row r="157" spans="1:5" ht="18.75" thickBot="1">
      <c r="A157" s="404" t="s">
        <v>80</v>
      </c>
      <c r="B157" s="405"/>
      <c r="C157" s="405"/>
      <c r="D157" s="405"/>
      <c r="E157" s="405"/>
    </row>
    <row r="158" spans="1:6" ht="12.75">
      <c r="A158" s="397" t="s">
        <v>1</v>
      </c>
      <c r="B158" s="398"/>
      <c r="C158" s="389" t="s">
        <v>190</v>
      </c>
      <c r="D158" s="429" t="s">
        <v>212</v>
      </c>
      <c r="E158" s="429" t="s">
        <v>224</v>
      </c>
      <c r="F158" s="433" t="s">
        <v>194</v>
      </c>
    </row>
    <row r="159" spans="1:6" ht="13.5" thickBot="1">
      <c r="A159" s="412"/>
      <c r="B159" s="413"/>
      <c r="C159" s="390"/>
      <c r="D159" s="430"/>
      <c r="E159" s="430"/>
      <c r="F159" s="434"/>
    </row>
    <row r="160" spans="1:6" ht="16.5" thickBot="1">
      <c r="A160" s="435" t="s">
        <v>141</v>
      </c>
      <c r="B160" s="436"/>
      <c r="C160" s="208">
        <f>SUM(C161:C163)</f>
        <v>202266</v>
      </c>
      <c r="D160" s="208">
        <f>SUM(D161:D163)</f>
        <v>319081</v>
      </c>
      <c r="E160" s="208">
        <f>SUM(E161:E163)</f>
        <v>63837</v>
      </c>
      <c r="F160" s="208">
        <f>SUM(F161:F163)</f>
        <v>9612.634206</v>
      </c>
    </row>
    <row r="161" spans="1:6" ht="12.75">
      <c r="A161" s="209">
        <v>411</v>
      </c>
      <c r="B161" s="212" t="s">
        <v>193</v>
      </c>
      <c r="C161" s="210">
        <v>1600</v>
      </c>
      <c r="D161" s="303">
        <v>1600</v>
      </c>
      <c r="E161" s="303">
        <v>322</v>
      </c>
      <c r="F161" s="273">
        <f>D161*$E$6/1000</f>
        <v>48.2016</v>
      </c>
    </row>
    <row r="162" spans="1:6" ht="12.75">
      <c r="A162" s="47">
        <v>454</v>
      </c>
      <c r="B162" s="5" t="s">
        <v>173</v>
      </c>
      <c r="C162" s="144">
        <v>0</v>
      </c>
      <c r="D162" s="304">
        <v>63515</v>
      </c>
      <c r="E162" s="324">
        <v>63515</v>
      </c>
      <c r="F162" s="270">
        <f>D162*$E$6/1000</f>
        <v>1913.45289</v>
      </c>
    </row>
    <row r="163" spans="1:7" ht="14.25" customHeight="1" thickBot="1">
      <c r="A163" s="201">
        <v>513</v>
      </c>
      <c r="B163" s="202" t="s">
        <v>183</v>
      </c>
      <c r="C163" s="203">
        <v>200666</v>
      </c>
      <c r="D163" s="309">
        <f>200666+53300</f>
        <v>253966</v>
      </c>
      <c r="E163" s="329">
        <v>0</v>
      </c>
      <c r="F163" s="274">
        <f>D163*$E$6/1000</f>
        <v>7650.979716</v>
      </c>
      <c r="G163" s="25"/>
    </row>
    <row r="164" spans="1:6" ht="16.5" thickBot="1">
      <c r="A164" s="435" t="s">
        <v>142</v>
      </c>
      <c r="B164" s="436"/>
      <c r="C164" s="208">
        <f>SUM(C165:C166)</f>
        <v>2965</v>
      </c>
      <c r="D164" s="302">
        <f>SUM(D165:D166)</f>
        <v>3014</v>
      </c>
      <c r="E164" s="330">
        <f>SUM(E165:E166)</f>
        <v>243</v>
      </c>
      <c r="F164" s="301">
        <f>SUM(F165:F166)</f>
        <v>90.79976400000001</v>
      </c>
    </row>
    <row r="165" spans="1:6" ht="12.75">
      <c r="A165" s="231">
        <v>821</v>
      </c>
      <c r="B165" s="212" t="s">
        <v>202</v>
      </c>
      <c r="C165" s="232">
        <v>2434</v>
      </c>
      <c r="D165" s="305">
        <v>2434</v>
      </c>
      <c r="E165" s="331">
        <v>0</v>
      </c>
      <c r="F165" s="269">
        <f>D165*$E$6/1000</f>
        <v>73.32668400000001</v>
      </c>
    </row>
    <row r="166" spans="1:6" ht="13.5" thickBot="1">
      <c r="A166" s="205">
        <v>821</v>
      </c>
      <c r="B166" s="206" t="s">
        <v>135</v>
      </c>
      <c r="C166" s="196">
        <v>531</v>
      </c>
      <c r="D166" s="306">
        <v>580</v>
      </c>
      <c r="E166" s="332">
        <v>243</v>
      </c>
      <c r="F166" s="268">
        <f>D166*$E$6/1000</f>
        <v>17.473080000000003</v>
      </c>
    </row>
    <row r="167" spans="1:6" ht="15.75">
      <c r="A167" s="10"/>
      <c r="B167" s="11"/>
      <c r="C167" s="11"/>
      <c r="D167" s="11"/>
      <c r="E167" s="12"/>
      <c r="F167" s="12"/>
    </row>
    <row r="168" spans="1:6" ht="15.75">
      <c r="A168" s="10"/>
      <c r="B168" s="11"/>
      <c r="C168" s="11"/>
      <c r="D168" s="11"/>
      <c r="E168" s="12"/>
      <c r="F168" s="23"/>
    </row>
    <row r="169" spans="1:5" ht="15.75">
      <c r="A169" s="10"/>
      <c r="B169" s="11"/>
      <c r="C169" s="11"/>
      <c r="D169" s="11"/>
      <c r="E169" s="12"/>
    </row>
    <row r="170" spans="2:5" ht="12.75" customHeight="1">
      <c r="B170" s="17"/>
      <c r="C170" s="17"/>
      <c r="D170" s="17"/>
      <c r="E170" s="23"/>
    </row>
    <row r="171" spans="1:5" ht="18.75" thickBot="1">
      <c r="A171" s="395" t="s">
        <v>143</v>
      </c>
      <c r="B171" s="396"/>
      <c r="C171" s="396"/>
      <c r="D171" s="396"/>
      <c r="E171" s="396"/>
    </row>
    <row r="172" spans="1:6" ht="12.75">
      <c r="A172" s="397" t="s">
        <v>1</v>
      </c>
      <c r="B172" s="398"/>
      <c r="C172" s="431" t="s">
        <v>190</v>
      </c>
      <c r="D172" s="429" t="s">
        <v>212</v>
      </c>
      <c r="E172" s="429" t="s">
        <v>224</v>
      </c>
      <c r="F172" s="431" t="s">
        <v>195</v>
      </c>
    </row>
    <row r="173" spans="1:6" ht="13.5" thickBot="1">
      <c r="A173" s="399"/>
      <c r="B173" s="400"/>
      <c r="C173" s="432"/>
      <c r="D173" s="430"/>
      <c r="E173" s="430"/>
      <c r="F173" s="432"/>
    </row>
    <row r="174" spans="1:6" ht="15">
      <c r="A174" s="307" t="s">
        <v>81</v>
      </c>
      <c r="B174" s="45"/>
      <c r="C174" s="290">
        <f>C69</f>
        <v>1051399</v>
      </c>
      <c r="D174" s="290">
        <f>D69</f>
        <v>1072739</v>
      </c>
      <c r="E174" s="290">
        <f>E69</f>
        <v>280489</v>
      </c>
      <c r="F174" s="137">
        <f>F69</f>
        <v>32317.335114</v>
      </c>
    </row>
    <row r="175" spans="1:6" ht="15">
      <c r="A175" s="54" t="s">
        <v>82</v>
      </c>
      <c r="B175" s="6"/>
      <c r="C175" s="138">
        <f>C127</f>
        <v>1050034</v>
      </c>
      <c r="D175" s="138">
        <f>D127</f>
        <v>1068452</v>
      </c>
      <c r="E175" s="138">
        <f>E127</f>
        <v>249847</v>
      </c>
      <c r="F175" s="138">
        <f>F127</f>
        <v>32188.184951999996</v>
      </c>
    </row>
    <row r="176" spans="1:6" ht="15.75">
      <c r="A176" s="46"/>
      <c r="B176" s="24" t="s">
        <v>83</v>
      </c>
      <c r="C176" s="139">
        <f>C174-C175</f>
        <v>1365</v>
      </c>
      <c r="D176" s="139">
        <f>D174-D175</f>
        <v>4287</v>
      </c>
      <c r="E176" s="139">
        <f>E174-E175</f>
        <v>30642</v>
      </c>
      <c r="F176" s="139">
        <f>F174-F175</f>
        <v>129.15016200000537</v>
      </c>
    </row>
    <row r="177" spans="1:6" ht="15">
      <c r="A177" s="54" t="s">
        <v>84</v>
      </c>
      <c r="B177" s="6"/>
      <c r="C177" s="138">
        <f>C133</f>
        <v>0</v>
      </c>
      <c r="D177" s="138">
        <f>D133</f>
        <v>1194</v>
      </c>
      <c r="E177" s="138">
        <f>E133</f>
        <v>502</v>
      </c>
      <c r="F177" s="138">
        <f>F133</f>
        <v>35.970444</v>
      </c>
    </row>
    <row r="178" spans="1:6" ht="15">
      <c r="A178" s="54" t="s">
        <v>85</v>
      </c>
      <c r="B178" s="6"/>
      <c r="C178" s="140">
        <f>C138</f>
        <v>200666</v>
      </c>
      <c r="D178" s="140">
        <f>D138</f>
        <v>321548</v>
      </c>
      <c r="E178" s="140">
        <f>E138</f>
        <v>97246</v>
      </c>
      <c r="F178" s="140">
        <f>F138</f>
        <v>9686.955048000002</v>
      </c>
    </row>
    <row r="179" spans="1:6" ht="15.75">
      <c r="A179" s="46"/>
      <c r="B179" s="26" t="s">
        <v>86</v>
      </c>
      <c r="C179" s="139">
        <f>C177-C178</f>
        <v>-200666</v>
      </c>
      <c r="D179" s="139">
        <f>D177-D178</f>
        <v>-320354</v>
      </c>
      <c r="E179" s="139">
        <f>E177-E178</f>
        <v>-96744</v>
      </c>
      <c r="F179" s="139">
        <f>F177-F178</f>
        <v>-9650.984604000001</v>
      </c>
    </row>
    <row r="180" spans="1:6" ht="15">
      <c r="A180" s="383" t="s">
        <v>137</v>
      </c>
      <c r="B180" s="384"/>
      <c r="C180" s="141">
        <f>C160</f>
        <v>202266</v>
      </c>
      <c r="D180" s="141">
        <f>D160</f>
        <v>319081</v>
      </c>
      <c r="E180" s="141">
        <f>E160</f>
        <v>63837</v>
      </c>
      <c r="F180" s="141">
        <f>F160</f>
        <v>9612.634206</v>
      </c>
    </row>
    <row r="181" spans="1:6" ht="15">
      <c r="A181" s="383" t="s">
        <v>136</v>
      </c>
      <c r="B181" s="384"/>
      <c r="C181" s="141">
        <f>C164</f>
        <v>2965</v>
      </c>
      <c r="D181" s="141">
        <f>D164</f>
        <v>3014</v>
      </c>
      <c r="E181" s="141">
        <f>E164</f>
        <v>243</v>
      </c>
      <c r="F181" s="141">
        <f>F164</f>
        <v>90.79976400000001</v>
      </c>
    </row>
    <row r="182" spans="1:6" ht="16.5" thickBot="1">
      <c r="A182" s="55"/>
      <c r="B182" s="56" t="s">
        <v>138</v>
      </c>
      <c r="C182" s="142">
        <f>C180-C181</f>
        <v>199301</v>
      </c>
      <c r="D182" s="142">
        <f>D180-D181</f>
        <v>316067</v>
      </c>
      <c r="E182" s="142">
        <f>E180-E181</f>
        <v>63594</v>
      </c>
      <c r="F182" s="142">
        <f>F180-F181</f>
        <v>9521.834442000001</v>
      </c>
    </row>
    <row r="183" spans="1:6" ht="16.5" thickBot="1">
      <c r="A183" s="385" t="s">
        <v>87</v>
      </c>
      <c r="B183" s="386"/>
      <c r="C183" s="143">
        <f>C176+C179+C182</f>
        <v>0</v>
      </c>
      <c r="D183" s="143">
        <f>D176+D179+D182</f>
        <v>0</v>
      </c>
      <c r="E183" s="143">
        <f>E176+E179+E182</f>
        <v>-2508</v>
      </c>
      <c r="F183" s="143">
        <f>F176+F179+F182</f>
        <v>0</v>
      </c>
    </row>
    <row r="184" ht="12.75">
      <c r="F184" s="71"/>
    </row>
    <row r="185" spans="2:6" ht="12.75">
      <c r="B185" s="27" t="s">
        <v>88</v>
      </c>
      <c r="C185" s="71">
        <f aca="true" t="shared" si="5" ref="C185:F186">C174+C177+C180</f>
        <v>1253665</v>
      </c>
      <c r="D185" s="71">
        <f t="shared" si="5"/>
        <v>1393014</v>
      </c>
      <c r="E185" s="71">
        <f t="shared" si="5"/>
        <v>344828</v>
      </c>
      <c r="F185" s="71">
        <f t="shared" si="5"/>
        <v>41965.939764</v>
      </c>
    </row>
    <row r="186" spans="2:6" ht="12.75">
      <c r="B186" s="27" t="s">
        <v>89</v>
      </c>
      <c r="C186" s="71">
        <f t="shared" si="5"/>
        <v>1253665</v>
      </c>
      <c r="D186" s="71">
        <f t="shared" si="5"/>
        <v>1393014</v>
      </c>
      <c r="E186" s="71">
        <f t="shared" si="5"/>
        <v>347336</v>
      </c>
      <c r="F186" s="71">
        <f t="shared" si="5"/>
        <v>41965.939764</v>
      </c>
    </row>
    <row r="187" spans="2:6" ht="12.75">
      <c r="B187" s="27"/>
      <c r="C187" s="71"/>
      <c r="D187" s="71"/>
      <c r="E187" s="71"/>
      <c r="F187" s="71"/>
    </row>
    <row r="188" spans="2:6" ht="12.75">
      <c r="B188" s="27" t="s">
        <v>150</v>
      </c>
      <c r="C188" s="71">
        <f>C185-C68</f>
        <v>1251991</v>
      </c>
      <c r="D188" s="71">
        <f>D185-D68</f>
        <v>1391340</v>
      </c>
      <c r="E188" s="71">
        <f>E185-E68</f>
        <v>344828</v>
      </c>
      <c r="F188" s="71">
        <f>F185-F68</f>
        <v>41915.50884</v>
      </c>
    </row>
    <row r="189" spans="2:6" ht="12.75">
      <c r="B189" s="27" t="s">
        <v>154</v>
      </c>
      <c r="C189" s="71">
        <f>C186-C126</f>
        <v>946269</v>
      </c>
      <c r="D189" s="71">
        <f>D186-D126</f>
        <v>1072450</v>
      </c>
      <c r="E189" s="71">
        <f>E186-E126</f>
        <v>267280</v>
      </c>
      <c r="F189" s="71">
        <f>F186-F126</f>
        <v>32308.6287</v>
      </c>
    </row>
  </sheetData>
  <sheetProtection/>
  <mergeCells count="47">
    <mergeCell ref="D72:D73"/>
    <mergeCell ref="E8:E9"/>
    <mergeCell ref="F8:F9"/>
    <mergeCell ref="A10:B10"/>
    <mergeCell ref="A19:B19"/>
    <mergeCell ref="F72:F73"/>
    <mergeCell ref="E72:E73"/>
    <mergeCell ref="A38:B38"/>
    <mergeCell ref="A40:B40"/>
    <mergeCell ref="A71:E71"/>
    <mergeCell ref="A72:B73"/>
    <mergeCell ref="A107:B107"/>
    <mergeCell ref="A126:B126"/>
    <mergeCell ref="A79:B79"/>
    <mergeCell ref="A81:B81"/>
    <mergeCell ref="A1:E1"/>
    <mergeCell ref="A2:E2"/>
    <mergeCell ref="A7:E7"/>
    <mergeCell ref="A8:B9"/>
    <mergeCell ref="D8:D9"/>
    <mergeCell ref="C8:C9"/>
    <mergeCell ref="C72:C73"/>
    <mergeCell ref="F172:F173"/>
    <mergeCell ref="E172:E173"/>
    <mergeCell ref="E131:E132"/>
    <mergeCell ref="A130:E130"/>
    <mergeCell ref="A131:B132"/>
    <mergeCell ref="D131:D132"/>
    <mergeCell ref="F131:F132"/>
    <mergeCell ref="C131:C132"/>
    <mergeCell ref="A171:E171"/>
    <mergeCell ref="A160:B160"/>
    <mergeCell ref="A164:B164"/>
    <mergeCell ref="A133:B133"/>
    <mergeCell ref="A138:B138"/>
    <mergeCell ref="F158:F159"/>
    <mergeCell ref="E158:E159"/>
    <mergeCell ref="C158:C159"/>
    <mergeCell ref="A157:E157"/>
    <mergeCell ref="A158:B159"/>
    <mergeCell ref="D158:D159"/>
    <mergeCell ref="D172:D173"/>
    <mergeCell ref="A180:B180"/>
    <mergeCell ref="A181:B181"/>
    <mergeCell ref="A183:B183"/>
    <mergeCell ref="C172:C173"/>
    <mergeCell ref="A172:B173"/>
  </mergeCells>
  <printOptions/>
  <pageMargins left="0.55" right="0.56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6.00390625" style="0" customWidth="1"/>
    <col min="2" max="2" width="46.75390625" style="0" customWidth="1"/>
    <col min="3" max="3" width="11.75390625" style="0" customWidth="1"/>
    <col min="4" max="4" width="12.875" style="0" customWidth="1"/>
    <col min="5" max="9" width="10.75390625" style="0" customWidth="1"/>
  </cols>
  <sheetData>
    <row r="1" spans="1:7" ht="20.25">
      <c r="A1" s="426" t="s">
        <v>189</v>
      </c>
      <c r="B1" s="426"/>
      <c r="C1" s="426"/>
      <c r="D1" s="426"/>
      <c r="E1" s="1"/>
      <c r="F1" s="1"/>
      <c r="G1" s="1"/>
    </row>
    <row r="2" spans="1:9" ht="15.75">
      <c r="A2" s="437"/>
      <c r="B2" s="437"/>
      <c r="C2" s="437"/>
      <c r="D2" s="437"/>
      <c r="E2" s="2"/>
      <c r="F2" s="2"/>
      <c r="G2" s="2"/>
      <c r="H2" s="2"/>
      <c r="I2" s="2"/>
    </row>
    <row r="3" spans="1:9" ht="15.75">
      <c r="A3" t="s">
        <v>211</v>
      </c>
      <c r="E3" s="81"/>
      <c r="F3" s="81"/>
      <c r="G3" s="2"/>
      <c r="H3" s="2"/>
      <c r="I3" s="2"/>
    </row>
    <row r="4" spans="1:9" ht="14.25" customHeight="1">
      <c r="A4" s="91"/>
      <c r="B4" s="91"/>
      <c r="C4" s="91"/>
      <c r="D4" s="91"/>
      <c r="E4" s="81"/>
      <c r="F4" s="81"/>
      <c r="G4" s="2"/>
      <c r="H4" s="2"/>
      <c r="I4" s="2"/>
    </row>
    <row r="5" spans="1:9" ht="15.75">
      <c r="A5" s="81" t="s">
        <v>164</v>
      </c>
      <c r="B5" s="81"/>
      <c r="C5" s="81"/>
      <c r="D5" s="81"/>
      <c r="E5" s="81"/>
      <c r="F5" s="81"/>
      <c r="G5" s="81"/>
      <c r="H5" s="2"/>
      <c r="I5" s="2"/>
    </row>
    <row r="6" spans="4:9" ht="15.75">
      <c r="D6" s="220">
        <v>30.126</v>
      </c>
      <c r="E6" s="15"/>
      <c r="F6" s="15"/>
      <c r="G6" s="15"/>
      <c r="H6" s="2"/>
      <c r="I6" s="2"/>
    </row>
    <row r="7" spans="1:7" ht="18.75" thickBot="1">
      <c r="A7" s="424" t="s">
        <v>0</v>
      </c>
      <c r="B7" s="425"/>
      <c r="C7" s="425"/>
      <c r="D7" s="425"/>
      <c r="E7" s="67"/>
      <c r="F7" s="67"/>
      <c r="G7" s="67"/>
    </row>
    <row r="8" spans="1:9" ht="23.25" customHeight="1">
      <c r="A8" s="397" t="s">
        <v>1</v>
      </c>
      <c r="B8" s="398"/>
      <c r="C8" s="389" t="s">
        <v>190</v>
      </c>
      <c r="D8" s="389" t="s">
        <v>194</v>
      </c>
      <c r="H8" s="3"/>
      <c r="I8" s="3"/>
    </row>
    <row r="9" spans="1:4" ht="12.75" customHeight="1" thickBot="1">
      <c r="A9" s="420"/>
      <c r="B9" s="421"/>
      <c r="C9" s="401"/>
      <c r="D9" s="401"/>
    </row>
    <row r="10" spans="1:4" ht="13.5" thickBot="1">
      <c r="A10" s="422" t="s">
        <v>2</v>
      </c>
      <c r="B10" s="423"/>
      <c r="C10" s="186">
        <f>SUM(C11:C18)</f>
        <v>620562</v>
      </c>
      <c r="D10" s="187">
        <f>SUM(D11:D18)</f>
        <v>18695.050812</v>
      </c>
    </row>
    <row r="11" spans="1:4" ht="13.5" thickBot="1">
      <c r="A11" s="65">
        <v>111</v>
      </c>
      <c r="B11" s="33" t="s">
        <v>3</v>
      </c>
      <c r="C11" s="192">
        <v>580000</v>
      </c>
      <c r="D11" s="207">
        <f>C11*$D$6/1000</f>
        <v>17473.08</v>
      </c>
    </row>
    <row r="12" spans="1:4" ht="12.75">
      <c r="A12" s="116">
        <v>121</v>
      </c>
      <c r="B12" s="28" t="s">
        <v>90</v>
      </c>
      <c r="C12" s="161">
        <v>13200</v>
      </c>
      <c r="D12" s="218">
        <f aca="true" t="shared" si="0" ref="D12:D67">C12*$D$6/1000</f>
        <v>397.6632</v>
      </c>
    </row>
    <row r="13" spans="1:4" ht="12.75">
      <c r="A13" s="117">
        <v>121</v>
      </c>
      <c r="B13" s="6" t="s">
        <v>91</v>
      </c>
      <c r="C13" s="157">
        <v>12900</v>
      </c>
      <c r="D13" s="153">
        <f t="shared" si="0"/>
        <v>388.6254</v>
      </c>
    </row>
    <row r="14" spans="1:5" ht="13.5" thickBot="1">
      <c r="A14" s="118">
        <v>121</v>
      </c>
      <c r="B14" s="29" t="s">
        <v>4</v>
      </c>
      <c r="C14" s="166">
        <v>72</v>
      </c>
      <c r="D14" s="207">
        <f t="shared" si="0"/>
        <v>2.1690720000000003</v>
      </c>
      <c r="E14" s="195">
        <f>SUM(C12:C14)</f>
        <v>26172</v>
      </c>
    </row>
    <row r="15" spans="1:4" ht="12.75">
      <c r="A15" s="116">
        <v>133</v>
      </c>
      <c r="B15" s="28" t="s">
        <v>5</v>
      </c>
      <c r="C15" s="161">
        <v>480</v>
      </c>
      <c r="D15" s="218">
        <f t="shared" si="0"/>
        <v>14.460480000000002</v>
      </c>
    </row>
    <row r="16" spans="1:4" ht="12.75">
      <c r="A16" s="117">
        <v>133</v>
      </c>
      <c r="B16" s="6" t="s">
        <v>6</v>
      </c>
      <c r="C16" s="157">
        <v>210</v>
      </c>
      <c r="D16" s="153">
        <f t="shared" si="0"/>
        <v>6.32646</v>
      </c>
    </row>
    <row r="17" spans="1:4" ht="12.75">
      <c r="A17" s="117">
        <v>133</v>
      </c>
      <c r="B17" s="6" t="s">
        <v>7</v>
      </c>
      <c r="C17" s="157">
        <v>1700</v>
      </c>
      <c r="D17" s="153">
        <f t="shared" si="0"/>
        <v>51.214200000000005</v>
      </c>
    </row>
    <row r="18" spans="1:5" ht="13.5" thickBot="1">
      <c r="A18" s="118">
        <v>133</v>
      </c>
      <c r="B18" s="29" t="s">
        <v>8</v>
      </c>
      <c r="C18" s="166">
        <v>12000</v>
      </c>
      <c r="D18" s="207">
        <f t="shared" si="0"/>
        <v>361.512</v>
      </c>
      <c r="E18" s="195">
        <f>SUM(C15:C18)</f>
        <v>14390</v>
      </c>
    </row>
    <row r="19" spans="1:4" ht="13.5" thickBot="1">
      <c r="A19" s="422" t="s">
        <v>9</v>
      </c>
      <c r="B19" s="423"/>
      <c r="C19" s="186">
        <f>SUM(C20:C37)</f>
        <v>78883</v>
      </c>
      <c r="D19" s="187">
        <f>SUM(D20:D37)</f>
        <v>2376.4292580000006</v>
      </c>
    </row>
    <row r="20" spans="1:4" ht="12.75">
      <c r="A20" s="119">
        <v>212</v>
      </c>
      <c r="B20" s="45" t="s">
        <v>10</v>
      </c>
      <c r="C20" s="176">
        <v>477</v>
      </c>
      <c r="D20" s="153">
        <f t="shared" si="0"/>
        <v>14.370102000000001</v>
      </c>
    </row>
    <row r="21" spans="1:4" ht="12.75">
      <c r="A21" s="116">
        <v>212</v>
      </c>
      <c r="B21" s="28" t="s">
        <v>144</v>
      </c>
      <c r="C21" s="161">
        <v>100</v>
      </c>
      <c r="D21" s="153">
        <f t="shared" si="0"/>
        <v>3.0126</v>
      </c>
    </row>
    <row r="22" spans="1:4" ht="12.75">
      <c r="A22" s="117">
        <v>212</v>
      </c>
      <c r="B22" s="6" t="s">
        <v>11</v>
      </c>
      <c r="C22" s="157">
        <v>3684</v>
      </c>
      <c r="D22" s="153">
        <f t="shared" si="0"/>
        <v>110.98418400000001</v>
      </c>
    </row>
    <row r="23" spans="1:5" ht="12.75">
      <c r="A23" s="117">
        <v>212</v>
      </c>
      <c r="B23" s="6" t="s">
        <v>12</v>
      </c>
      <c r="C23" s="157">
        <v>9942</v>
      </c>
      <c r="D23" s="153">
        <f t="shared" si="0"/>
        <v>299.512692</v>
      </c>
      <c r="E23" s="66"/>
    </row>
    <row r="24" spans="1:5" ht="13.5" thickBot="1">
      <c r="A24" s="120">
        <v>212</v>
      </c>
      <c r="B24" s="32" t="s">
        <v>163</v>
      </c>
      <c r="C24" s="188">
        <v>20</v>
      </c>
      <c r="D24" s="200">
        <f t="shared" si="0"/>
        <v>0.60252</v>
      </c>
      <c r="E24" s="195">
        <f>SUM(C20:C24)</f>
        <v>14223</v>
      </c>
    </row>
    <row r="25" spans="1:4" ht="13.5" thickBot="1">
      <c r="A25" s="121">
        <v>221</v>
      </c>
      <c r="B25" s="30" t="s">
        <v>13</v>
      </c>
      <c r="C25" s="191">
        <v>9900</v>
      </c>
      <c r="D25" s="219">
        <f t="shared" si="0"/>
        <v>298.2474</v>
      </c>
    </row>
    <row r="26" spans="1:4" ht="13.5" thickBot="1">
      <c r="A26" s="121">
        <v>222</v>
      </c>
      <c r="B26" s="30" t="s">
        <v>145</v>
      </c>
      <c r="C26" s="191">
        <v>100</v>
      </c>
      <c r="D26" s="219">
        <f t="shared" si="0"/>
        <v>3.0126</v>
      </c>
    </row>
    <row r="27" spans="1:4" ht="12.75">
      <c r="A27" s="116">
        <v>223</v>
      </c>
      <c r="B27" s="28" t="s">
        <v>177</v>
      </c>
      <c r="C27" s="161">
        <v>500</v>
      </c>
      <c r="D27" s="211">
        <f t="shared" si="0"/>
        <v>15.063</v>
      </c>
    </row>
    <row r="28" spans="1:4" ht="12.75">
      <c r="A28" s="117">
        <v>223</v>
      </c>
      <c r="B28" s="6" t="s">
        <v>15</v>
      </c>
      <c r="C28" s="157">
        <v>650</v>
      </c>
      <c r="D28" s="153">
        <f t="shared" si="0"/>
        <v>19.5819</v>
      </c>
    </row>
    <row r="29" spans="1:4" ht="12.75">
      <c r="A29" s="117">
        <v>223</v>
      </c>
      <c r="B29" s="6" t="s">
        <v>92</v>
      </c>
      <c r="C29" s="157">
        <v>810</v>
      </c>
      <c r="D29" s="153">
        <f t="shared" si="0"/>
        <v>24.402060000000002</v>
      </c>
    </row>
    <row r="30" spans="1:4" ht="12.75">
      <c r="A30" s="117">
        <v>223</v>
      </c>
      <c r="B30" s="6" t="s">
        <v>16</v>
      </c>
      <c r="C30" s="157">
        <v>5000</v>
      </c>
      <c r="D30" s="153">
        <f t="shared" si="0"/>
        <v>150.63</v>
      </c>
    </row>
    <row r="31" spans="1:4" ht="12.75">
      <c r="A31" s="117">
        <v>223</v>
      </c>
      <c r="B31" s="6" t="s">
        <v>161</v>
      </c>
      <c r="C31" s="157">
        <v>10100</v>
      </c>
      <c r="D31" s="153">
        <f t="shared" si="0"/>
        <v>304.2726</v>
      </c>
    </row>
    <row r="32" spans="1:4" ht="12.75">
      <c r="A32" s="117">
        <v>223</v>
      </c>
      <c r="B32" s="6" t="s">
        <v>93</v>
      </c>
      <c r="C32" s="157">
        <v>1500</v>
      </c>
      <c r="D32" s="153">
        <f t="shared" si="0"/>
        <v>45.189</v>
      </c>
    </row>
    <row r="33" spans="1:4" ht="12.75">
      <c r="A33" s="117">
        <v>223</v>
      </c>
      <c r="B33" s="6" t="s">
        <v>176</v>
      </c>
      <c r="C33" s="157">
        <v>17400</v>
      </c>
      <c r="D33" s="153">
        <f t="shared" si="0"/>
        <v>524.1924</v>
      </c>
    </row>
    <row r="34" spans="1:4" ht="12.75">
      <c r="A34" s="117">
        <v>223</v>
      </c>
      <c r="B34" s="6" t="s">
        <v>94</v>
      </c>
      <c r="C34" s="157">
        <v>6600</v>
      </c>
      <c r="D34" s="153">
        <f t="shared" si="0"/>
        <v>198.8316</v>
      </c>
    </row>
    <row r="35" spans="1:4" ht="12.75">
      <c r="A35" s="117">
        <v>223</v>
      </c>
      <c r="B35" s="6" t="s">
        <v>95</v>
      </c>
      <c r="C35" s="157">
        <v>1000</v>
      </c>
      <c r="D35" s="153">
        <f t="shared" si="0"/>
        <v>30.126</v>
      </c>
    </row>
    <row r="36" spans="1:4" ht="12.75">
      <c r="A36" s="117">
        <v>223</v>
      </c>
      <c r="B36" s="6" t="s">
        <v>96</v>
      </c>
      <c r="C36" s="157">
        <v>11000</v>
      </c>
      <c r="D36" s="153">
        <f>C36*$D$6/1000</f>
        <v>331.386</v>
      </c>
    </row>
    <row r="37" spans="1:5" ht="13.5" thickBot="1">
      <c r="A37" s="118">
        <v>223</v>
      </c>
      <c r="B37" s="29" t="s">
        <v>17</v>
      </c>
      <c r="C37" s="166">
        <v>100</v>
      </c>
      <c r="D37" s="153">
        <f t="shared" si="0"/>
        <v>3.0126</v>
      </c>
      <c r="E37" s="195">
        <f>SUM(C27:C37)</f>
        <v>54660</v>
      </c>
    </row>
    <row r="38" spans="1:4" ht="13.5" thickBot="1">
      <c r="A38" s="422" t="s">
        <v>18</v>
      </c>
      <c r="B38" s="423"/>
      <c r="C38" s="186">
        <f>SUM(C39)</f>
        <v>1100</v>
      </c>
      <c r="D38" s="186">
        <f>SUM(D39)</f>
        <v>33.1386</v>
      </c>
    </row>
    <row r="39" spans="1:4" ht="13.5" thickBot="1">
      <c r="A39" s="205">
        <v>240</v>
      </c>
      <c r="B39" s="32" t="s">
        <v>19</v>
      </c>
      <c r="C39" s="188">
        <v>1100</v>
      </c>
      <c r="D39" s="153">
        <f t="shared" si="0"/>
        <v>33.1386</v>
      </c>
    </row>
    <row r="40" spans="1:4" ht="13.5" thickBot="1">
      <c r="A40" s="422" t="s">
        <v>14</v>
      </c>
      <c r="B40" s="423"/>
      <c r="C40" s="186">
        <f>SUM(C41:C51)</f>
        <v>21640</v>
      </c>
      <c r="D40" s="187">
        <f>SUM(D41:D51)</f>
        <v>651.92664</v>
      </c>
    </row>
    <row r="41" spans="1:5" ht="12.75">
      <c r="A41" s="123">
        <v>292</v>
      </c>
      <c r="B41" s="31" t="s">
        <v>157</v>
      </c>
      <c r="C41" s="162">
        <v>0</v>
      </c>
      <c r="D41" s="153">
        <f t="shared" si="0"/>
        <v>0</v>
      </c>
      <c r="E41" s="15"/>
    </row>
    <row r="42" spans="1:4" ht="12.75">
      <c r="A42" s="123">
        <v>292</v>
      </c>
      <c r="B42" s="31" t="s">
        <v>101</v>
      </c>
      <c r="C42" s="162">
        <v>400</v>
      </c>
      <c r="D42" s="153">
        <f t="shared" si="0"/>
        <v>12.0504</v>
      </c>
    </row>
    <row r="43" spans="1:4" ht="12.75">
      <c r="A43" s="124">
        <v>292</v>
      </c>
      <c r="B43" s="7" t="s">
        <v>162</v>
      </c>
      <c r="C43" s="178">
        <v>0</v>
      </c>
      <c r="D43" s="153">
        <f t="shared" si="0"/>
        <v>0</v>
      </c>
    </row>
    <row r="44" spans="1:4" ht="12.75">
      <c r="A44" s="124">
        <v>292</v>
      </c>
      <c r="B44" s="6" t="s">
        <v>98</v>
      </c>
      <c r="C44" s="189">
        <v>140</v>
      </c>
      <c r="D44" s="153">
        <f t="shared" si="0"/>
        <v>4.21764</v>
      </c>
    </row>
    <row r="45" spans="1:4" ht="12.75">
      <c r="A45" s="124">
        <v>292</v>
      </c>
      <c r="B45" s="7" t="s">
        <v>165</v>
      </c>
      <c r="C45" s="178">
        <v>6800</v>
      </c>
      <c r="D45" s="153">
        <f t="shared" si="0"/>
        <v>204.85680000000002</v>
      </c>
    </row>
    <row r="46" spans="1:4" ht="12.75">
      <c r="A46" s="124">
        <v>292</v>
      </c>
      <c r="B46" s="7" t="s">
        <v>146</v>
      </c>
      <c r="C46" s="178">
        <v>200</v>
      </c>
      <c r="D46" s="153">
        <f t="shared" si="0"/>
        <v>6.0252</v>
      </c>
    </row>
    <row r="47" spans="1:4" ht="12.75">
      <c r="A47" s="124">
        <v>292</v>
      </c>
      <c r="B47" s="7" t="s">
        <v>148</v>
      </c>
      <c r="C47" s="178">
        <v>0</v>
      </c>
      <c r="D47" s="153">
        <f t="shared" si="0"/>
        <v>0</v>
      </c>
    </row>
    <row r="48" spans="1:4" ht="12.75">
      <c r="A48" s="124">
        <v>292</v>
      </c>
      <c r="B48" s="6" t="s">
        <v>102</v>
      </c>
      <c r="C48" s="189">
        <v>12000</v>
      </c>
      <c r="D48" s="153">
        <f t="shared" si="0"/>
        <v>361.512</v>
      </c>
    </row>
    <row r="49" spans="1:4" ht="12.75">
      <c r="A49" s="124">
        <v>292</v>
      </c>
      <c r="B49" s="6" t="s">
        <v>99</v>
      </c>
      <c r="C49" s="189">
        <v>2000</v>
      </c>
      <c r="D49" s="153">
        <f t="shared" si="0"/>
        <v>60.252</v>
      </c>
    </row>
    <row r="50" spans="1:4" ht="12.75">
      <c r="A50" s="124">
        <v>292</v>
      </c>
      <c r="B50" s="6" t="s">
        <v>100</v>
      </c>
      <c r="C50" s="189">
        <v>100</v>
      </c>
      <c r="D50" s="153">
        <f t="shared" si="0"/>
        <v>3.0126</v>
      </c>
    </row>
    <row r="51" spans="1:4" ht="13.5" thickBot="1">
      <c r="A51" s="125">
        <v>292</v>
      </c>
      <c r="B51" s="32" t="s">
        <v>149</v>
      </c>
      <c r="C51" s="190">
        <v>0</v>
      </c>
      <c r="D51" s="153">
        <f t="shared" si="0"/>
        <v>0</v>
      </c>
    </row>
    <row r="52" spans="1:4" ht="15" customHeight="1" thickBot="1">
      <c r="A52" s="57" t="s">
        <v>20</v>
      </c>
      <c r="B52" s="58"/>
      <c r="C52" s="182">
        <f>SUM(C53:C65)</f>
        <v>327540</v>
      </c>
      <c r="D52" s="183">
        <f>SUM(D53:D65)</f>
        <v>9867.47004</v>
      </c>
    </row>
    <row r="53" spans="1:4" ht="12.75" customHeight="1">
      <c r="A53" s="126">
        <v>311</v>
      </c>
      <c r="B53" s="28" t="s">
        <v>103</v>
      </c>
      <c r="C53" s="161">
        <v>0</v>
      </c>
      <c r="D53" s="153">
        <f t="shared" si="0"/>
        <v>0</v>
      </c>
    </row>
    <row r="54" spans="1:4" ht="12.75" customHeight="1">
      <c r="A54" s="127">
        <v>312</v>
      </c>
      <c r="B54" s="6" t="s">
        <v>192</v>
      </c>
      <c r="C54" s="157">
        <v>3600</v>
      </c>
      <c r="D54" s="153">
        <f t="shared" si="0"/>
        <v>108.45360000000001</v>
      </c>
    </row>
    <row r="55" spans="1:4" ht="12.75" customHeight="1">
      <c r="A55" s="127">
        <v>312</v>
      </c>
      <c r="B55" s="5" t="s">
        <v>21</v>
      </c>
      <c r="C55" s="164">
        <v>3000</v>
      </c>
      <c r="D55" s="153">
        <f t="shared" si="0"/>
        <v>90.378</v>
      </c>
    </row>
    <row r="56" spans="1:4" ht="12.75" customHeight="1">
      <c r="A56" s="127">
        <v>312</v>
      </c>
      <c r="B56" s="8" t="s">
        <v>105</v>
      </c>
      <c r="C56" s="184">
        <f>280000+4800+4000</f>
        <v>288800</v>
      </c>
      <c r="D56" s="153">
        <f t="shared" si="0"/>
        <v>8700.3888</v>
      </c>
    </row>
    <row r="57" spans="1:4" ht="12.75" customHeight="1">
      <c r="A57" s="127">
        <v>312</v>
      </c>
      <c r="B57" s="221" t="s">
        <v>196</v>
      </c>
      <c r="C57" s="198">
        <v>1700</v>
      </c>
      <c r="D57" s="153">
        <f t="shared" si="0"/>
        <v>51.214200000000005</v>
      </c>
    </row>
    <row r="58" spans="1:4" ht="12.75" customHeight="1">
      <c r="A58" s="127">
        <v>312</v>
      </c>
      <c r="B58" s="221" t="s">
        <v>188</v>
      </c>
      <c r="C58" s="198">
        <v>0</v>
      </c>
      <c r="D58" s="153">
        <f t="shared" si="0"/>
        <v>0</v>
      </c>
    </row>
    <row r="59" spans="1:4" ht="12.75" customHeight="1">
      <c r="A59" s="127">
        <v>312</v>
      </c>
      <c r="B59" s="221" t="s">
        <v>197</v>
      </c>
      <c r="C59" s="198">
        <v>0</v>
      </c>
      <c r="D59" s="153">
        <f t="shared" si="0"/>
        <v>0</v>
      </c>
    </row>
    <row r="60" spans="1:4" ht="12.75" customHeight="1">
      <c r="A60" s="127">
        <v>312</v>
      </c>
      <c r="B60" s="6" t="s">
        <v>191</v>
      </c>
      <c r="C60" s="157">
        <v>4900</v>
      </c>
      <c r="D60" s="153">
        <f t="shared" si="0"/>
        <v>147.6174</v>
      </c>
    </row>
    <row r="61" spans="1:4" ht="12.75" customHeight="1">
      <c r="A61" s="127">
        <v>312</v>
      </c>
      <c r="B61" s="6" t="s">
        <v>22</v>
      </c>
      <c r="C61" s="157">
        <v>1300</v>
      </c>
      <c r="D61" s="153">
        <f t="shared" si="0"/>
        <v>39.1638</v>
      </c>
    </row>
    <row r="62" spans="1:4" ht="12.75" customHeight="1">
      <c r="A62" s="127">
        <v>312</v>
      </c>
      <c r="B62" s="9" t="s">
        <v>106</v>
      </c>
      <c r="C62" s="163">
        <v>2500</v>
      </c>
      <c r="D62" s="153">
        <f t="shared" si="0"/>
        <v>75.315</v>
      </c>
    </row>
    <row r="63" spans="1:6" ht="12.75" customHeight="1">
      <c r="A63" s="127">
        <v>312</v>
      </c>
      <c r="B63" s="9" t="s">
        <v>158</v>
      </c>
      <c r="C63" s="163">
        <v>8620</v>
      </c>
      <c r="D63" s="153">
        <f t="shared" si="0"/>
        <v>259.68612</v>
      </c>
      <c r="F63" s="3"/>
    </row>
    <row r="64" spans="1:6" ht="13.5" customHeight="1">
      <c r="A64" s="127">
        <v>312</v>
      </c>
      <c r="B64" s="9" t="s">
        <v>159</v>
      </c>
      <c r="C64" s="163">
        <v>13120</v>
      </c>
      <c r="D64" s="153">
        <f>C64*$D$6/1000</f>
        <v>395.25311999999997</v>
      </c>
      <c r="F64" s="3"/>
    </row>
    <row r="65" spans="1:4" ht="13.5" customHeight="1" thickBot="1">
      <c r="A65" s="130">
        <v>312</v>
      </c>
      <c r="B65" s="37" t="s">
        <v>160</v>
      </c>
      <c r="C65" s="174">
        <v>0</v>
      </c>
      <c r="D65" s="204">
        <f t="shared" si="0"/>
        <v>0</v>
      </c>
    </row>
    <row r="66" spans="1:4" ht="16.5" thickBot="1">
      <c r="A66" s="60" t="s">
        <v>107</v>
      </c>
      <c r="B66" s="216"/>
      <c r="C66" s="217">
        <f>SUM(C10+C19+C38+C40+C52)</f>
        <v>1049725</v>
      </c>
      <c r="D66" s="185">
        <f>SUM(D10+D19+D38+D40+D52)</f>
        <v>31624.01535</v>
      </c>
    </row>
    <row r="67" spans="1:4" ht="16.5" thickBot="1">
      <c r="A67" s="213">
        <v>236</v>
      </c>
      <c r="B67" s="214" t="s">
        <v>108</v>
      </c>
      <c r="C67" s="215">
        <v>1674</v>
      </c>
      <c r="D67" s="211">
        <f t="shared" si="0"/>
        <v>50.430924</v>
      </c>
    </row>
    <row r="68" spans="1:4" ht="16.5" thickBot="1">
      <c r="A68" s="60" t="s">
        <v>23</v>
      </c>
      <c r="B68" s="58"/>
      <c r="C68" s="185">
        <f>SUM(C66:C67)</f>
        <v>1051399</v>
      </c>
      <c r="D68" s="185">
        <f>SUM(D66:D67)</f>
        <v>31674.446274</v>
      </c>
    </row>
    <row r="69" spans="1:8" ht="20.25" customHeight="1">
      <c r="A69" s="10"/>
      <c r="B69" s="16"/>
      <c r="C69" s="16"/>
      <c r="D69" s="89"/>
      <c r="H69" s="90"/>
    </row>
    <row r="70" spans="1:6" ht="23.25" customHeight="1" thickBot="1">
      <c r="A70" s="418" t="s">
        <v>24</v>
      </c>
      <c r="B70" s="419"/>
      <c r="C70" s="419"/>
      <c r="D70" s="419"/>
      <c r="E70" s="3"/>
      <c r="F70" s="3"/>
    </row>
    <row r="71" spans="1:4" ht="12.75">
      <c r="A71" s="397" t="s">
        <v>1</v>
      </c>
      <c r="B71" s="398"/>
      <c r="C71" s="389" t="s">
        <v>190</v>
      </c>
      <c r="D71" s="389" t="s">
        <v>194</v>
      </c>
    </row>
    <row r="72" spans="1:4" ht="13.5" thickBot="1">
      <c r="A72" s="420"/>
      <c r="B72" s="421"/>
      <c r="C72" s="401"/>
      <c r="D72" s="401"/>
    </row>
    <row r="73" spans="1:4" ht="12.75" customHeight="1" thickBot="1">
      <c r="A73" s="35" t="s">
        <v>25</v>
      </c>
      <c r="B73" s="36"/>
      <c r="C73" s="158">
        <f>SUM(C74:C76)</f>
        <v>164600</v>
      </c>
      <c r="D73" s="159">
        <f>SUM(D74:D76)</f>
        <v>4958.7396</v>
      </c>
    </row>
    <row r="74" spans="1:4" ht="12.75">
      <c r="A74" s="49" t="s">
        <v>26</v>
      </c>
      <c r="B74" s="34" t="s">
        <v>109</v>
      </c>
      <c r="C74" s="160">
        <v>145000</v>
      </c>
      <c r="D74" s="153">
        <f aca="true" t="shared" si="1" ref="D74:D85">C74*$D$6/1000</f>
        <v>4368.27</v>
      </c>
    </row>
    <row r="75" spans="1:4" ht="12.75">
      <c r="A75" s="50" t="s">
        <v>27</v>
      </c>
      <c r="B75" s="9" t="s">
        <v>28</v>
      </c>
      <c r="C75" s="163">
        <v>16000</v>
      </c>
      <c r="D75" s="153">
        <f t="shared" si="1"/>
        <v>482.016</v>
      </c>
    </row>
    <row r="76" spans="1:4" ht="13.5" thickBot="1">
      <c r="A76" s="95" t="s">
        <v>29</v>
      </c>
      <c r="B76" s="9" t="s">
        <v>114</v>
      </c>
      <c r="C76" s="163">
        <v>3600</v>
      </c>
      <c r="D76" s="153">
        <f t="shared" si="1"/>
        <v>108.45360000000001</v>
      </c>
    </row>
    <row r="77" spans="1:4" ht="13.5" thickBot="1">
      <c r="A77" s="414" t="s">
        <v>30</v>
      </c>
      <c r="B77" s="415"/>
      <c r="C77" s="158">
        <f>SUM(C78)</f>
        <v>140</v>
      </c>
      <c r="D77" s="159">
        <f>D78</f>
        <v>4.21764</v>
      </c>
    </row>
    <row r="78" spans="1:4" ht="13.5" thickBot="1">
      <c r="A78" s="62" t="s">
        <v>31</v>
      </c>
      <c r="B78" s="16" t="s">
        <v>111</v>
      </c>
      <c r="C78" s="180">
        <v>140</v>
      </c>
      <c r="D78" s="153">
        <f t="shared" si="1"/>
        <v>4.21764</v>
      </c>
    </row>
    <row r="79" spans="1:4" ht="13.5" thickBot="1">
      <c r="A79" s="414" t="s">
        <v>32</v>
      </c>
      <c r="B79" s="415"/>
      <c r="C79" s="177">
        <f>SUM(C80)</f>
        <v>4500</v>
      </c>
      <c r="D79" s="159">
        <f>D80</f>
        <v>135.567</v>
      </c>
    </row>
    <row r="80" spans="1:4" ht="13.5" thickBot="1">
      <c r="A80" s="113" t="s">
        <v>33</v>
      </c>
      <c r="B80" s="38" t="s">
        <v>115</v>
      </c>
      <c r="C80" s="181">
        <v>4500</v>
      </c>
      <c r="D80" s="153">
        <f t="shared" si="1"/>
        <v>135.567</v>
      </c>
    </row>
    <row r="81" spans="1:4" ht="13.5" thickBot="1">
      <c r="A81" s="35" t="s">
        <v>34</v>
      </c>
      <c r="B81" s="39"/>
      <c r="C81" s="158">
        <f>SUM(C82:C85)</f>
        <v>126500</v>
      </c>
      <c r="D81" s="159">
        <f>SUM(D82:D85)</f>
        <v>3810.939</v>
      </c>
    </row>
    <row r="82" spans="1:4" ht="12.75">
      <c r="A82" s="114" t="s">
        <v>35</v>
      </c>
      <c r="B82" s="31" t="s">
        <v>112</v>
      </c>
      <c r="C82" s="162">
        <v>2200</v>
      </c>
      <c r="D82" s="153">
        <f t="shared" si="1"/>
        <v>66.2772</v>
      </c>
    </row>
    <row r="83" spans="1:4" ht="12.75">
      <c r="A83" s="95" t="s">
        <v>36</v>
      </c>
      <c r="B83" s="9" t="s">
        <v>110</v>
      </c>
      <c r="C83" s="163">
        <v>5000</v>
      </c>
      <c r="D83" s="153">
        <f t="shared" si="1"/>
        <v>150.63</v>
      </c>
    </row>
    <row r="84" spans="1:4" ht="12.75">
      <c r="A84" s="95" t="s">
        <v>37</v>
      </c>
      <c r="B84" s="9" t="s">
        <v>116</v>
      </c>
      <c r="C84" s="193">
        <v>4300</v>
      </c>
      <c r="D84" s="153">
        <f t="shared" si="1"/>
        <v>129.5418</v>
      </c>
    </row>
    <row r="85" spans="1:4" ht="13.5" thickBot="1">
      <c r="A85" s="111" t="s">
        <v>38</v>
      </c>
      <c r="B85" s="37" t="s">
        <v>117</v>
      </c>
      <c r="C85" s="230">
        <v>115000</v>
      </c>
      <c r="D85" s="153">
        <f t="shared" si="1"/>
        <v>3464.49</v>
      </c>
    </row>
    <row r="86" spans="1:4" ht="13.5" thickBot="1">
      <c r="A86" s="35" t="s">
        <v>39</v>
      </c>
      <c r="B86" s="36"/>
      <c r="C86" s="158">
        <f>SUM(C87:C88)</f>
        <v>25000</v>
      </c>
      <c r="D86" s="194">
        <f>SUM(D87:D88)</f>
        <v>753.15</v>
      </c>
    </row>
    <row r="87" spans="1:4" ht="12.75">
      <c r="A87" s="112" t="s">
        <v>40</v>
      </c>
      <c r="B87" s="44" t="s">
        <v>41</v>
      </c>
      <c r="C87" s="175">
        <v>20500</v>
      </c>
      <c r="D87" s="153">
        <f>C87*$D$6/1000</f>
        <v>617.583</v>
      </c>
    </row>
    <row r="88" spans="1:4" ht="13.5" thickBot="1">
      <c r="A88" s="82" t="s">
        <v>42</v>
      </c>
      <c r="B88" s="42" t="s">
        <v>113</v>
      </c>
      <c r="C88" s="165">
        <v>4500</v>
      </c>
      <c r="D88" s="153">
        <f>C88*$D$6/1000</f>
        <v>135.567</v>
      </c>
    </row>
    <row r="89" spans="1:4" ht="13.5" thickBot="1">
      <c r="A89" s="35" t="s">
        <v>43</v>
      </c>
      <c r="B89" s="39"/>
      <c r="C89" s="158">
        <f>SUM(C90)</f>
        <v>15000</v>
      </c>
      <c r="D89" s="158">
        <f>SUM(D90)</f>
        <v>451.89</v>
      </c>
    </row>
    <row r="90" spans="1:4" ht="13.5" thickBot="1">
      <c r="A90" s="226" t="s">
        <v>44</v>
      </c>
      <c r="B90" s="37" t="s">
        <v>45</v>
      </c>
      <c r="C90" s="174">
        <v>15000</v>
      </c>
      <c r="D90" s="153">
        <f>C90*$D$6/1000</f>
        <v>451.89</v>
      </c>
    </row>
    <row r="91" spans="1:4" ht="13.5" thickBot="1">
      <c r="A91" s="43" t="s">
        <v>46</v>
      </c>
      <c r="B91" s="36"/>
      <c r="C91" s="158">
        <f>SUM(C92:C104)</f>
        <v>59200</v>
      </c>
      <c r="D91" s="158">
        <f>SUM(D92:D104)</f>
        <v>1783.4592</v>
      </c>
    </row>
    <row r="92" spans="1:4" ht="12.75">
      <c r="A92" s="53" t="s">
        <v>47</v>
      </c>
      <c r="B92" s="34" t="s">
        <v>118</v>
      </c>
      <c r="C92" s="160">
        <v>5000</v>
      </c>
      <c r="D92" s="153">
        <f aca="true" t="shared" si="2" ref="D92:D104">C92*$D$6/1000</f>
        <v>150.63</v>
      </c>
    </row>
    <row r="93" spans="1:4" ht="13.5" thickBot="1">
      <c r="A93" s="82" t="s">
        <v>47</v>
      </c>
      <c r="B93" s="42" t="s">
        <v>119</v>
      </c>
      <c r="C93" s="165">
        <v>3000</v>
      </c>
      <c r="D93" s="200">
        <f t="shared" si="2"/>
        <v>90.378</v>
      </c>
    </row>
    <row r="94" spans="1:4" ht="12.75">
      <c r="A94" s="53" t="s">
        <v>48</v>
      </c>
      <c r="B94" s="41" t="s">
        <v>120</v>
      </c>
      <c r="C94" s="172">
        <v>16000</v>
      </c>
      <c r="D94" s="211">
        <f t="shared" si="2"/>
        <v>482.016</v>
      </c>
    </row>
    <row r="95" spans="1:4" ht="12.75">
      <c r="A95" s="95" t="s">
        <v>50</v>
      </c>
      <c r="B95" s="40" t="s">
        <v>121</v>
      </c>
      <c r="C95" s="173">
        <v>700</v>
      </c>
      <c r="D95" s="153">
        <f t="shared" si="2"/>
        <v>21.0882</v>
      </c>
    </row>
    <row r="96" spans="1:4" ht="13.5" thickBot="1">
      <c r="A96" s="82" t="s">
        <v>51</v>
      </c>
      <c r="B96" s="42" t="s">
        <v>122</v>
      </c>
      <c r="C96" s="165">
        <v>2000</v>
      </c>
      <c r="D96" s="200">
        <f t="shared" si="2"/>
        <v>60.252</v>
      </c>
    </row>
    <row r="97" spans="1:4" ht="12.75">
      <c r="A97" s="95" t="s">
        <v>52</v>
      </c>
      <c r="B97" s="9" t="s">
        <v>187</v>
      </c>
      <c r="C97" s="163">
        <v>1600</v>
      </c>
      <c r="D97" s="211">
        <f t="shared" si="2"/>
        <v>48.2016</v>
      </c>
    </row>
    <row r="98" spans="1:4" ht="12.75">
      <c r="A98" s="95" t="s">
        <v>52</v>
      </c>
      <c r="B98" s="9" t="s">
        <v>152</v>
      </c>
      <c r="C98" s="163">
        <v>2000</v>
      </c>
      <c r="D98" s="153">
        <f t="shared" si="2"/>
        <v>60.252</v>
      </c>
    </row>
    <row r="99" spans="1:4" ht="12.75">
      <c r="A99" s="95" t="s">
        <v>52</v>
      </c>
      <c r="B99" s="9" t="s">
        <v>49</v>
      </c>
      <c r="C99" s="163">
        <v>7000</v>
      </c>
      <c r="D99" s="153">
        <f t="shared" si="2"/>
        <v>210.882</v>
      </c>
    </row>
    <row r="100" spans="1:4" ht="12.75">
      <c r="A100" s="111" t="s">
        <v>52</v>
      </c>
      <c r="B100" s="37" t="s">
        <v>175</v>
      </c>
      <c r="C100" s="174">
        <v>0</v>
      </c>
      <c r="D100" s="153">
        <f t="shared" si="2"/>
        <v>0</v>
      </c>
    </row>
    <row r="101" spans="1:4" ht="13.5" thickBot="1">
      <c r="A101" s="82" t="s">
        <v>52</v>
      </c>
      <c r="B101" s="42" t="s">
        <v>123</v>
      </c>
      <c r="C101" s="165">
        <v>10000</v>
      </c>
      <c r="D101" s="200">
        <f t="shared" si="2"/>
        <v>301.26</v>
      </c>
    </row>
    <row r="102" spans="1:4" ht="12.75">
      <c r="A102" s="112" t="s">
        <v>53</v>
      </c>
      <c r="B102" s="44" t="s">
        <v>155</v>
      </c>
      <c r="C102" s="175">
        <v>1600</v>
      </c>
      <c r="D102" s="211">
        <f t="shared" si="2"/>
        <v>48.2016</v>
      </c>
    </row>
    <row r="103" spans="1:4" ht="12.75">
      <c r="A103" s="53" t="s">
        <v>54</v>
      </c>
      <c r="B103" s="34" t="s">
        <v>124</v>
      </c>
      <c r="C103" s="160">
        <v>7300</v>
      </c>
      <c r="D103" s="153">
        <f t="shared" si="2"/>
        <v>219.9198</v>
      </c>
    </row>
    <row r="104" spans="1:4" ht="13.5" thickBot="1">
      <c r="A104" s="111" t="s">
        <v>55</v>
      </c>
      <c r="B104" s="37" t="s">
        <v>125</v>
      </c>
      <c r="C104" s="174">
        <v>3000</v>
      </c>
      <c r="D104" s="153">
        <f t="shared" si="2"/>
        <v>90.378</v>
      </c>
    </row>
    <row r="105" spans="1:4" ht="13.5" thickBot="1">
      <c r="A105" s="414" t="s">
        <v>56</v>
      </c>
      <c r="B105" s="415"/>
      <c r="C105" s="177">
        <f>SUM(C106:C110)</f>
        <v>251120</v>
      </c>
      <c r="D105" s="159">
        <f>SUM(D106:D110)</f>
        <v>7565.241120000001</v>
      </c>
    </row>
    <row r="106" spans="1:4" ht="12.75">
      <c r="A106" s="222" t="s">
        <v>57</v>
      </c>
      <c r="B106" s="223" t="s">
        <v>147</v>
      </c>
      <c r="C106" s="224">
        <v>85000</v>
      </c>
      <c r="D106" s="153">
        <f>C106*$D$6/1000</f>
        <v>2560.71</v>
      </c>
    </row>
    <row r="107" spans="1:4" ht="12.75">
      <c r="A107" s="84" t="s">
        <v>58</v>
      </c>
      <c r="B107" s="7" t="s">
        <v>126</v>
      </c>
      <c r="C107" s="178">
        <v>0</v>
      </c>
      <c r="D107" s="153">
        <f>C107*$D$6/1000</f>
        <v>0</v>
      </c>
    </row>
    <row r="108" spans="1:4" ht="12.75">
      <c r="A108" s="84" t="s">
        <v>59</v>
      </c>
      <c r="B108" s="7" t="s">
        <v>60</v>
      </c>
      <c r="C108" s="178">
        <v>95000</v>
      </c>
      <c r="D108" s="153">
        <f>C108*$D$6/1000</f>
        <v>2861.97</v>
      </c>
    </row>
    <row r="109" spans="1:4" ht="12.75">
      <c r="A109" s="84" t="s">
        <v>76</v>
      </c>
      <c r="B109" s="7" t="s">
        <v>153</v>
      </c>
      <c r="C109" s="178">
        <v>58000</v>
      </c>
      <c r="D109" s="153">
        <f>C109*$D$6/1000</f>
        <v>1747.308</v>
      </c>
    </row>
    <row r="110" spans="1:4" ht="13.5" thickBot="1">
      <c r="A110" s="111" t="s">
        <v>61</v>
      </c>
      <c r="B110" s="37" t="s">
        <v>127</v>
      </c>
      <c r="C110" s="179">
        <v>13120</v>
      </c>
      <c r="D110" s="153">
        <f>C110*$D$6/1000</f>
        <v>395.25311999999997</v>
      </c>
    </row>
    <row r="111" spans="1:4" ht="12.75" customHeight="1" thickBot="1">
      <c r="A111" s="35" t="s">
        <v>62</v>
      </c>
      <c r="B111" s="36"/>
      <c r="C111" s="158">
        <f>SUM(C112:C120)</f>
        <v>96500</v>
      </c>
      <c r="D111" s="194">
        <f>SUM(D112:D120)</f>
        <v>2907.159</v>
      </c>
    </row>
    <row r="112" spans="1:4" ht="12.75">
      <c r="A112" s="53" t="s">
        <v>63</v>
      </c>
      <c r="B112" s="34" t="s">
        <v>128</v>
      </c>
      <c r="C112" s="160">
        <v>74000</v>
      </c>
      <c r="D112" s="153">
        <f aca="true" t="shared" si="3" ref="D112:D123">C112*$D$6/1000</f>
        <v>2229.324</v>
      </c>
    </row>
    <row r="113" spans="1:4" ht="12" customHeight="1">
      <c r="A113" s="95" t="s">
        <v>64</v>
      </c>
      <c r="B113" s="9" t="s">
        <v>129</v>
      </c>
      <c r="C113" s="163">
        <v>11000</v>
      </c>
      <c r="D113" s="153">
        <f t="shared" si="3"/>
        <v>331.386</v>
      </c>
    </row>
    <row r="114" spans="1:4" ht="13.5" thickBot="1">
      <c r="A114" s="82" t="s">
        <v>64</v>
      </c>
      <c r="B114" s="42" t="s">
        <v>130</v>
      </c>
      <c r="C114" s="165">
        <v>1500</v>
      </c>
      <c r="D114" s="200">
        <f t="shared" si="3"/>
        <v>45.189</v>
      </c>
    </row>
    <row r="115" spans="1:4" ht="13.5" customHeight="1">
      <c r="A115" s="53" t="s">
        <v>65</v>
      </c>
      <c r="B115" s="34" t="s">
        <v>131</v>
      </c>
      <c r="C115" s="160">
        <v>200</v>
      </c>
      <c r="D115" s="211">
        <f t="shared" si="3"/>
        <v>6.0252</v>
      </c>
    </row>
    <row r="116" spans="1:4" ht="12.75">
      <c r="A116" s="95" t="s">
        <v>66</v>
      </c>
      <c r="B116" s="9" t="s">
        <v>67</v>
      </c>
      <c r="C116" s="163">
        <v>3000</v>
      </c>
      <c r="D116" s="153">
        <f t="shared" si="3"/>
        <v>90.378</v>
      </c>
    </row>
    <row r="117" spans="1:4" ht="12.75">
      <c r="A117" s="95" t="s">
        <v>68</v>
      </c>
      <c r="B117" s="9" t="s">
        <v>132</v>
      </c>
      <c r="C117" s="163">
        <v>1300</v>
      </c>
      <c r="D117" s="153">
        <f t="shared" si="3"/>
        <v>39.1638</v>
      </c>
    </row>
    <row r="118" spans="1:4" ht="12.75">
      <c r="A118" s="95" t="s">
        <v>68</v>
      </c>
      <c r="B118" s="9" t="s">
        <v>133</v>
      </c>
      <c r="C118" s="163">
        <v>4900</v>
      </c>
      <c r="D118" s="153">
        <f t="shared" si="3"/>
        <v>147.6174</v>
      </c>
    </row>
    <row r="119" spans="1:4" ht="12.75" customHeight="1">
      <c r="A119" s="95" t="s">
        <v>69</v>
      </c>
      <c r="B119" s="9" t="s">
        <v>70</v>
      </c>
      <c r="C119" s="163">
        <v>300</v>
      </c>
      <c r="D119" s="153">
        <f t="shared" si="3"/>
        <v>9.0378</v>
      </c>
    </row>
    <row r="120" spans="1:4" ht="12.75">
      <c r="A120" s="95" t="s">
        <v>71</v>
      </c>
      <c r="B120" s="9" t="s">
        <v>72</v>
      </c>
      <c r="C120" s="163">
        <v>300</v>
      </c>
      <c r="D120" s="153">
        <f t="shared" si="3"/>
        <v>9.0378</v>
      </c>
    </row>
    <row r="121" spans="1:4" ht="16.5" thickBot="1">
      <c r="A121" s="225" t="s">
        <v>134</v>
      </c>
      <c r="B121" s="63"/>
      <c r="C121" s="167">
        <f>SUM(C73+C77+C79+C81+C86+C89+C91+C105+C111)</f>
        <v>742560</v>
      </c>
      <c r="D121" s="167">
        <f>SUM(D73+D77+D79+D81+D86+D89+D91+D105+D111)</f>
        <v>22370.362559999998</v>
      </c>
    </row>
    <row r="122" spans="1:4" ht="12.75">
      <c r="A122" s="93" t="s">
        <v>58</v>
      </c>
      <c r="B122" s="92" t="s">
        <v>73</v>
      </c>
      <c r="C122" s="168">
        <f>C56+C67</f>
        <v>290474</v>
      </c>
      <c r="D122" s="153">
        <f t="shared" si="3"/>
        <v>8750.819723999999</v>
      </c>
    </row>
    <row r="123" spans="1:4" ht="12.75">
      <c r="A123" s="94" t="s">
        <v>74</v>
      </c>
      <c r="B123" s="8" t="s">
        <v>75</v>
      </c>
      <c r="C123" s="169">
        <v>17000</v>
      </c>
      <c r="D123" s="153">
        <f t="shared" si="3"/>
        <v>512.142</v>
      </c>
    </row>
    <row r="124" spans="1:4" ht="13.5" thickBot="1">
      <c r="A124" s="416" t="s">
        <v>156</v>
      </c>
      <c r="B124" s="417"/>
      <c r="C124" s="170">
        <f>SUM(C122:C123)</f>
        <v>307474</v>
      </c>
      <c r="D124" s="170">
        <f>SUM(D122:D123)</f>
        <v>9262.961723999999</v>
      </c>
    </row>
    <row r="125" spans="1:4" ht="16.5" thickBot="1">
      <c r="A125" s="61" t="s">
        <v>77</v>
      </c>
      <c r="B125" s="39"/>
      <c r="C125" s="171">
        <f>C121+C124</f>
        <v>1050034</v>
      </c>
      <c r="D125" s="171">
        <f>D121+D124</f>
        <v>31633.324283999995</v>
      </c>
    </row>
    <row r="126" ht="12.75">
      <c r="D126" s="80"/>
    </row>
    <row r="127" spans="1:4" ht="12.75">
      <c r="A127" s="11"/>
      <c r="B127" s="17"/>
      <c r="C127" s="17"/>
      <c r="D127" s="18"/>
    </row>
    <row r="128" spans="1:4" ht="18.75" thickBot="1">
      <c r="A128" s="410" t="s">
        <v>78</v>
      </c>
      <c r="B128" s="411"/>
      <c r="C128" s="411"/>
      <c r="D128" s="411"/>
    </row>
    <row r="129" spans="1:7" ht="21.75" customHeight="1">
      <c r="A129" s="397" t="s">
        <v>1</v>
      </c>
      <c r="B129" s="398"/>
      <c r="C129" s="389" t="s">
        <v>190</v>
      </c>
      <c r="D129" s="389" t="s">
        <v>195</v>
      </c>
      <c r="E129" s="80"/>
      <c r="G129" s="80"/>
    </row>
    <row r="130" spans="1:7" ht="13.5" thickBot="1">
      <c r="A130" s="412"/>
      <c r="B130" s="413"/>
      <c r="C130" s="390"/>
      <c r="D130" s="390"/>
      <c r="E130" s="18"/>
      <c r="F130" s="80"/>
      <c r="G130" s="4"/>
    </row>
    <row r="131" spans="1:6" ht="19.5" customHeight="1" thickBot="1">
      <c r="A131" s="402" t="s">
        <v>139</v>
      </c>
      <c r="B131" s="403"/>
      <c r="C131" s="146">
        <f>SUM(C132:C134)</f>
        <v>0</v>
      </c>
      <c r="D131" s="229">
        <f>SUM(D132:D134)</f>
        <v>0</v>
      </c>
      <c r="F131" s="18"/>
    </row>
    <row r="132" spans="1:9" ht="12.75">
      <c r="A132" s="69">
        <v>230</v>
      </c>
      <c r="B132" s="44" t="s">
        <v>97</v>
      </c>
      <c r="C132" s="147">
        <v>0</v>
      </c>
      <c r="D132" s="153">
        <f>C132*$D$6/1000</f>
        <v>0</v>
      </c>
      <c r="I132" s="19"/>
    </row>
    <row r="133" spans="1:10" s="15" customFormat="1" ht="12.75">
      <c r="A133" s="127">
        <v>322</v>
      </c>
      <c r="B133" s="227" t="s">
        <v>201</v>
      </c>
      <c r="C133" s="228">
        <v>0</v>
      </c>
      <c r="D133" s="153">
        <f>C133*$D$6/1000</f>
        <v>0</v>
      </c>
      <c r="E133"/>
      <c r="F133"/>
      <c r="G133"/>
      <c r="H133"/>
      <c r="I133" s="11"/>
      <c r="J133"/>
    </row>
    <row r="134" spans="1:10" ht="13.5" thickBot="1">
      <c r="A134" s="68">
        <v>321</v>
      </c>
      <c r="B134" s="42" t="s">
        <v>167</v>
      </c>
      <c r="C134" s="145">
        <v>0</v>
      </c>
      <c r="D134" s="200">
        <f>C134*$D$6/1000</f>
        <v>0</v>
      </c>
      <c r="J134" s="15"/>
    </row>
    <row r="135" spans="1:4" ht="18" customHeight="1" thickBot="1">
      <c r="A135" s="52"/>
      <c r="B135" s="3"/>
      <c r="C135" s="148"/>
      <c r="D135" s="149"/>
    </row>
    <row r="136" spans="1:4" ht="16.5" thickBot="1">
      <c r="A136" s="402" t="s">
        <v>140</v>
      </c>
      <c r="B136" s="403"/>
      <c r="C136" s="150">
        <f>SUM(C137:C148)</f>
        <v>200666</v>
      </c>
      <c r="D136" s="150">
        <f>SUM(D137:D148)</f>
        <v>6045.263916</v>
      </c>
    </row>
    <row r="137" spans="1:4" ht="12.75">
      <c r="A137" s="95" t="s">
        <v>36</v>
      </c>
      <c r="B137" s="6" t="s">
        <v>171</v>
      </c>
      <c r="C137" s="151">
        <v>0</v>
      </c>
      <c r="D137" s="153">
        <f aca="true" t="shared" si="4" ref="D137:D148">C137*$D$6/1000</f>
        <v>0</v>
      </c>
    </row>
    <row r="138" spans="1:4" ht="13.5" thickBot="1">
      <c r="A138" s="64" t="s">
        <v>36</v>
      </c>
      <c r="B138" s="83" t="s">
        <v>199</v>
      </c>
      <c r="C138" s="152">
        <v>0</v>
      </c>
      <c r="D138" s="200">
        <f t="shared" si="4"/>
        <v>0</v>
      </c>
    </row>
    <row r="139" spans="1:4" ht="12.75">
      <c r="A139" s="135" t="s">
        <v>38</v>
      </c>
      <c r="B139" s="136" t="s">
        <v>172</v>
      </c>
      <c r="C139" s="155">
        <v>0</v>
      </c>
      <c r="D139" s="211">
        <f t="shared" si="4"/>
        <v>0</v>
      </c>
    </row>
    <row r="140" spans="1:4" ht="12.75">
      <c r="A140" s="49" t="s">
        <v>40</v>
      </c>
      <c r="B140" s="28" t="s">
        <v>182</v>
      </c>
      <c r="C140" s="156">
        <v>38706</v>
      </c>
      <c r="D140" s="153">
        <f t="shared" si="4"/>
        <v>1166.056956</v>
      </c>
    </row>
    <row r="141" spans="1:4" ht="12.75" customHeight="1">
      <c r="A141" s="84" t="s">
        <v>184</v>
      </c>
      <c r="B141" s="85" t="s">
        <v>79</v>
      </c>
      <c r="C141" s="151">
        <v>0</v>
      </c>
      <c r="D141" s="153">
        <f t="shared" si="4"/>
        <v>0</v>
      </c>
    </row>
    <row r="142" spans="1:4" ht="12.75" customHeight="1">
      <c r="A142" s="95" t="s">
        <v>184</v>
      </c>
      <c r="B142" s="6" t="s">
        <v>185</v>
      </c>
      <c r="C142" s="157">
        <v>73550</v>
      </c>
      <c r="D142" s="153">
        <f t="shared" si="4"/>
        <v>2215.7673000000004</v>
      </c>
    </row>
    <row r="143" spans="1:4" ht="12.75" customHeight="1">
      <c r="A143" s="84" t="s">
        <v>186</v>
      </c>
      <c r="B143" s="6" t="s">
        <v>168</v>
      </c>
      <c r="C143" s="151">
        <v>0</v>
      </c>
      <c r="D143" s="153">
        <f t="shared" si="4"/>
        <v>0</v>
      </c>
    </row>
    <row r="144" spans="1:4" ht="12.75" customHeight="1">
      <c r="A144" s="70" t="s">
        <v>186</v>
      </c>
      <c r="B144" s="28" t="s">
        <v>200</v>
      </c>
      <c r="C144" s="156">
        <v>49247</v>
      </c>
      <c r="D144" s="153">
        <f t="shared" si="4"/>
        <v>1483.615122</v>
      </c>
    </row>
    <row r="145" spans="1:4" ht="12.75">
      <c r="A145" s="49" t="s">
        <v>50</v>
      </c>
      <c r="B145" s="28" t="s">
        <v>151</v>
      </c>
      <c r="C145" s="156">
        <v>0</v>
      </c>
      <c r="D145" s="153">
        <f t="shared" si="4"/>
        <v>0</v>
      </c>
    </row>
    <row r="146" spans="1:4" ht="12.75">
      <c r="A146" s="50" t="s">
        <v>58</v>
      </c>
      <c r="B146" s="6" t="s">
        <v>170</v>
      </c>
      <c r="C146" s="151">
        <v>8984</v>
      </c>
      <c r="D146" s="153">
        <f t="shared" si="4"/>
        <v>270.65198399999997</v>
      </c>
    </row>
    <row r="147" spans="1:4" ht="12.75">
      <c r="A147" s="50" t="s">
        <v>58</v>
      </c>
      <c r="B147" s="6" t="s">
        <v>198</v>
      </c>
      <c r="C147" s="151">
        <v>30179</v>
      </c>
      <c r="D147" s="153">
        <f t="shared" si="4"/>
        <v>909.172554</v>
      </c>
    </row>
    <row r="148" spans="1:4" ht="13.5" thickBot="1">
      <c r="A148" s="51" t="s">
        <v>76</v>
      </c>
      <c r="B148" s="32" t="s">
        <v>174</v>
      </c>
      <c r="C148" s="154">
        <v>0</v>
      </c>
      <c r="D148" s="200">
        <f t="shared" si="4"/>
        <v>0</v>
      </c>
    </row>
    <row r="149" spans="5:7" ht="12.75">
      <c r="E149" s="87"/>
      <c r="G149" s="88"/>
    </row>
    <row r="150" spans="1:7" ht="12.75">
      <c r="A150" s="20"/>
      <c r="B150" s="21"/>
      <c r="C150" s="21"/>
      <c r="D150" s="86"/>
      <c r="E150" s="22"/>
      <c r="F150" s="87"/>
      <c r="G150" s="4"/>
    </row>
    <row r="151" spans="1:6" ht="12.75">
      <c r="A151" s="21"/>
      <c r="B151" s="17"/>
      <c r="C151" s="17"/>
      <c r="D151" s="22"/>
      <c r="F151" s="22"/>
    </row>
    <row r="152" spans="1:4" ht="18.75" thickBot="1">
      <c r="A152" s="404" t="s">
        <v>80</v>
      </c>
      <c r="B152" s="405"/>
      <c r="C152" s="405"/>
      <c r="D152" s="405"/>
    </row>
    <row r="153" spans="1:4" ht="12.75">
      <c r="A153" s="397" t="s">
        <v>1</v>
      </c>
      <c r="B153" s="398"/>
      <c r="C153" s="389" t="s">
        <v>190</v>
      </c>
      <c r="D153" s="389" t="s">
        <v>194</v>
      </c>
    </row>
    <row r="154" spans="1:4" ht="22.5" customHeight="1" thickBot="1">
      <c r="A154" s="412"/>
      <c r="B154" s="413"/>
      <c r="C154" s="390"/>
      <c r="D154" s="390"/>
    </row>
    <row r="155" spans="1:4" ht="16.5" thickBot="1">
      <c r="A155" s="435" t="s">
        <v>141</v>
      </c>
      <c r="B155" s="436"/>
      <c r="C155" s="208">
        <f>SUM(C156:C158)</f>
        <v>202266</v>
      </c>
      <c r="D155" s="208">
        <f>SUM(D156:D158)</f>
        <v>6093.465516</v>
      </c>
    </row>
    <row r="156" spans="1:4" ht="15" customHeight="1">
      <c r="A156" s="209">
        <v>411</v>
      </c>
      <c r="B156" s="212" t="s">
        <v>193</v>
      </c>
      <c r="C156" s="210">
        <v>1600</v>
      </c>
      <c r="D156" s="211">
        <f>C156*$D$6/1000</f>
        <v>48.2016</v>
      </c>
    </row>
    <row r="157" spans="1:5" ht="15" customHeight="1">
      <c r="A157" s="47">
        <v>454</v>
      </c>
      <c r="B157" s="5" t="s">
        <v>173</v>
      </c>
      <c r="C157" s="144">
        <v>0</v>
      </c>
      <c r="D157" s="153">
        <f>C157*$D$6/1000</f>
        <v>0</v>
      </c>
      <c r="E157" s="25"/>
    </row>
    <row r="158" spans="1:4" ht="13.5" customHeight="1" thickBot="1">
      <c r="A158" s="201">
        <v>513</v>
      </c>
      <c r="B158" s="202" t="s">
        <v>183</v>
      </c>
      <c r="C158" s="203">
        <v>200666</v>
      </c>
      <c r="D158" s="204">
        <f>C158*$D$6/1000</f>
        <v>6045.263916</v>
      </c>
    </row>
    <row r="159" spans="1:4" ht="17.25" customHeight="1" thickBot="1">
      <c r="A159" s="435" t="s">
        <v>142</v>
      </c>
      <c r="B159" s="436"/>
      <c r="C159" s="208">
        <f>SUM(C160:C161)</f>
        <v>2965</v>
      </c>
      <c r="D159" s="208">
        <f>SUM(D160:D161)</f>
        <v>89.32359000000001</v>
      </c>
    </row>
    <row r="160" spans="1:4" ht="15" customHeight="1">
      <c r="A160" s="231">
        <v>821</v>
      </c>
      <c r="B160" s="212" t="s">
        <v>202</v>
      </c>
      <c r="C160" s="232">
        <v>2434</v>
      </c>
      <c r="D160" s="218">
        <f>C160*$D$6/1000</f>
        <v>73.32668400000001</v>
      </c>
    </row>
    <row r="161" spans="1:7" ht="17.25" customHeight="1" thickBot="1">
      <c r="A161" s="205">
        <v>821</v>
      </c>
      <c r="B161" s="206" t="s">
        <v>135</v>
      </c>
      <c r="C161" s="196">
        <v>531</v>
      </c>
      <c r="D161" s="207">
        <f>C161*$D$6/1000</f>
        <v>15.996906000000001</v>
      </c>
      <c r="E161" s="12"/>
      <c r="F161" s="12"/>
      <c r="G161" s="25"/>
    </row>
    <row r="162" spans="1:6" ht="18" customHeight="1">
      <c r="A162" s="10"/>
      <c r="B162" s="11"/>
      <c r="C162" s="11"/>
      <c r="D162" s="12"/>
      <c r="E162" s="23"/>
      <c r="F162" s="12"/>
    </row>
    <row r="163" spans="1:6" ht="15.75">
      <c r="A163" s="10"/>
      <c r="B163" s="11"/>
      <c r="C163" s="11"/>
      <c r="D163" s="12"/>
      <c r="F163" s="23"/>
    </row>
    <row r="164" spans="1:4" ht="15.75">
      <c r="A164" s="10"/>
      <c r="B164" s="11"/>
      <c r="C164" s="11"/>
      <c r="D164" s="12"/>
    </row>
    <row r="165" spans="2:4" ht="12.75">
      <c r="B165" s="17"/>
      <c r="C165" s="17"/>
      <c r="D165" s="23"/>
    </row>
    <row r="166" spans="1:4" ht="23.25" customHeight="1" thickBot="1">
      <c r="A166" s="395" t="s">
        <v>143</v>
      </c>
      <c r="B166" s="396"/>
      <c r="C166" s="396"/>
      <c r="D166" s="396"/>
    </row>
    <row r="167" spans="1:8" ht="23.25" customHeight="1">
      <c r="A167" s="397" t="s">
        <v>1</v>
      </c>
      <c r="B167" s="398"/>
      <c r="C167" s="431" t="s">
        <v>190</v>
      </c>
      <c r="D167" s="431" t="s">
        <v>195</v>
      </c>
      <c r="H167" s="25"/>
    </row>
    <row r="168" spans="1:4" ht="22.5" customHeight="1" thickBot="1">
      <c r="A168" s="399"/>
      <c r="B168" s="400"/>
      <c r="C168" s="432"/>
      <c r="D168" s="432"/>
    </row>
    <row r="169" spans="1:4" ht="17.25" customHeight="1">
      <c r="A169" s="96" t="s">
        <v>81</v>
      </c>
      <c r="B169" s="28"/>
      <c r="C169" s="137">
        <f>C68</f>
        <v>1051399</v>
      </c>
      <c r="D169" s="137">
        <f>D68</f>
        <v>31674.446274</v>
      </c>
    </row>
    <row r="170" spans="1:4" ht="15">
      <c r="A170" s="54" t="s">
        <v>82</v>
      </c>
      <c r="B170" s="6"/>
      <c r="C170" s="138">
        <f>C125</f>
        <v>1050034</v>
      </c>
      <c r="D170" s="138">
        <f>D125</f>
        <v>31633.324283999995</v>
      </c>
    </row>
    <row r="171" spans="1:4" ht="15.75">
      <c r="A171" s="46"/>
      <c r="B171" s="24" t="s">
        <v>83</v>
      </c>
      <c r="C171" s="139">
        <f>C169-C170</f>
        <v>1365</v>
      </c>
      <c r="D171" s="139">
        <f>D169-D170</f>
        <v>41.12199000000692</v>
      </c>
    </row>
    <row r="172" spans="1:4" ht="15.75" customHeight="1">
      <c r="A172" s="54" t="s">
        <v>84</v>
      </c>
      <c r="B172" s="6"/>
      <c r="C172" s="138">
        <f>C131</f>
        <v>0</v>
      </c>
      <c r="D172" s="138">
        <f>D131</f>
        <v>0</v>
      </c>
    </row>
    <row r="173" spans="1:4" ht="15">
      <c r="A173" s="54" t="s">
        <v>85</v>
      </c>
      <c r="B173" s="6"/>
      <c r="C173" s="140">
        <f>C136</f>
        <v>200666</v>
      </c>
      <c r="D173" s="140">
        <f>D136</f>
        <v>6045.263916</v>
      </c>
    </row>
    <row r="174" spans="1:4" ht="15.75">
      <c r="A174" s="46"/>
      <c r="B174" s="26" t="s">
        <v>86</v>
      </c>
      <c r="C174" s="139">
        <f>C172-C173</f>
        <v>-200666</v>
      </c>
      <c r="D174" s="139">
        <f>D172-D173</f>
        <v>-6045.263916</v>
      </c>
    </row>
    <row r="175" spans="1:4" ht="15">
      <c r="A175" s="383" t="s">
        <v>137</v>
      </c>
      <c r="B175" s="384"/>
      <c r="C175" s="141">
        <f>C155</f>
        <v>202266</v>
      </c>
      <c r="D175" s="141">
        <f>D155</f>
        <v>6093.465516</v>
      </c>
    </row>
    <row r="176" spans="1:4" ht="15">
      <c r="A176" s="383" t="s">
        <v>136</v>
      </c>
      <c r="B176" s="384"/>
      <c r="C176" s="141">
        <f>C159</f>
        <v>2965</v>
      </c>
      <c r="D176" s="141">
        <f>D159</f>
        <v>89.32359000000001</v>
      </c>
    </row>
    <row r="177" spans="1:4" ht="16.5" thickBot="1">
      <c r="A177" s="55"/>
      <c r="B177" s="56" t="s">
        <v>138</v>
      </c>
      <c r="C177" s="142">
        <f>C175-C176</f>
        <v>199301</v>
      </c>
      <c r="D177" s="142">
        <f>D175-D176</f>
        <v>6004.141926</v>
      </c>
    </row>
    <row r="178" spans="1:4" ht="16.5" thickBot="1">
      <c r="A178" s="385" t="s">
        <v>87</v>
      </c>
      <c r="B178" s="386"/>
      <c r="C178" s="143">
        <f>C171+C174+C177</f>
        <v>0</v>
      </c>
      <c r="D178" s="143">
        <f>D171+D174+D177</f>
        <v>7.275957614183426E-12</v>
      </c>
    </row>
    <row r="179" ht="12.75">
      <c r="D179" s="71"/>
    </row>
    <row r="180" spans="2:4" ht="12.75">
      <c r="B180" s="27" t="s">
        <v>88</v>
      </c>
      <c r="C180" s="71">
        <f>C169+C172+C175</f>
        <v>1253665</v>
      </c>
      <c r="D180" s="71">
        <f>D169+D172+D175</f>
        <v>37767.91179</v>
      </c>
    </row>
    <row r="181" spans="2:4" ht="12.75">
      <c r="B181" s="27" t="s">
        <v>89</v>
      </c>
      <c r="C181" s="71">
        <f>C170+C173+C176</f>
        <v>1253665</v>
      </c>
      <c r="D181" s="71">
        <f>D170+D173+D176</f>
        <v>37767.91179</v>
      </c>
    </row>
    <row r="182" spans="2:4" ht="12.75">
      <c r="B182" s="27"/>
      <c r="C182" s="71"/>
      <c r="D182" s="71"/>
    </row>
    <row r="183" spans="2:4" ht="12.75">
      <c r="B183" s="27" t="s">
        <v>150</v>
      </c>
      <c r="C183" s="71">
        <f>C180-C67</f>
        <v>1251991</v>
      </c>
      <c r="D183" s="71">
        <f>D180-D67</f>
        <v>37717.480866</v>
      </c>
    </row>
    <row r="184" spans="2:4" ht="12.75">
      <c r="B184" s="27" t="s">
        <v>154</v>
      </c>
      <c r="C184" s="71">
        <f>C181-C124</f>
        <v>946191</v>
      </c>
      <c r="D184" s="71">
        <f>D181-D124</f>
        <v>28504.950065999998</v>
      </c>
    </row>
  </sheetData>
  <sheetProtection/>
  <mergeCells count="37">
    <mergeCell ref="A175:B175"/>
    <mergeCell ref="A176:B176"/>
    <mergeCell ref="A178:B178"/>
    <mergeCell ref="C71:C72"/>
    <mergeCell ref="C129:C130"/>
    <mergeCell ref="C153:C154"/>
    <mergeCell ref="C167:C168"/>
    <mergeCell ref="A155:B155"/>
    <mergeCell ref="A159:B159"/>
    <mergeCell ref="A166:D166"/>
    <mergeCell ref="A167:B168"/>
    <mergeCell ref="D167:D168"/>
    <mergeCell ref="A136:B136"/>
    <mergeCell ref="A152:D152"/>
    <mergeCell ref="A153:B154"/>
    <mergeCell ref="D153:D154"/>
    <mergeCell ref="A129:B130"/>
    <mergeCell ref="D129:D130"/>
    <mergeCell ref="A131:B131"/>
    <mergeCell ref="A79:B79"/>
    <mergeCell ref="A105:B105"/>
    <mergeCell ref="A124:B124"/>
    <mergeCell ref="A128:D128"/>
    <mergeCell ref="A71:B72"/>
    <mergeCell ref="D71:D72"/>
    <mergeCell ref="A77:B77"/>
    <mergeCell ref="A19:B19"/>
    <mergeCell ref="A38:B38"/>
    <mergeCell ref="A40:B40"/>
    <mergeCell ref="A70:D70"/>
    <mergeCell ref="A10:B10"/>
    <mergeCell ref="C8:C9"/>
    <mergeCell ref="A1:D1"/>
    <mergeCell ref="A2:D2"/>
    <mergeCell ref="A7:D7"/>
    <mergeCell ref="A8:B9"/>
    <mergeCell ref="D8:D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200">
      <selection activeCell="B188" sqref="B188"/>
    </sheetView>
  </sheetViews>
  <sheetFormatPr defaultColWidth="9.00390625" defaultRowHeight="12.75"/>
  <cols>
    <col min="1" max="1" width="6.625" style="0" customWidth="1"/>
    <col min="2" max="2" width="41.00390625" style="0" customWidth="1"/>
    <col min="3" max="3" width="12.375" style="0" customWidth="1"/>
    <col min="4" max="6" width="11.75390625" style="0" customWidth="1"/>
    <col min="7" max="7" width="12.875" style="0" bestFit="1" customWidth="1"/>
    <col min="8" max="8" width="9.375" style="0" bestFit="1" customWidth="1"/>
    <col min="9" max="9" width="13.375" style="0" bestFit="1" customWidth="1"/>
  </cols>
  <sheetData>
    <row r="1" spans="1:8" ht="20.25">
      <c r="A1" s="426" t="s">
        <v>189</v>
      </c>
      <c r="B1" s="426"/>
      <c r="C1" s="426"/>
      <c r="D1" s="426"/>
      <c r="E1" s="426"/>
      <c r="F1" s="426"/>
      <c r="G1" s="426"/>
      <c r="H1" s="1"/>
    </row>
    <row r="2" spans="1:8" ht="15.75">
      <c r="A2" s="437"/>
      <c r="B2" s="437"/>
      <c r="C2" s="437"/>
      <c r="D2" s="437"/>
      <c r="E2" s="437"/>
      <c r="F2" s="437"/>
      <c r="G2" s="437"/>
      <c r="H2" s="2"/>
    </row>
    <row r="3" spans="1:8" ht="12.75">
      <c r="A3" t="s">
        <v>211</v>
      </c>
      <c r="H3" s="81"/>
    </row>
    <row r="4" spans="1:8" ht="12.75">
      <c r="A4" t="s">
        <v>235</v>
      </c>
      <c r="B4" s="91"/>
      <c r="C4" s="91"/>
      <c r="D4" s="91"/>
      <c r="E4" s="91"/>
      <c r="F4" s="91"/>
      <c r="G4" s="91"/>
      <c r="H4" s="81"/>
    </row>
    <row r="5" spans="1:8" ht="12.75">
      <c r="A5" t="s">
        <v>246</v>
      </c>
      <c r="B5" s="91"/>
      <c r="C5" s="91"/>
      <c r="D5" s="91"/>
      <c r="E5" s="91"/>
      <c r="F5" s="91"/>
      <c r="G5" s="91"/>
      <c r="H5" s="81"/>
    </row>
    <row r="6" spans="1:8" ht="12.75">
      <c r="A6" t="s">
        <v>253</v>
      </c>
      <c r="B6" s="91"/>
      <c r="C6" s="91"/>
      <c r="D6" s="91"/>
      <c r="E6" s="91"/>
      <c r="F6" s="91"/>
      <c r="G6" s="91"/>
      <c r="H6" s="81"/>
    </row>
    <row r="7" spans="1:8" ht="12.75">
      <c r="A7" s="81" t="s">
        <v>164</v>
      </c>
      <c r="B7" s="81"/>
      <c r="C7" s="81"/>
      <c r="D7" s="81"/>
      <c r="E7" s="81"/>
      <c r="F7" s="81"/>
      <c r="G7" s="81"/>
      <c r="H7" s="81"/>
    </row>
    <row r="8" spans="7:8" ht="12.75">
      <c r="G8" s="443">
        <v>30.126</v>
      </c>
      <c r="H8" s="15"/>
    </row>
    <row r="9" spans="1:8" ht="18.75" thickBot="1">
      <c r="A9" s="424" t="s">
        <v>0</v>
      </c>
      <c r="B9" s="425"/>
      <c r="C9" s="425"/>
      <c r="D9" s="425"/>
      <c r="E9" s="425"/>
      <c r="F9" s="425"/>
      <c r="G9" s="425"/>
      <c r="H9" s="425"/>
    </row>
    <row r="10" spans="1:8" ht="12.75">
      <c r="A10" s="397" t="s">
        <v>1</v>
      </c>
      <c r="B10" s="398"/>
      <c r="C10" s="389" t="s">
        <v>190</v>
      </c>
      <c r="D10" s="429" t="s">
        <v>226</v>
      </c>
      <c r="E10" s="429" t="s">
        <v>236</v>
      </c>
      <c r="F10" s="429" t="s">
        <v>257</v>
      </c>
      <c r="G10" s="429" t="s">
        <v>252</v>
      </c>
      <c r="H10" s="433" t="s">
        <v>194</v>
      </c>
    </row>
    <row r="11" spans="1:8" ht="13.5" thickBot="1">
      <c r="A11" s="420"/>
      <c r="B11" s="421"/>
      <c r="C11" s="401"/>
      <c r="D11" s="430"/>
      <c r="E11" s="430"/>
      <c r="F11" s="430"/>
      <c r="G11" s="430"/>
      <c r="H11" s="438"/>
    </row>
    <row r="12" spans="1:8" ht="13.5" thickBot="1">
      <c r="A12" s="422" t="s">
        <v>2</v>
      </c>
      <c r="B12" s="423"/>
      <c r="C12" s="186">
        <f aca="true" t="shared" si="0" ref="C12:H12">SUM(C13:C20)</f>
        <v>620562</v>
      </c>
      <c r="D12" s="186">
        <f t="shared" si="0"/>
        <v>620592</v>
      </c>
      <c r="E12" s="186">
        <f t="shared" si="0"/>
        <v>620912</v>
      </c>
      <c r="F12" s="186">
        <f t="shared" si="0"/>
        <v>582942</v>
      </c>
      <c r="G12" s="186">
        <f t="shared" si="0"/>
        <v>579423</v>
      </c>
      <c r="H12" s="186">
        <f t="shared" si="0"/>
        <v>18705.594912</v>
      </c>
    </row>
    <row r="13" spans="1:8" ht="13.5" thickBot="1">
      <c r="A13" s="65">
        <v>111</v>
      </c>
      <c r="B13" s="33" t="s">
        <v>3</v>
      </c>
      <c r="C13" s="192">
        <v>580000</v>
      </c>
      <c r="D13" s="275">
        <v>580000</v>
      </c>
      <c r="E13" s="275">
        <v>580000</v>
      </c>
      <c r="F13" s="365">
        <v>540000</v>
      </c>
      <c r="G13" s="358">
        <v>537246</v>
      </c>
      <c r="H13" s="359">
        <f aca="true" t="shared" si="1" ref="H13:H20">E13*$G$8/1000</f>
        <v>17473.08</v>
      </c>
    </row>
    <row r="14" spans="1:8" ht="12.75">
      <c r="A14" s="116">
        <v>121</v>
      </c>
      <c r="B14" s="28" t="s">
        <v>90</v>
      </c>
      <c r="C14" s="161">
        <v>13200</v>
      </c>
      <c r="D14" s="276">
        <v>13200</v>
      </c>
      <c r="E14" s="276">
        <v>13200</v>
      </c>
      <c r="F14" s="366">
        <v>12200</v>
      </c>
      <c r="G14" s="156">
        <v>12133</v>
      </c>
      <c r="H14" s="350">
        <f t="shared" si="1"/>
        <v>397.6632</v>
      </c>
    </row>
    <row r="15" spans="1:8" ht="12.75">
      <c r="A15" s="117">
        <v>121</v>
      </c>
      <c r="B15" s="6" t="s">
        <v>91</v>
      </c>
      <c r="C15" s="157">
        <v>12900</v>
      </c>
      <c r="D15" s="140">
        <v>12900</v>
      </c>
      <c r="E15" s="140">
        <v>12900</v>
      </c>
      <c r="F15" s="367">
        <v>13900</v>
      </c>
      <c r="G15" s="151">
        <v>13223</v>
      </c>
      <c r="H15" s="350">
        <f t="shared" si="1"/>
        <v>388.6254</v>
      </c>
    </row>
    <row r="16" spans="1:9" ht="13.5" thickBot="1">
      <c r="A16" s="118">
        <v>121</v>
      </c>
      <c r="B16" s="29" t="s">
        <v>4</v>
      </c>
      <c r="C16" s="166">
        <v>72</v>
      </c>
      <c r="D16" s="277">
        <v>72</v>
      </c>
      <c r="E16" s="277">
        <v>72</v>
      </c>
      <c r="F16" s="277">
        <v>72</v>
      </c>
      <c r="G16" s="357">
        <v>68</v>
      </c>
      <c r="H16" s="350">
        <f t="shared" si="1"/>
        <v>2.1690720000000003</v>
      </c>
      <c r="I16" s="195">
        <f>SUM(D14:D16)</f>
        <v>26172</v>
      </c>
    </row>
    <row r="17" spans="1:8" ht="12.75">
      <c r="A17" s="116">
        <v>133</v>
      </c>
      <c r="B17" s="28" t="s">
        <v>5</v>
      </c>
      <c r="C17" s="161">
        <v>480</v>
      </c>
      <c r="D17" s="276">
        <v>480</v>
      </c>
      <c r="E17" s="300">
        <v>500</v>
      </c>
      <c r="F17" s="300">
        <v>510</v>
      </c>
      <c r="G17" s="156">
        <v>507</v>
      </c>
      <c r="H17" s="350">
        <f t="shared" si="1"/>
        <v>15.063</v>
      </c>
    </row>
    <row r="18" spans="1:8" ht="12.75">
      <c r="A18" s="117">
        <v>133</v>
      </c>
      <c r="B18" s="6" t="s">
        <v>6</v>
      </c>
      <c r="C18" s="157">
        <v>210</v>
      </c>
      <c r="D18" s="298">
        <v>240</v>
      </c>
      <c r="E18" s="322">
        <v>240</v>
      </c>
      <c r="F18" s="368">
        <v>260</v>
      </c>
      <c r="G18" s="151">
        <v>256</v>
      </c>
      <c r="H18" s="350">
        <f t="shared" si="1"/>
        <v>7.230240000000001</v>
      </c>
    </row>
    <row r="19" spans="1:8" ht="12.75">
      <c r="A19" s="117">
        <v>133</v>
      </c>
      <c r="B19" s="6" t="s">
        <v>7</v>
      </c>
      <c r="C19" s="157">
        <v>1700</v>
      </c>
      <c r="D19" s="140">
        <v>1700</v>
      </c>
      <c r="E19" s="298">
        <v>2000</v>
      </c>
      <c r="F19" s="298">
        <v>2200</v>
      </c>
      <c r="G19" s="151">
        <v>2196</v>
      </c>
      <c r="H19" s="350">
        <f t="shared" si="1"/>
        <v>60.252</v>
      </c>
    </row>
    <row r="20" spans="1:9" ht="13.5" thickBot="1">
      <c r="A20" s="118">
        <v>133</v>
      </c>
      <c r="B20" s="29" t="s">
        <v>8</v>
      </c>
      <c r="C20" s="166">
        <v>12000</v>
      </c>
      <c r="D20" s="277">
        <v>12000</v>
      </c>
      <c r="E20" s="277">
        <v>12000</v>
      </c>
      <c r="F20" s="369">
        <v>13800</v>
      </c>
      <c r="G20" s="357">
        <v>13794</v>
      </c>
      <c r="H20" s="349">
        <f t="shared" si="1"/>
        <v>361.512</v>
      </c>
      <c r="I20" s="195">
        <f>SUM(D17:D20)</f>
        <v>14420</v>
      </c>
    </row>
    <row r="21" spans="1:8" ht="13.5" thickBot="1">
      <c r="A21" s="422" t="s">
        <v>9</v>
      </c>
      <c r="B21" s="423"/>
      <c r="C21" s="186">
        <f aca="true" t="shared" si="2" ref="C21:H21">SUM(C22:C39)</f>
        <v>78883</v>
      </c>
      <c r="D21" s="186">
        <f t="shared" si="2"/>
        <v>82683</v>
      </c>
      <c r="E21" s="186">
        <f t="shared" si="2"/>
        <v>91111</v>
      </c>
      <c r="F21" s="186">
        <f t="shared" si="2"/>
        <v>96282</v>
      </c>
      <c r="G21" s="186">
        <f t="shared" si="2"/>
        <v>84872</v>
      </c>
      <c r="H21" s="186">
        <f t="shared" si="2"/>
        <v>2744.809986</v>
      </c>
    </row>
    <row r="22" spans="1:8" ht="12.75">
      <c r="A22" s="119">
        <v>212</v>
      </c>
      <c r="B22" s="45" t="s">
        <v>10</v>
      </c>
      <c r="C22" s="176">
        <v>477</v>
      </c>
      <c r="D22" s="278">
        <v>477</v>
      </c>
      <c r="E22" s="278">
        <v>477</v>
      </c>
      <c r="F22" s="278">
        <v>477</v>
      </c>
      <c r="G22" s="278">
        <v>311</v>
      </c>
      <c r="H22" s="270">
        <f aca="true" t="shared" si="3" ref="H22:H39">E22*$G$8/1000</f>
        <v>14.370102000000001</v>
      </c>
    </row>
    <row r="23" spans="1:8" ht="12.75">
      <c r="A23" s="116">
        <v>212</v>
      </c>
      <c r="B23" s="28" t="s">
        <v>144</v>
      </c>
      <c r="C23" s="161">
        <v>100</v>
      </c>
      <c r="D23" s="300">
        <v>900</v>
      </c>
      <c r="E23" s="321">
        <v>900</v>
      </c>
      <c r="F23" s="370">
        <v>1200</v>
      </c>
      <c r="G23" s="321">
        <v>1171</v>
      </c>
      <c r="H23" s="270">
        <f t="shared" si="3"/>
        <v>27.113400000000002</v>
      </c>
    </row>
    <row r="24" spans="1:8" ht="12.75">
      <c r="A24" s="117">
        <v>212</v>
      </c>
      <c r="B24" s="6" t="s">
        <v>11</v>
      </c>
      <c r="C24" s="157">
        <v>3684</v>
      </c>
      <c r="D24" s="140">
        <v>3684</v>
      </c>
      <c r="E24" s="140">
        <v>3684</v>
      </c>
      <c r="F24" s="140">
        <v>3684</v>
      </c>
      <c r="G24" s="140">
        <v>3681</v>
      </c>
      <c r="H24" s="270">
        <f t="shared" si="3"/>
        <v>110.98418400000001</v>
      </c>
    </row>
    <row r="25" spans="1:9" ht="12.75">
      <c r="A25" s="117">
        <v>212</v>
      </c>
      <c r="B25" s="6" t="s">
        <v>12</v>
      </c>
      <c r="C25" s="157">
        <v>9942</v>
      </c>
      <c r="D25" s="298">
        <v>10042</v>
      </c>
      <c r="E25" s="304">
        <v>10070</v>
      </c>
      <c r="F25" s="304">
        <v>12310</v>
      </c>
      <c r="G25" s="140">
        <v>12008</v>
      </c>
      <c r="H25" s="270">
        <f t="shared" si="3"/>
        <v>303.36882</v>
      </c>
      <c r="I25" s="66"/>
    </row>
    <row r="26" spans="1:9" ht="13.5" thickBot="1">
      <c r="A26" s="120">
        <v>212</v>
      </c>
      <c r="B26" s="32" t="s">
        <v>163</v>
      </c>
      <c r="C26" s="188">
        <v>20</v>
      </c>
      <c r="D26" s="279">
        <v>20</v>
      </c>
      <c r="E26" s="279">
        <v>20</v>
      </c>
      <c r="F26" s="279">
        <v>20</v>
      </c>
      <c r="G26" s="279">
        <v>0</v>
      </c>
      <c r="H26" s="270">
        <f t="shared" si="3"/>
        <v>0.60252</v>
      </c>
      <c r="I26" s="195">
        <f>SUM(G22:G26)</f>
        <v>17171</v>
      </c>
    </row>
    <row r="27" spans="1:8" ht="13.5" thickBot="1">
      <c r="A27" s="121">
        <v>221</v>
      </c>
      <c r="B27" s="30" t="s">
        <v>13</v>
      </c>
      <c r="C27" s="191">
        <v>9900</v>
      </c>
      <c r="D27" s="280">
        <v>9900</v>
      </c>
      <c r="E27" s="280">
        <v>9900</v>
      </c>
      <c r="F27" s="280">
        <v>9900</v>
      </c>
      <c r="G27" s="280">
        <v>2629</v>
      </c>
      <c r="H27" s="270">
        <f t="shared" si="3"/>
        <v>298.2474</v>
      </c>
    </row>
    <row r="28" spans="1:8" ht="13.5" thickBot="1">
      <c r="A28" s="121">
        <v>222</v>
      </c>
      <c r="B28" s="30" t="s">
        <v>145</v>
      </c>
      <c r="C28" s="191">
        <v>100</v>
      </c>
      <c r="D28" s="280">
        <v>100</v>
      </c>
      <c r="E28" s="280">
        <v>100</v>
      </c>
      <c r="F28" s="280">
        <v>100</v>
      </c>
      <c r="G28" s="280">
        <v>100</v>
      </c>
      <c r="H28" s="270">
        <f t="shared" si="3"/>
        <v>3.0126</v>
      </c>
    </row>
    <row r="29" spans="1:8" ht="12.75">
      <c r="A29" s="116">
        <v>223</v>
      </c>
      <c r="B29" s="28" t="s">
        <v>227</v>
      </c>
      <c r="C29" s="161">
        <v>500</v>
      </c>
      <c r="D29" s="276">
        <v>500</v>
      </c>
      <c r="E29" s="300">
        <v>750</v>
      </c>
      <c r="F29" s="300">
        <v>781</v>
      </c>
      <c r="G29" s="276">
        <v>772</v>
      </c>
      <c r="H29" s="270">
        <f t="shared" si="3"/>
        <v>22.5945</v>
      </c>
    </row>
    <row r="30" spans="1:8" ht="12.75">
      <c r="A30" s="117">
        <v>223</v>
      </c>
      <c r="B30" s="6" t="s">
        <v>92</v>
      </c>
      <c r="C30" s="157">
        <v>810</v>
      </c>
      <c r="D30" s="140">
        <v>810</v>
      </c>
      <c r="E30" s="140">
        <v>810</v>
      </c>
      <c r="F30" s="140">
        <v>810</v>
      </c>
      <c r="G30" s="140">
        <v>360</v>
      </c>
      <c r="H30" s="270">
        <f t="shared" si="3"/>
        <v>24.402060000000002</v>
      </c>
    </row>
    <row r="31" spans="1:8" ht="12.75">
      <c r="A31" s="117">
        <v>223</v>
      </c>
      <c r="B31" s="6" t="s">
        <v>16</v>
      </c>
      <c r="C31" s="157">
        <v>5000</v>
      </c>
      <c r="D31" s="140">
        <v>5000</v>
      </c>
      <c r="E31" s="298">
        <v>6000</v>
      </c>
      <c r="F31" s="298">
        <v>7600</v>
      </c>
      <c r="G31" s="140">
        <v>7575</v>
      </c>
      <c r="H31" s="270">
        <f t="shared" si="3"/>
        <v>180.756</v>
      </c>
    </row>
    <row r="32" spans="1:8" ht="12.75">
      <c r="A32" s="117">
        <v>223</v>
      </c>
      <c r="B32" s="6" t="s">
        <v>161</v>
      </c>
      <c r="C32" s="157">
        <v>10100</v>
      </c>
      <c r="D32" s="298">
        <v>11000</v>
      </c>
      <c r="E32" s="304">
        <v>17650</v>
      </c>
      <c r="F32" s="371">
        <v>17650</v>
      </c>
      <c r="G32" s="140">
        <v>17509</v>
      </c>
      <c r="H32" s="270">
        <f t="shared" si="3"/>
        <v>531.7239000000001</v>
      </c>
    </row>
    <row r="33" spans="1:8" ht="12.75">
      <c r="A33" s="117">
        <v>223</v>
      </c>
      <c r="B33" s="6" t="s">
        <v>93</v>
      </c>
      <c r="C33" s="157">
        <v>1500</v>
      </c>
      <c r="D33" s="140">
        <v>1500</v>
      </c>
      <c r="E33" s="298">
        <v>2000</v>
      </c>
      <c r="F33" s="372">
        <v>2000</v>
      </c>
      <c r="G33" s="140">
        <v>1919</v>
      </c>
      <c r="H33" s="270">
        <f t="shared" si="3"/>
        <v>60.252</v>
      </c>
    </row>
    <row r="34" spans="1:8" ht="12.75">
      <c r="A34" s="117">
        <v>223</v>
      </c>
      <c r="B34" s="6" t="s">
        <v>15</v>
      </c>
      <c r="C34" s="157">
        <v>650</v>
      </c>
      <c r="D34" s="140">
        <v>650</v>
      </c>
      <c r="E34" s="140">
        <v>650</v>
      </c>
      <c r="F34" s="140">
        <v>650</v>
      </c>
      <c r="G34" s="140">
        <v>610</v>
      </c>
      <c r="H34" s="270">
        <f t="shared" si="3"/>
        <v>19.5819</v>
      </c>
    </row>
    <row r="35" spans="1:8" ht="12.75">
      <c r="A35" s="117">
        <v>223</v>
      </c>
      <c r="B35" s="6" t="s">
        <v>176</v>
      </c>
      <c r="C35" s="157">
        <v>17400</v>
      </c>
      <c r="D35" s="298">
        <v>19400</v>
      </c>
      <c r="E35" s="324">
        <v>19400</v>
      </c>
      <c r="F35" s="324">
        <v>19400</v>
      </c>
      <c r="G35" s="322">
        <v>17641</v>
      </c>
      <c r="H35" s="270">
        <f t="shared" si="3"/>
        <v>584.4444</v>
      </c>
    </row>
    <row r="36" spans="1:8" ht="12.75">
      <c r="A36" s="117">
        <v>223</v>
      </c>
      <c r="B36" s="6" t="s">
        <v>94</v>
      </c>
      <c r="C36" s="157">
        <v>6600</v>
      </c>
      <c r="D36" s="140">
        <v>6600</v>
      </c>
      <c r="E36" s="140">
        <v>6600</v>
      </c>
      <c r="F36" s="140">
        <v>6600</v>
      </c>
      <c r="G36" s="140">
        <v>5649</v>
      </c>
      <c r="H36" s="270">
        <f t="shared" si="3"/>
        <v>198.8316</v>
      </c>
    </row>
    <row r="37" spans="1:8" ht="12.75">
      <c r="A37" s="117">
        <v>223</v>
      </c>
      <c r="B37" s="6" t="s">
        <v>95</v>
      </c>
      <c r="C37" s="157">
        <v>1000</v>
      </c>
      <c r="D37" s="140">
        <v>1000</v>
      </c>
      <c r="E37" s="140">
        <v>1000</v>
      </c>
      <c r="F37" s="140">
        <v>1000</v>
      </c>
      <c r="G37" s="140">
        <v>938</v>
      </c>
      <c r="H37" s="270">
        <f t="shared" si="3"/>
        <v>30.126</v>
      </c>
    </row>
    <row r="38" spans="1:8" ht="12.75">
      <c r="A38" s="117">
        <v>223</v>
      </c>
      <c r="B38" s="6" t="s">
        <v>228</v>
      </c>
      <c r="C38" s="157">
        <v>11000</v>
      </c>
      <c r="D38" s="140">
        <v>11000</v>
      </c>
      <c r="E38" s="140">
        <v>11000</v>
      </c>
      <c r="F38" s="368">
        <v>12000</v>
      </c>
      <c r="G38" s="140">
        <v>11999</v>
      </c>
      <c r="H38" s="270">
        <f t="shared" si="3"/>
        <v>331.386</v>
      </c>
    </row>
    <row r="39" spans="1:9" ht="13.5" thickBot="1">
      <c r="A39" s="118">
        <v>223</v>
      </c>
      <c r="B39" s="29" t="s">
        <v>17</v>
      </c>
      <c r="C39" s="166">
        <v>100</v>
      </c>
      <c r="D39" s="277">
        <v>100</v>
      </c>
      <c r="E39" s="277">
        <v>100</v>
      </c>
      <c r="F39" s="277">
        <v>100</v>
      </c>
      <c r="G39" s="277">
        <v>0</v>
      </c>
      <c r="H39" s="270">
        <f t="shared" si="3"/>
        <v>3.0126</v>
      </c>
      <c r="I39" s="4">
        <f>SUM(G29:G39)</f>
        <v>64972</v>
      </c>
    </row>
    <row r="40" spans="1:9" ht="13.5" thickBot="1">
      <c r="A40" s="422" t="s">
        <v>18</v>
      </c>
      <c r="B40" s="423"/>
      <c r="C40" s="186">
        <f aca="true" t="shared" si="4" ref="C40:H40">SUM(C41)</f>
        <v>1100</v>
      </c>
      <c r="D40" s="186">
        <f t="shared" si="4"/>
        <v>1100</v>
      </c>
      <c r="E40" s="186">
        <f t="shared" si="4"/>
        <v>1100</v>
      </c>
      <c r="F40" s="186">
        <f t="shared" si="4"/>
        <v>1100</v>
      </c>
      <c r="G40" s="186">
        <f t="shared" si="4"/>
        <v>722</v>
      </c>
      <c r="H40" s="186">
        <f t="shared" si="4"/>
        <v>33.1386</v>
      </c>
      <c r="I40" s="195">
        <f>SUM(D29:D39)</f>
        <v>57560</v>
      </c>
    </row>
    <row r="41" spans="1:8" ht="13.5" thickBot="1">
      <c r="A41" s="205">
        <v>240</v>
      </c>
      <c r="B41" s="32" t="s">
        <v>19</v>
      </c>
      <c r="C41" s="188">
        <v>1100</v>
      </c>
      <c r="D41" s="279">
        <v>1100</v>
      </c>
      <c r="E41" s="279">
        <v>1100</v>
      </c>
      <c r="F41" s="279">
        <v>1100</v>
      </c>
      <c r="G41" s="279">
        <v>722</v>
      </c>
      <c r="H41" s="270">
        <f>E41*$G$8/1000</f>
        <v>33.1386</v>
      </c>
    </row>
    <row r="42" spans="1:8" ht="13.5" thickBot="1">
      <c r="A42" s="422" t="s">
        <v>14</v>
      </c>
      <c r="B42" s="423"/>
      <c r="C42" s="186">
        <f aca="true" t="shared" si="5" ref="C42:H42">SUM(C43:C54)</f>
        <v>21640</v>
      </c>
      <c r="D42" s="186">
        <f t="shared" si="5"/>
        <v>35004</v>
      </c>
      <c r="E42" s="186">
        <f t="shared" si="5"/>
        <v>32906</v>
      </c>
      <c r="F42" s="186">
        <f t="shared" si="5"/>
        <v>37765</v>
      </c>
      <c r="G42" s="186">
        <f t="shared" si="5"/>
        <v>28171</v>
      </c>
      <c r="H42" s="186">
        <f t="shared" si="5"/>
        <v>991.326156</v>
      </c>
    </row>
    <row r="43" spans="1:8" ht="12.75">
      <c r="A43" s="123">
        <v>292</v>
      </c>
      <c r="B43" s="31" t="s">
        <v>157</v>
      </c>
      <c r="C43" s="162">
        <v>0</v>
      </c>
      <c r="D43" s="317">
        <v>200</v>
      </c>
      <c r="E43" s="211">
        <v>200</v>
      </c>
      <c r="F43" s="211">
        <v>200</v>
      </c>
      <c r="G43" s="211">
        <v>142</v>
      </c>
      <c r="H43" s="270">
        <f aca="true" t="shared" si="6" ref="H43:H54">E43*$G$8/1000</f>
        <v>6.0252</v>
      </c>
    </row>
    <row r="44" spans="1:9" ht="12.75">
      <c r="A44" s="123">
        <v>292</v>
      </c>
      <c r="B44" s="31" t="s">
        <v>101</v>
      </c>
      <c r="C44" s="162">
        <v>400</v>
      </c>
      <c r="D44" s="211">
        <v>400</v>
      </c>
      <c r="E44" s="211">
        <v>400</v>
      </c>
      <c r="F44" s="211">
        <v>400</v>
      </c>
      <c r="G44" s="211">
        <v>124</v>
      </c>
      <c r="H44" s="270">
        <f t="shared" si="6"/>
        <v>12.0504</v>
      </c>
      <c r="I44" s="15"/>
    </row>
    <row r="45" spans="1:8" ht="12.75">
      <c r="A45" s="124">
        <v>292</v>
      </c>
      <c r="B45" s="7" t="s">
        <v>162</v>
      </c>
      <c r="C45" s="178">
        <v>0</v>
      </c>
      <c r="D45" s="318">
        <f>106+1008</f>
        <v>1114</v>
      </c>
      <c r="E45" s="318">
        <f>106+1008+36</f>
        <v>1150</v>
      </c>
      <c r="F45" s="153">
        <f>106+1008+36</f>
        <v>1150</v>
      </c>
      <c r="G45" s="153">
        <f>1114+36</f>
        <v>1150</v>
      </c>
      <c r="H45" s="270">
        <f t="shared" si="6"/>
        <v>34.6449</v>
      </c>
    </row>
    <row r="46" spans="1:8" ht="12.75">
      <c r="A46" s="124">
        <v>292</v>
      </c>
      <c r="B46" s="6" t="s">
        <v>98</v>
      </c>
      <c r="C46" s="189">
        <v>140</v>
      </c>
      <c r="D46" s="281">
        <v>140</v>
      </c>
      <c r="E46" s="281">
        <v>140</v>
      </c>
      <c r="F46" s="281">
        <v>140</v>
      </c>
      <c r="G46" s="281">
        <v>139</v>
      </c>
      <c r="H46" s="270">
        <f t="shared" si="6"/>
        <v>4.21764</v>
      </c>
    </row>
    <row r="47" spans="1:8" ht="12.75">
      <c r="A47" s="124">
        <v>292</v>
      </c>
      <c r="B47" s="7" t="s">
        <v>165</v>
      </c>
      <c r="C47" s="178">
        <v>6800</v>
      </c>
      <c r="D47" s="153">
        <v>6800</v>
      </c>
      <c r="E47" s="153">
        <v>6800</v>
      </c>
      <c r="F47" s="373">
        <v>7100</v>
      </c>
      <c r="G47" s="153">
        <f>2382+4671</f>
        <v>7053</v>
      </c>
      <c r="H47" s="270">
        <f t="shared" si="6"/>
        <v>204.85680000000002</v>
      </c>
    </row>
    <row r="48" spans="1:8" ht="12.75">
      <c r="A48" s="124">
        <v>292</v>
      </c>
      <c r="B48" s="7" t="s">
        <v>146</v>
      </c>
      <c r="C48" s="178">
        <v>200</v>
      </c>
      <c r="D48" s="153">
        <v>200</v>
      </c>
      <c r="E48" s="153">
        <v>200</v>
      </c>
      <c r="F48" s="153">
        <v>200</v>
      </c>
      <c r="G48" s="153">
        <v>183</v>
      </c>
      <c r="H48" s="270">
        <f t="shared" si="6"/>
        <v>6.0252</v>
      </c>
    </row>
    <row r="49" spans="1:8" ht="12.75">
      <c r="A49" s="124">
        <v>292</v>
      </c>
      <c r="B49" s="7" t="s">
        <v>237</v>
      </c>
      <c r="C49" s="178">
        <v>0</v>
      </c>
      <c r="D49" s="318">
        <v>12000</v>
      </c>
      <c r="E49" s="318">
        <v>8035</v>
      </c>
      <c r="F49" s="153">
        <v>8035</v>
      </c>
      <c r="G49" s="153">
        <v>5740</v>
      </c>
      <c r="H49" s="270">
        <f t="shared" si="6"/>
        <v>242.06241</v>
      </c>
    </row>
    <row r="50" spans="1:8" ht="12.75">
      <c r="A50" s="124">
        <v>292</v>
      </c>
      <c r="B50" s="6" t="s">
        <v>102</v>
      </c>
      <c r="C50" s="189">
        <v>12000</v>
      </c>
      <c r="D50" s="281">
        <v>12000</v>
      </c>
      <c r="E50" s="281">
        <v>12000</v>
      </c>
      <c r="F50" s="281">
        <v>12000</v>
      </c>
      <c r="G50" s="281">
        <v>5854</v>
      </c>
      <c r="H50" s="270">
        <f t="shared" si="6"/>
        <v>361.512</v>
      </c>
    </row>
    <row r="51" spans="1:8" ht="12.75">
      <c r="A51" s="124">
        <v>292</v>
      </c>
      <c r="B51" s="6" t="s">
        <v>99</v>
      </c>
      <c r="C51" s="189">
        <v>2000</v>
      </c>
      <c r="D51" s="281">
        <v>2000</v>
      </c>
      <c r="E51" s="344">
        <v>1965</v>
      </c>
      <c r="F51" s="344">
        <f>1965-575</f>
        <v>1390</v>
      </c>
      <c r="G51" s="281">
        <v>718</v>
      </c>
      <c r="H51" s="270">
        <f t="shared" si="6"/>
        <v>59.197590000000005</v>
      </c>
    </row>
    <row r="52" spans="1:8" ht="12.75">
      <c r="A52" s="124">
        <v>292</v>
      </c>
      <c r="B52" s="6" t="s">
        <v>240</v>
      </c>
      <c r="C52" s="189">
        <v>0</v>
      </c>
      <c r="D52" s="281">
        <v>0</v>
      </c>
      <c r="E52" s="344">
        <v>1866</v>
      </c>
      <c r="F52" s="344">
        <v>7000</v>
      </c>
      <c r="G52" s="281">
        <v>6967</v>
      </c>
      <c r="H52" s="270">
        <f t="shared" si="6"/>
        <v>56.215116</v>
      </c>
    </row>
    <row r="53" spans="1:8" ht="12.75">
      <c r="A53" s="124">
        <v>292</v>
      </c>
      <c r="B53" s="6" t="s">
        <v>100</v>
      </c>
      <c r="C53" s="189">
        <v>100</v>
      </c>
      <c r="D53" s="281">
        <v>100</v>
      </c>
      <c r="E53" s="281">
        <v>100</v>
      </c>
      <c r="F53" s="281">
        <v>100</v>
      </c>
      <c r="G53" s="281">
        <v>90</v>
      </c>
      <c r="H53" s="270">
        <f t="shared" si="6"/>
        <v>3.0126</v>
      </c>
    </row>
    <row r="54" spans="1:8" ht="13.5" thickBot="1">
      <c r="A54" s="125">
        <v>292</v>
      </c>
      <c r="B54" s="32" t="s">
        <v>149</v>
      </c>
      <c r="C54" s="190">
        <v>0</v>
      </c>
      <c r="D54" s="319">
        <v>50</v>
      </c>
      <c r="E54" s="323">
        <v>50</v>
      </c>
      <c r="F54" s="323">
        <v>50</v>
      </c>
      <c r="G54" s="323">
        <v>11</v>
      </c>
      <c r="H54" s="270">
        <f t="shared" si="6"/>
        <v>1.5063</v>
      </c>
    </row>
    <row r="55" spans="1:8" ht="13.5" thickBot="1">
      <c r="A55" s="57" t="s">
        <v>20</v>
      </c>
      <c r="B55" s="58"/>
      <c r="C55" s="182">
        <f aca="true" t="shared" si="7" ref="C55:H55">SUM(C56:C71)</f>
        <v>327540</v>
      </c>
      <c r="D55" s="182">
        <f t="shared" si="7"/>
        <v>378957</v>
      </c>
      <c r="E55" s="182">
        <f t="shared" si="7"/>
        <v>378868</v>
      </c>
      <c r="F55" s="182">
        <f t="shared" si="7"/>
        <v>401830</v>
      </c>
      <c r="G55" s="182">
        <f t="shared" si="7"/>
        <v>400003</v>
      </c>
      <c r="H55" s="186">
        <f t="shared" si="7"/>
        <v>11413.777368000001</v>
      </c>
    </row>
    <row r="56" spans="1:8" ht="12.75">
      <c r="A56" s="126">
        <v>311</v>
      </c>
      <c r="B56" s="28" t="s">
        <v>103</v>
      </c>
      <c r="C56" s="161">
        <v>0</v>
      </c>
      <c r="D56" s="300">
        <v>13500</v>
      </c>
      <c r="E56" s="300">
        <v>7170</v>
      </c>
      <c r="F56" s="300">
        <v>7170</v>
      </c>
      <c r="G56" s="321">
        <v>7170</v>
      </c>
      <c r="H56" s="270">
        <f aca="true" t="shared" si="8" ref="H56:H71">E56*$G$8/1000</f>
        <v>216.00342</v>
      </c>
    </row>
    <row r="57" spans="1:8" ht="12.75">
      <c r="A57" s="127">
        <v>312</v>
      </c>
      <c r="B57" s="6" t="s">
        <v>192</v>
      </c>
      <c r="C57" s="157">
        <v>3600</v>
      </c>
      <c r="D57" s="298">
        <v>3620</v>
      </c>
      <c r="E57" s="322">
        <v>3620</v>
      </c>
      <c r="F57" s="322">
        <v>3620</v>
      </c>
      <c r="G57" s="322">
        <v>3618</v>
      </c>
      <c r="H57" s="270">
        <f t="shared" si="8"/>
        <v>109.05612</v>
      </c>
    </row>
    <row r="58" spans="1:8" ht="12.75">
      <c r="A58" s="127">
        <v>312</v>
      </c>
      <c r="B58" s="5" t="s">
        <v>21</v>
      </c>
      <c r="C58" s="164">
        <v>3000</v>
      </c>
      <c r="D58" s="304">
        <v>3074</v>
      </c>
      <c r="E58" s="324">
        <v>3074</v>
      </c>
      <c r="F58" s="324">
        <v>3074</v>
      </c>
      <c r="G58" s="324">
        <v>3055</v>
      </c>
      <c r="H58" s="270">
        <f t="shared" si="8"/>
        <v>92.607324</v>
      </c>
    </row>
    <row r="59" spans="1:8" ht="12.75">
      <c r="A59" s="127">
        <v>312</v>
      </c>
      <c r="B59" s="8" t="s">
        <v>105</v>
      </c>
      <c r="C59" s="184">
        <f>280000+4800+4000</f>
        <v>288800</v>
      </c>
      <c r="D59" s="310">
        <f>290583+6300+5085</f>
        <v>301968</v>
      </c>
      <c r="E59" s="325">
        <f>290583+6300+5085</f>
        <v>301968</v>
      </c>
      <c r="F59" s="374">
        <f>289116+6188+5085</f>
        <v>300389</v>
      </c>
      <c r="G59" s="325">
        <f>302571-2182</f>
        <v>300389</v>
      </c>
      <c r="H59" s="270">
        <f t="shared" si="8"/>
        <v>9097.087968</v>
      </c>
    </row>
    <row r="60" spans="1:8" ht="12.75">
      <c r="A60" s="127">
        <v>312</v>
      </c>
      <c r="B60" s="221" t="s">
        <v>196</v>
      </c>
      <c r="C60" s="198">
        <v>1700</v>
      </c>
      <c r="D60" s="304">
        <v>1978</v>
      </c>
      <c r="E60" s="324">
        <v>1978</v>
      </c>
      <c r="F60" s="375">
        <v>2182</v>
      </c>
      <c r="G60" s="324">
        <v>2182</v>
      </c>
      <c r="H60" s="270">
        <f t="shared" si="8"/>
        <v>59.589228000000006</v>
      </c>
    </row>
    <row r="61" spans="1:8" ht="12.75">
      <c r="A61" s="127">
        <v>312</v>
      </c>
      <c r="B61" s="6" t="s">
        <v>238</v>
      </c>
      <c r="C61" s="157">
        <v>0</v>
      </c>
      <c r="D61" s="298">
        <v>2700</v>
      </c>
      <c r="E61" s="298">
        <f>2321+1220</f>
        <v>3541</v>
      </c>
      <c r="F61" s="298">
        <f>2321+1059+1695</f>
        <v>5075</v>
      </c>
      <c r="G61" s="322">
        <v>5075</v>
      </c>
      <c r="H61" s="270">
        <f t="shared" si="8"/>
        <v>106.676166</v>
      </c>
    </row>
    <row r="62" spans="1:8" ht="12.75">
      <c r="A62" s="127">
        <v>312</v>
      </c>
      <c r="B62" s="5" t="s">
        <v>229</v>
      </c>
      <c r="C62" s="198">
        <v>0</v>
      </c>
      <c r="D62" s="304">
        <v>18171</v>
      </c>
      <c r="E62" s="324">
        <v>18171</v>
      </c>
      <c r="F62" s="375">
        <v>39921</v>
      </c>
      <c r="G62" s="324">
        <v>39921</v>
      </c>
      <c r="H62" s="270">
        <f t="shared" si="8"/>
        <v>547.419546</v>
      </c>
    </row>
    <row r="63" spans="1:8" ht="12.75">
      <c r="A63" s="127">
        <v>312</v>
      </c>
      <c r="B63" s="221" t="s">
        <v>213</v>
      </c>
      <c r="C63" s="198">
        <v>0</v>
      </c>
      <c r="D63" s="304">
        <v>276</v>
      </c>
      <c r="E63" s="324">
        <v>276</v>
      </c>
      <c r="F63" s="324">
        <v>276</v>
      </c>
      <c r="G63" s="324">
        <v>276</v>
      </c>
      <c r="H63" s="270">
        <f t="shared" si="8"/>
        <v>8.314776</v>
      </c>
    </row>
    <row r="64" spans="1:8" ht="12.75">
      <c r="A64" s="127">
        <v>312</v>
      </c>
      <c r="B64" s="6" t="s">
        <v>191</v>
      </c>
      <c r="C64" s="157">
        <v>4900</v>
      </c>
      <c r="D64" s="140">
        <v>4900</v>
      </c>
      <c r="E64" s="298">
        <v>6000</v>
      </c>
      <c r="F64" s="298">
        <v>6600</v>
      </c>
      <c r="G64" s="322">
        <v>6458</v>
      </c>
      <c r="H64" s="270">
        <f t="shared" si="8"/>
        <v>180.756</v>
      </c>
    </row>
    <row r="65" spans="1:8" ht="12.75">
      <c r="A65" s="127">
        <v>312</v>
      </c>
      <c r="B65" s="6" t="s">
        <v>22</v>
      </c>
      <c r="C65" s="157">
        <v>1300</v>
      </c>
      <c r="D65" s="140">
        <v>1300</v>
      </c>
      <c r="E65" s="140">
        <v>1300</v>
      </c>
      <c r="F65" s="140">
        <v>1300</v>
      </c>
      <c r="G65" s="322">
        <v>635</v>
      </c>
      <c r="H65" s="270">
        <f t="shared" si="8"/>
        <v>39.1638</v>
      </c>
    </row>
    <row r="66" spans="1:8" ht="12.75">
      <c r="A66" s="127">
        <v>312</v>
      </c>
      <c r="B66" s="221" t="s">
        <v>214</v>
      </c>
      <c r="C66" s="198">
        <v>0</v>
      </c>
      <c r="D66" s="304">
        <v>20</v>
      </c>
      <c r="E66" s="324">
        <v>20</v>
      </c>
      <c r="F66" s="324">
        <v>20</v>
      </c>
      <c r="G66" s="324">
        <v>17</v>
      </c>
      <c r="H66" s="270">
        <f t="shared" si="8"/>
        <v>0.60252</v>
      </c>
    </row>
    <row r="67" spans="1:8" ht="12.75">
      <c r="A67" s="127">
        <v>312</v>
      </c>
      <c r="B67" s="9" t="s">
        <v>106</v>
      </c>
      <c r="C67" s="163">
        <v>2500</v>
      </c>
      <c r="D67" s="311">
        <f>3600</f>
        <v>3600</v>
      </c>
      <c r="E67" s="322">
        <f>3600</f>
        <v>3600</v>
      </c>
      <c r="F67" s="322">
        <f>3600</f>
        <v>3600</v>
      </c>
      <c r="G67" s="322">
        <v>2604</v>
      </c>
      <c r="H67" s="270">
        <f t="shared" si="8"/>
        <v>108.45360000000001</v>
      </c>
    </row>
    <row r="68" spans="1:8" ht="12.75">
      <c r="A68" s="127">
        <v>312</v>
      </c>
      <c r="B68" s="6" t="s">
        <v>239</v>
      </c>
      <c r="C68" s="157">
        <v>0</v>
      </c>
      <c r="D68" s="322">
        <v>0</v>
      </c>
      <c r="E68" s="298">
        <v>3500</v>
      </c>
      <c r="F68" s="372">
        <v>3500</v>
      </c>
      <c r="G68" s="322">
        <v>3500</v>
      </c>
      <c r="H68" s="270">
        <f t="shared" si="8"/>
        <v>105.441</v>
      </c>
    </row>
    <row r="69" spans="1:8" ht="12.75">
      <c r="A69" s="127">
        <v>312</v>
      </c>
      <c r="B69" s="9" t="s">
        <v>158</v>
      </c>
      <c r="C69" s="163">
        <v>8620</v>
      </c>
      <c r="D69" s="138">
        <v>8620</v>
      </c>
      <c r="E69" s="322">
        <v>8620</v>
      </c>
      <c r="F69" s="368">
        <v>9073</v>
      </c>
      <c r="G69" s="322">
        <v>9073</v>
      </c>
      <c r="H69" s="270">
        <f t="shared" si="8"/>
        <v>259.68612</v>
      </c>
    </row>
    <row r="70" spans="1:8" ht="12.75">
      <c r="A70" s="127">
        <v>312</v>
      </c>
      <c r="B70" s="9" t="s">
        <v>159</v>
      </c>
      <c r="C70" s="163">
        <v>13120</v>
      </c>
      <c r="D70" s="311">
        <v>15230</v>
      </c>
      <c r="E70" s="322">
        <v>15230</v>
      </c>
      <c r="F70" s="322">
        <v>15230</v>
      </c>
      <c r="G70" s="322">
        <v>15230</v>
      </c>
      <c r="H70" s="270">
        <f t="shared" si="8"/>
        <v>458.81898000000007</v>
      </c>
    </row>
    <row r="71" spans="1:8" ht="13.5" thickBot="1">
      <c r="A71" s="130">
        <v>312</v>
      </c>
      <c r="B71" s="37" t="s">
        <v>160</v>
      </c>
      <c r="C71" s="174">
        <v>0</v>
      </c>
      <c r="D71" s="282">
        <v>0</v>
      </c>
      <c r="E71" s="345">
        <v>800</v>
      </c>
      <c r="F71" s="282">
        <v>800</v>
      </c>
      <c r="G71" s="361">
        <v>800</v>
      </c>
      <c r="H71" s="270">
        <f t="shared" si="8"/>
        <v>24.1008</v>
      </c>
    </row>
    <row r="72" spans="1:8" ht="16.5" thickBot="1">
      <c r="A72" s="60" t="s">
        <v>107</v>
      </c>
      <c r="B72" s="216"/>
      <c r="C72" s="217">
        <f aca="true" t="shared" si="9" ref="C72:H72">SUM(C12+C21+C40+C42+C55)</f>
        <v>1049725</v>
      </c>
      <c r="D72" s="217">
        <f t="shared" si="9"/>
        <v>1118336</v>
      </c>
      <c r="E72" s="217">
        <f t="shared" si="9"/>
        <v>1124897</v>
      </c>
      <c r="F72" s="217">
        <f t="shared" si="9"/>
        <v>1119919</v>
      </c>
      <c r="G72" s="355">
        <f t="shared" si="9"/>
        <v>1093191</v>
      </c>
      <c r="H72" s="356">
        <f t="shared" si="9"/>
        <v>33888.647022</v>
      </c>
    </row>
    <row r="73" spans="1:8" ht="16.5" thickBot="1">
      <c r="A73" s="213">
        <v>236</v>
      </c>
      <c r="B73" s="214" t="s">
        <v>108</v>
      </c>
      <c r="C73" s="215">
        <v>1674</v>
      </c>
      <c r="D73" s="283">
        <v>1674</v>
      </c>
      <c r="E73" s="283">
        <f>1674+2066</f>
        <v>3740</v>
      </c>
      <c r="F73" s="283">
        <v>3604</v>
      </c>
      <c r="G73" s="283">
        <v>3604</v>
      </c>
      <c r="H73" s="273">
        <f>E73*$G$8/1000</f>
        <v>112.67124000000001</v>
      </c>
    </row>
    <row r="74" spans="1:8" ht="16.5" thickBot="1">
      <c r="A74" s="60" t="s">
        <v>23</v>
      </c>
      <c r="B74" s="58"/>
      <c r="C74" s="185">
        <f aca="true" t="shared" si="10" ref="C74:H74">SUM(C72:C73)</f>
        <v>1051399</v>
      </c>
      <c r="D74" s="185">
        <f t="shared" si="10"/>
        <v>1120010</v>
      </c>
      <c r="E74" s="185">
        <f t="shared" si="10"/>
        <v>1128637</v>
      </c>
      <c r="F74" s="185">
        <f t="shared" si="10"/>
        <v>1123523</v>
      </c>
      <c r="G74" s="185">
        <f t="shared" si="10"/>
        <v>1096795</v>
      </c>
      <c r="H74" s="185">
        <f t="shared" si="10"/>
        <v>34001.318262</v>
      </c>
    </row>
    <row r="75" spans="1:8" ht="15.75">
      <c r="A75" s="444"/>
      <c r="B75" s="445"/>
      <c r="C75" s="446"/>
      <c r="D75" s="446"/>
      <c r="E75" s="446"/>
      <c r="F75" s="446"/>
      <c r="G75" s="446"/>
      <c r="H75" s="446"/>
    </row>
    <row r="76" spans="1:8" ht="15.75">
      <c r="A76" s="444"/>
      <c r="B76" s="445"/>
      <c r="C76" s="446"/>
      <c r="D76" s="446"/>
      <c r="E76" s="446"/>
      <c r="F76" s="446"/>
      <c r="G76" s="446"/>
      <c r="H76" s="446"/>
    </row>
    <row r="77" spans="1:7" ht="15.75">
      <c r="A77" s="10"/>
      <c r="B77" s="16"/>
      <c r="C77" s="16"/>
      <c r="D77" s="16"/>
      <c r="E77" s="16"/>
      <c r="F77" s="16"/>
      <c r="G77" s="89"/>
    </row>
    <row r="78" spans="1:8" ht="18.75" thickBot="1">
      <c r="A78" s="418" t="s">
        <v>24</v>
      </c>
      <c r="B78" s="419"/>
      <c r="C78" s="419"/>
      <c r="D78" s="419"/>
      <c r="E78" s="419"/>
      <c r="F78" s="419"/>
      <c r="G78" s="419"/>
      <c r="H78" s="419"/>
    </row>
    <row r="79" spans="1:9" ht="12.75" customHeight="1">
      <c r="A79" s="397" t="s">
        <v>1</v>
      </c>
      <c r="B79" s="398"/>
      <c r="C79" s="389" t="s">
        <v>190</v>
      </c>
      <c r="D79" s="429" t="s">
        <v>226</v>
      </c>
      <c r="E79" s="429" t="s">
        <v>236</v>
      </c>
      <c r="F79" s="429" t="s">
        <v>257</v>
      </c>
      <c r="G79" s="429" t="s">
        <v>252</v>
      </c>
      <c r="H79" s="389" t="s">
        <v>194</v>
      </c>
      <c r="I79" s="3"/>
    </row>
    <row r="80" spans="1:8" ht="13.5" thickBot="1">
      <c r="A80" s="420"/>
      <c r="B80" s="421"/>
      <c r="C80" s="401"/>
      <c r="D80" s="430"/>
      <c r="E80" s="430"/>
      <c r="F80" s="430"/>
      <c r="G80" s="430"/>
      <c r="H80" s="401"/>
    </row>
    <row r="81" spans="1:8" ht="13.5" thickBot="1">
      <c r="A81" s="35" t="s">
        <v>25</v>
      </c>
      <c r="B81" s="36"/>
      <c r="C81" s="158">
        <f aca="true" t="shared" si="11" ref="C81:H81">SUM(C82:C85)</f>
        <v>164600</v>
      </c>
      <c r="D81" s="158">
        <f t="shared" si="11"/>
        <v>167320</v>
      </c>
      <c r="E81" s="158">
        <f t="shared" si="11"/>
        <v>170161</v>
      </c>
      <c r="F81" s="158">
        <f t="shared" si="11"/>
        <v>173195</v>
      </c>
      <c r="G81" s="158">
        <f t="shared" si="11"/>
        <v>163646</v>
      </c>
      <c r="H81" s="194">
        <f t="shared" si="11"/>
        <v>5126.270286000001</v>
      </c>
    </row>
    <row r="82" spans="1:8" ht="12.75">
      <c r="A82" s="49" t="s">
        <v>26</v>
      </c>
      <c r="B82" s="34" t="s">
        <v>109</v>
      </c>
      <c r="C82" s="160">
        <v>145000</v>
      </c>
      <c r="D82" s="137">
        <v>145000</v>
      </c>
      <c r="E82" s="137">
        <v>145000</v>
      </c>
      <c r="F82" s="137">
        <v>145000</v>
      </c>
      <c r="G82" s="137">
        <v>135536</v>
      </c>
      <c r="H82" s="270">
        <f>E82*$G$8/1000</f>
        <v>4368.27</v>
      </c>
    </row>
    <row r="83" spans="1:8" ht="12.75">
      <c r="A83" s="50" t="s">
        <v>27</v>
      </c>
      <c r="B83" s="9" t="s">
        <v>28</v>
      </c>
      <c r="C83" s="163">
        <v>16000</v>
      </c>
      <c r="D83" s="138">
        <v>16000</v>
      </c>
      <c r="E83" s="311">
        <v>18000</v>
      </c>
      <c r="F83" s="311">
        <v>19500</v>
      </c>
      <c r="G83" s="138">
        <v>19417</v>
      </c>
      <c r="H83" s="270">
        <f>E83*$G$8/1000</f>
        <v>542.268</v>
      </c>
    </row>
    <row r="84" spans="1:8" ht="12.75">
      <c r="A84" s="95" t="s">
        <v>29</v>
      </c>
      <c r="B84" s="9" t="s">
        <v>218</v>
      </c>
      <c r="C84" s="163">
        <v>3600</v>
      </c>
      <c r="D84" s="311">
        <v>3620</v>
      </c>
      <c r="E84" s="138">
        <v>3620</v>
      </c>
      <c r="F84" s="138">
        <v>3620</v>
      </c>
      <c r="G84" s="138">
        <v>3618</v>
      </c>
      <c r="H84" s="270">
        <f>E84*$G$8/1000</f>
        <v>109.05612</v>
      </c>
    </row>
    <row r="85" spans="1:8" ht="13.5" thickBot="1">
      <c r="A85" s="312" t="s">
        <v>219</v>
      </c>
      <c r="B85" s="313" t="s">
        <v>242</v>
      </c>
      <c r="C85" s="228">
        <v>0</v>
      </c>
      <c r="D85" s="314">
        <v>2700</v>
      </c>
      <c r="E85" s="314">
        <v>3541</v>
      </c>
      <c r="F85" s="314">
        <v>5075</v>
      </c>
      <c r="G85" s="296">
        <v>5075</v>
      </c>
      <c r="H85" s="270">
        <f>E85*$G$8/1000</f>
        <v>106.676166</v>
      </c>
    </row>
    <row r="86" spans="1:8" ht="13.5" thickBot="1">
      <c r="A86" s="414" t="s">
        <v>30</v>
      </c>
      <c r="B86" s="415"/>
      <c r="C86" s="158">
        <f>SUM(C87)</f>
        <v>140</v>
      </c>
      <c r="D86" s="159">
        <f>SUM(D87)</f>
        <v>140</v>
      </c>
      <c r="E86" s="159">
        <f>SUM(E87)</f>
        <v>140</v>
      </c>
      <c r="F86" s="159">
        <f>SUM(F87)</f>
        <v>140</v>
      </c>
      <c r="G86" s="159">
        <f>SUM(G87)</f>
        <v>139</v>
      </c>
      <c r="H86" s="284">
        <f>H87</f>
        <v>4.21764</v>
      </c>
    </row>
    <row r="87" spans="1:8" ht="13.5" thickBot="1">
      <c r="A87" s="62" t="s">
        <v>31</v>
      </c>
      <c r="B87" s="16" t="s">
        <v>111</v>
      </c>
      <c r="C87" s="180">
        <v>140</v>
      </c>
      <c r="D87" s="289">
        <v>140</v>
      </c>
      <c r="E87" s="289">
        <v>140</v>
      </c>
      <c r="F87" s="289">
        <v>140</v>
      </c>
      <c r="G87" s="289">
        <v>139</v>
      </c>
      <c r="H87" s="270">
        <f>E87*$G$8/1000</f>
        <v>4.21764</v>
      </c>
    </row>
    <row r="88" spans="1:8" ht="13.5" thickBot="1">
      <c r="A88" s="414" t="s">
        <v>32</v>
      </c>
      <c r="B88" s="415"/>
      <c r="C88" s="177">
        <f>SUM(C89)</f>
        <v>4500</v>
      </c>
      <c r="D88" s="159">
        <f>SUM(D89)</f>
        <v>4500</v>
      </c>
      <c r="E88" s="159">
        <f>SUM(E89)</f>
        <v>4500</v>
      </c>
      <c r="F88" s="159">
        <f>SUM(F89)</f>
        <v>4500</v>
      </c>
      <c r="G88" s="159">
        <f>SUM(G89)</f>
        <v>3651</v>
      </c>
      <c r="H88" s="284">
        <f>H89</f>
        <v>135.567</v>
      </c>
    </row>
    <row r="89" spans="1:8" ht="13.5" thickBot="1">
      <c r="A89" s="113" t="s">
        <v>33</v>
      </c>
      <c r="B89" s="38" t="s">
        <v>115</v>
      </c>
      <c r="C89" s="181">
        <v>4500</v>
      </c>
      <c r="D89" s="207">
        <v>4500</v>
      </c>
      <c r="E89" s="207">
        <v>4500</v>
      </c>
      <c r="F89" s="207">
        <v>4500</v>
      </c>
      <c r="G89" s="207">
        <v>3651</v>
      </c>
      <c r="H89" s="270">
        <f>E89*$G$8/1000</f>
        <v>135.567</v>
      </c>
    </row>
    <row r="90" spans="1:8" ht="13.5" thickBot="1">
      <c r="A90" s="35" t="s">
        <v>34</v>
      </c>
      <c r="B90" s="39"/>
      <c r="C90" s="158">
        <f aca="true" t="shared" si="12" ref="C90:H90">SUM(C91:C94)</f>
        <v>126500</v>
      </c>
      <c r="D90" s="159">
        <f t="shared" si="12"/>
        <v>124700</v>
      </c>
      <c r="E90" s="159">
        <f t="shared" si="12"/>
        <v>123330</v>
      </c>
      <c r="F90" s="159">
        <f t="shared" si="12"/>
        <v>123300</v>
      </c>
      <c r="G90" s="159">
        <f t="shared" si="12"/>
        <v>99647</v>
      </c>
      <c r="H90" s="284">
        <f t="shared" si="12"/>
        <v>3715.43958</v>
      </c>
    </row>
    <row r="91" spans="1:8" ht="12.75">
      <c r="A91" s="114" t="s">
        <v>35</v>
      </c>
      <c r="B91" s="31" t="s">
        <v>112</v>
      </c>
      <c r="C91" s="162">
        <v>2200</v>
      </c>
      <c r="D91" s="211">
        <v>2200</v>
      </c>
      <c r="E91" s="211">
        <v>2200</v>
      </c>
      <c r="F91" s="317">
        <v>2100</v>
      </c>
      <c r="G91" s="211">
        <v>1599</v>
      </c>
      <c r="H91" s="270">
        <f>E91*$G$8/1000</f>
        <v>66.2772</v>
      </c>
    </row>
    <row r="92" spans="1:8" ht="12.75">
      <c r="A92" s="95" t="s">
        <v>36</v>
      </c>
      <c r="B92" s="9" t="s">
        <v>243</v>
      </c>
      <c r="C92" s="163">
        <v>5000</v>
      </c>
      <c r="D92" s="138">
        <v>5000</v>
      </c>
      <c r="E92" s="311">
        <f>5000+286*5</f>
        <v>6430</v>
      </c>
      <c r="F92" s="311">
        <v>6500</v>
      </c>
      <c r="G92" s="138">
        <v>6436</v>
      </c>
      <c r="H92" s="270">
        <f>E92*$G$8/1000</f>
        <v>193.71018</v>
      </c>
    </row>
    <row r="93" spans="1:8" ht="12.75">
      <c r="A93" s="95" t="s">
        <v>37</v>
      </c>
      <c r="B93" s="9" t="s">
        <v>116</v>
      </c>
      <c r="C93" s="193">
        <v>4300</v>
      </c>
      <c r="D93" s="141">
        <v>4300</v>
      </c>
      <c r="E93" s="360">
        <v>4700</v>
      </c>
      <c r="F93" s="141">
        <v>4700</v>
      </c>
      <c r="G93" s="141">
        <v>4692</v>
      </c>
      <c r="H93" s="270">
        <f>E93*$G$8/1000</f>
        <v>141.59220000000002</v>
      </c>
    </row>
    <row r="94" spans="1:8" ht="13.5" thickBot="1">
      <c r="A94" s="111" t="s">
        <v>38</v>
      </c>
      <c r="B94" s="37" t="s">
        <v>117</v>
      </c>
      <c r="C94" s="230">
        <v>115000</v>
      </c>
      <c r="D94" s="316">
        <v>113200</v>
      </c>
      <c r="E94" s="316">
        <v>110000</v>
      </c>
      <c r="F94" s="333">
        <v>110000</v>
      </c>
      <c r="G94" s="333">
        <v>86920</v>
      </c>
      <c r="H94" s="270">
        <f>E94*$G$8/1000</f>
        <v>3313.86</v>
      </c>
    </row>
    <row r="95" spans="1:8" ht="13.5" thickBot="1">
      <c r="A95" s="35" t="s">
        <v>39</v>
      </c>
      <c r="B95" s="36"/>
      <c r="C95" s="158">
        <f aca="true" t="shared" si="13" ref="C95:H95">SUM(C96:C97)</f>
        <v>25000</v>
      </c>
      <c r="D95" s="159">
        <f t="shared" si="13"/>
        <v>25000</v>
      </c>
      <c r="E95" s="159">
        <f t="shared" si="13"/>
        <v>25000</v>
      </c>
      <c r="F95" s="159">
        <f t="shared" si="13"/>
        <v>25000</v>
      </c>
      <c r="G95" s="159">
        <f t="shared" si="13"/>
        <v>21372</v>
      </c>
      <c r="H95" s="284">
        <f t="shared" si="13"/>
        <v>753.15</v>
      </c>
    </row>
    <row r="96" spans="1:8" ht="12.75">
      <c r="A96" s="112" t="s">
        <v>40</v>
      </c>
      <c r="B96" s="44" t="s">
        <v>41</v>
      </c>
      <c r="C96" s="175">
        <v>20500</v>
      </c>
      <c r="D96" s="290">
        <v>20500</v>
      </c>
      <c r="E96" s="290">
        <v>20500</v>
      </c>
      <c r="F96" s="290">
        <v>20500</v>
      </c>
      <c r="G96" s="290">
        <v>16872</v>
      </c>
      <c r="H96" s="270">
        <f>E96*$G$8/1000</f>
        <v>617.583</v>
      </c>
    </row>
    <row r="97" spans="1:8" ht="13.5" thickBot="1">
      <c r="A97" s="82" t="s">
        <v>42</v>
      </c>
      <c r="B97" s="42" t="s">
        <v>113</v>
      </c>
      <c r="C97" s="165">
        <v>4500</v>
      </c>
      <c r="D97" s="291">
        <v>4500</v>
      </c>
      <c r="E97" s="291">
        <v>4500</v>
      </c>
      <c r="F97" s="291">
        <v>4500</v>
      </c>
      <c r="G97" s="291">
        <v>4500</v>
      </c>
      <c r="H97" s="270">
        <f>E97*$G$8/1000</f>
        <v>135.567</v>
      </c>
    </row>
    <row r="98" spans="1:8" ht="13.5" thickBot="1">
      <c r="A98" s="35" t="s">
        <v>43</v>
      </c>
      <c r="B98" s="39"/>
      <c r="C98" s="158">
        <f aca="true" t="shared" si="14" ref="C98:H98">SUM(C99)</f>
        <v>15000</v>
      </c>
      <c r="D98" s="159">
        <f t="shared" si="14"/>
        <v>15000</v>
      </c>
      <c r="E98" s="159">
        <f t="shared" si="14"/>
        <v>15000</v>
      </c>
      <c r="F98" s="159">
        <f t="shared" si="14"/>
        <v>15000</v>
      </c>
      <c r="G98" s="159">
        <f t="shared" si="14"/>
        <v>13837</v>
      </c>
      <c r="H98" s="194">
        <f t="shared" si="14"/>
        <v>451.89</v>
      </c>
    </row>
    <row r="99" spans="1:8" ht="13.5" thickBot="1">
      <c r="A99" s="226" t="s">
        <v>44</v>
      </c>
      <c r="B99" s="37" t="s">
        <v>45</v>
      </c>
      <c r="C99" s="174">
        <v>15000</v>
      </c>
      <c r="D99" s="282">
        <v>15000</v>
      </c>
      <c r="E99" s="282">
        <v>15000</v>
      </c>
      <c r="F99" s="282">
        <v>15000</v>
      </c>
      <c r="G99" s="282">
        <v>13837</v>
      </c>
      <c r="H99" s="350">
        <f>E99*$G$8/1000</f>
        <v>451.89</v>
      </c>
    </row>
    <row r="100" spans="1:8" ht="13.5" thickBot="1">
      <c r="A100" s="43" t="s">
        <v>46</v>
      </c>
      <c r="B100" s="36"/>
      <c r="C100" s="158">
        <f aca="true" t="shared" si="15" ref="C100:H100">SUM(C101:C114)</f>
        <v>59200</v>
      </c>
      <c r="D100" s="159">
        <f t="shared" si="15"/>
        <v>80820</v>
      </c>
      <c r="E100" s="159">
        <f t="shared" si="15"/>
        <v>86339</v>
      </c>
      <c r="F100" s="159">
        <f t="shared" si="15"/>
        <v>88301</v>
      </c>
      <c r="G100" s="159">
        <f t="shared" si="15"/>
        <v>86187</v>
      </c>
      <c r="H100" s="194">
        <f t="shared" si="15"/>
        <v>2601.048714</v>
      </c>
    </row>
    <row r="101" spans="1:8" ht="12.75">
      <c r="A101" s="53" t="s">
        <v>47</v>
      </c>
      <c r="B101" s="34" t="s">
        <v>118</v>
      </c>
      <c r="C101" s="160">
        <v>5000</v>
      </c>
      <c r="D101" s="137">
        <v>5000</v>
      </c>
      <c r="E101" s="137">
        <v>5000</v>
      </c>
      <c r="F101" s="137">
        <v>5000</v>
      </c>
      <c r="G101" s="137">
        <v>5000</v>
      </c>
      <c r="H101" s="270">
        <f aca="true" t="shared" si="16" ref="H101:H114">E101*$G$8/1000</f>
        <v>150.63</v>
      </c>
    </row>
    <row r="102" spans="1:8" ht="13.5" thickBot="1">
      <c r="A102" s="82" t="s">
        <v>47</v>
      </c>
      <c r="B102" s="42" t="s">
        <v>119</v>
      </c>
      <c r="C102" s="165">
        <v>3000</v>
      </c>
      <c r="D102" s="291">
        <v>3000</v>
      </c>
      <c r="E102" s="343">
        <v>3120</v>
      </c>
      <c r="F102" s="291">
        <v>3120</v>
      </c>
      <c r="G102" s="291">
        <v>2991</v>
      </c>
      <c r="H102" s="270">
        <f t="shared" si="16"/>
        <v>93.99312</v>
      </c>
    </row>
    <row r="103" spans="1:8" ht="12.75">
      <c r="A103" s="53" t="s">
        <v>48</v>
      </c>
      <c r="B103" s="41" t="s">
        <v>120</v>
      </c>
      <c r="C103" s="172">
        <v>16000</v>
      </c>
      <c r="D103" s="292">
        <v>18420</v>
      </c>
      <c r="E103" s="292">
        <v>18300</v>
      </c>
      <c r="F103" s="334">
        <v>18300</v>
      </c>
      <c r="G103" s="334">
        <v>17593</v>
      </c>
      <c r="H103" s="270">
        <f t="shared" si="16"/>
        <v>551.3058000000001</v>
      </c>
    </row>
    <row r="104" spans="1:8" ht="12.75">
      <c r="A104" s="95" t="s">
        <v>50</v>
      </c>
      <c r="B104" s="40" t="s">
        <v>121</v>
      </c>
      <c r="C104" s="173">
        <v>700</v>
      </c>
      <c r="D104" s="311">
        <v>10700</v>
      </c>
      <c r="E104" s="311">
        <v>8500</v>
      </c>
      <c r="F104" s="138">
        <v>8500</v>
      </c>
      <c r="G104" s="138">
        <v>8336</v>
      </c>
      <c r="H104" s="270">
        <f t="shared" si="16"/>
        <v>256.071</v>
      </c>
    </row>
    <row r="105" spans="1:8" ht="13.5" thickBot="1">
      <c r="A105" s="82" t="s">
        <v>51</v>
      </c>
      <c r="B105" s="42" t="s">
        <v>122</v>
      </c>
      <c r="C105" s="165">
        <v>2000</v>
      </c>
      <c r="D105" s="343">
        <v>3000</v>
      </c>
      <c r="E105" s="291">
        <v>3000</v>
      </c>
      <c r="F105" s="291">
        <v>3000</v>
      </c>
      <c r="G105" s="291">
        <v>2779</v>
      </c>
      <c r="H105" s="270">
        <f t="shared" si="16"/>
        <v>90.378</v>
      </c>
    </row>
    <row r="106" spans="1:8" ht="12.75">
      <c r="A106" s="95" t="s">
        <v>52</v>
      </c>
      <c r="B106" s="9" t="s">
        <v>187</v>
      </c>
      <c r="C106" s="163">
        <v>1600</v>
      </c>
      <c r="D106" s="311">
        <f>1600+700</f>
        <v>2300</v>
      </c>
      <c r="E106" s="138">
        <f>1200+300+500+300</f>
        <v>2300</v>
      </c>
      <c r="F106" s="138">
        <f>1200+300+500+300</f>
        <v>2300</v>
      </c>
      <c r="G106" s="138">
        <f>1139+62+829</f>
        <v>2030</v>
      </c>
      <c r="H106" s="270">
        <f t="shared" si="16"/>
        <v>69.2898</v>
      </c>
    </row>
    <row r="107" spans="1:8" ht="12.75">
      <c r="A107" s="95" t="s">
        <v>52</v>
      </c>
      <c r="B107" s="9" t="s">
        <v>255</v>
      </c>
      <c r="C107" s="163">
        <v>2000</v>
      </c>
      <c r="D107" s="311">
        <v>3300</v>
      </c>
      <c r="E107" s="311">
        <v>3460</v>
      </c>
      <c r="F107" s="138">
        <v>3460</v>
      </c>
      <c r="G107" s="138">
        <f>3160+300</f>
        <v>3460</v>
      </c>
      <c r="H107" s="270">
        <f t="shared" si="16"/>
        <v>104.23596</v>
      </c>
    </row>
    <row r="108" spans="1:8" ht="12.75">
      <c r="A108" s="95" t="s">
        <v>52</v>
      </c>
      <c r="B108" s="9" t="s">
        <v>256</v>
      </c>
      <c r="C108" s="163">
        <v>7000</v>
      </c>
      <c r="D108" s="311">
        <v>13000</v>
      </c>
      <c r="E108" s="311">
        <v>10020</v>
      </c>
      <c r="F108" s="138">
        <v>10020</v>
      </c>
      <c r="G108" s="138">
        <f>9520+500</f>
        <v>10020</v>
      </c>
      <c r="H108" s="270">
        <f t="shared" si="16"/>
        <v>301.86252</v>
      </c>
    </row>
    <row r="109" spans="1:8" ht="12.75">
      <c r="A109" s="111" t="s">
        <v>52</v>
      </c>
      <c r="B109" s="37" t="s">
        <v>248</v>
      </c>
      <c r="C109" s="174">
        <v>0</v>
      </c>
      <c r="D109" s="282">
        <v>0</v>
      </c>
      <c r="E109" s="345">
        <v>4196</v>
      </c>
      <c r="F109" s="379">
        <v>4158</v>
      </c>
      <c r="G109" s="282">
        <f>837+635+1523+23+1140</f>
        <v>4158</v>
      </c>
      <c r="H109" s="270">
        <f t="shared" si="16"/>
        <v>126.408696</v>
      </c>
    </row>
    <row r="110" spans="1:10" ht="12.75">
      <c r="A110" s="111" t="s">
        <v>52</v>
      </c>
      <c r="B110" s="37" t="s">
        <v>175</v>
      </c>
      <c r="C110" s="174">
        <v>0</v>
      </c>
      <c r="D110" s="282">
        <v>0</v>
      </c>
      <c r="E110" s="345">
        <v>1100</v>
      </c>
      <c r="F110" s="282">
        <v>1100</v>
      </c>
      <c r="G110" s="282">
        <v>1066</v>
      </c>
      <c r="H110" s="270">
        <f t="shared" si="16"/>
        <v>33.1386</v>
      </c>
      <c r="I110" s="4">
        <f>SUM(F106:F111)</f>
        <v>35644</v>
      </c>
      <c r="J110" s="4">
        <f>SUM(G106:G111)</f>
        <v>35340</v>
      </c>
    </row>
    <row r="111" spans="1:8" ht="13.5" thickBot="1">
      <c r="A111" s="82" t="s">
        <v>52</v>
      </c>
      <c r="B111" s="42" t="s">
        <v>123</v>
      </c>
      <c r="C111" s="165">
        <v>10000</v>
      </c>
      <c r="D111" s="291">
        <v>10000</v>
      </c>
      <c r="E111" s="343">
        <v>14606</v>
      </c>
      <c r="F111" s="291">
        <v>14606</v>
      </c>
      <c r="G111" s="291">
        <v>14606</v>
      </c>
      <c r="H111" s="270">
        <f t="shared" si="16"/>
        <v>440.02035600000005</v>
      </c>
    </row>
    <row r="112" spans="1:8" ht="12.75">
      <c r="A112" s="112" t="s">
        <v>53</v>
      </c>
      <c r="B112" s="44" t="s">
        <v>155</v>
      </c>
      <c r="C112" s="175">
        <v>1600</v>
      </c>
      <c r="D112" s="290">
        <v>1600</v>
      </c>
      <c r="E112" s="290">
        <v>1600</v>
      </c>
      <c r="F112" s="290">
        <v>1600</v>
      </c>
      <c r="G112" s="290">
        <v>1425</v>
      </c>
      <c r="H112" s="270">
        <f t="shared" si="16"/>
        <v>48.2016</v>
      </c>
    </row>
    <row r="113" spans="1:8" ht="12.75">
      <c r="A113" s="53" t="s">
        <v>54</v>
      </c>
      <c r="B113" s="34" t="s">
        <v>124</v>
      </c>
      <c r="C113" s="160">
        <v>7300</v>
      </c>
      <c r="D113" s="137">
        <v>7300</v>
      </c>
      <c r="E113" s="137">
        <v>7300</v>
      </c>
      <c r="F113" s="137">
        <v>7300</v>
      </c>
      <c r="G113" s="137">
        <v>7008</v>
      </c>
      <c r="H113" s="270">
        <f t="shared" si="16"/>
        <v>219.9198</v>
      </c>
    </row>
    <row r="114" spans="1:8" ht="13.5" thickBot="1">
      <c r="A114" s="111" t="s">
        <v>55</v>
      </c>
      <c r="B114" s="37" t="s">
        <v>125</v>
      </c>
      <c r="C114" s="174">
        <v>3000</v>
      </c>
      <c r="D114" s="345">
        <v>3200</v>
      </c>
      <c r="E114" s="345">
        <v>3837</v>
      </c>
      <c r="F114" s="379">
        <v>5837</v>
      </c>
      <c r="G114" s="282">
        <v>5715</v>
      </c>
      <c r="H114" s="270">
        <f t="shared" si="16"/>
        <v>115.593462</v>
      </c>
    </row>
    <row r="115" spans="1:8" ht="13.5" thickBot="1">
      <c r="A115" s="414" t="s">
        <v>56</v>
      </c>
      <c r="B115" s="415"/>
      <c r="C115" s="177">
        <f aca="true" t="shared" si="17" ref="C115:H115">SUM(C116:C120)</f>
        <v>251198</v>
      </c>
      <c r="D115" s="159">
        <f t="shared" si="17"/>
        <v>253308</v>
      </c>
      <c r="E115" s="159">
        <f t="shared" si="17"/>
        <v>255174</v>
      </c>
      <c r="F115" s="159">
        <f t="shared" si="17"/>
        <v>261330</v>
      </c>
      <c r="G115" s="159">
        <f t="shared" si="17"/>
        <v>253260</v>
      </c>
      <c r="H115" s="284">
        <f t="shared" si="17"/>
        <v>7687.371924</v>
      </c>
    </row>
    <row r="116" spans="1:8" ht="12.75">
      <c r="A116" s="222" t="s">
        <v>57</v>
      </c>
      <c r="B116" s="223" t="s">
        <v>147</v>
      </c>
      <c r="C116" s="224">
        <v>85000</v>
      </c>
      <c r="D116" s="218">
        <v>85000</v>
      </c>
      <c r="E116" s="218">
        <v>85000</v>
      </c>
      <c r="F116" s="218">
        <v>85000</v>
      </c>
      <c r="G116" s="218">
        <v>80024</v>
      </c>
      <c r="H116" s="270">
        <f>E116*$G$8/1000</f>
        <v>2560.71</v>
      </c>
    </row>
    <row r="117" spans="1:8" ht="12.75">
      <c r="A117" s="84" t="s">
        <v>58</v>
      </c>
      <c r="B117" s="7" t="s">
        <v>241</v>
      </c>
      <c r="C117" s="178">
        <v>78</v>
      </c>
      <c r="D117" s="153">
        <v>78</v>
      </c>
      <c r="E117" s="318">
        <f>78+1866</f>
        <v>1944</v>
      </c>
      <c r="F117" s="318">
        <v>7100</v>
      </c>
      <c r="G117" s="153">
        <v>7089</v>
      </c>
      <c r="H117" s="270">
        <f>E117*$G$8/1000</f>
        <v>58.564944000000004</v>
      </c>
    </row>
    <row r="118" spans="1:8" ht="12.75">
      <c r="A118" s="84" t="s">
        <v>59</v>
      </c>
      <c r="B118" s="7" t="s">
        <v>60</v>
      </c>
      <c r="C118" s="178">
        <v>95000</v>
      </c>
      <c r="D118" s="153">
        <v>95000</v>
      </c>
      <c r="E118" s="153">
        <v>95000</v>
      </c>
      <c r="F118" s="373">
        <v>101000</v>
      </c>
      <c r="G118" s="153">
        <v>100828</v>
      </c>
      <c r="H118" s="270">
        <f>E118*$G$8/1000</f>
        <v>2861.97</v>
      </c>
    </row>
    <row r="119" spans="1:8" ht="12.75">
      <c r="A119" s="84" t="s">
        <v>76</v>
      </c>
      <c r="B119" s="7" t="s">
        <v>153</v>
      </c>
      <c r="C119" s="178">
        <v>58000</v>
      </c>
      <c r="D119" s="153">
        <v>58000</v>
      </c>
      <c r="E119" s="153">
        <v>58000</v>
      </c>
      <c r="F119" s="373">
        <v>53000</v>
      </c>
      <c r="G119" s="153">
        <v>50089</v>
      </c>
      <c r="H119" s="270">
        <f>E119*$G$8/1000</f>
        <v>1747.308</v>
      </c>
    </row>
    <row r="120" spans="1:8" ht="13.5" thickBot="1">
      <c r="A120" s="111" t="s">
        <v>61</v>
      </c>
      <c r="B120" s="37" t="s">
        <v>127</v>
      </c>
      <c r="C120" s="179">
        <v>13120</v>
      </c>
      <c r="D120" s="320">
        <v>15230</v>
      </c>
      <c r="E120" s="335">
        <v>15230</v>
      </c>
      <c r="F120" s="335">
        <v>15230</v>
      </c>
      <c r="G120" s="335">
        <v>15230</v>
      </c>
      <c r="H120" s="270">
        <f>E120*$G$8/1000</f>
        <v>458.81898000000007</v>
      </c>
    </row>
    <row r="121" spans="1:8" ht="13.5" thickBot="1">
      <c r="A121" s="35" t="s">
        <v>62</v>
      </c>
      <c r="B121" s="36"/>
      <c r="C121" s="158">
        <f aca="true" t="shared" si="18" ref="C121:H121">SUM(C122:C130)</f>
        <v>96500</v>
      </c>
      <c r="D121" s="159">
        <f t="shared" si="18"/>
        <v>112500</v>
      </c>
      <c r="E121" s="159">
        <f t="shared" si="18"/>
        <v>109600</v>
      </c>
      <c r="F121" s="159">
        <f t="shared" si="18"/>
        <v>110200</v>
      </c>
      <c r="G121" s="159">
        <f t="shared" si="18"/>
        <v>98527</v>
      </c>
      <c r="H121" s="284">
        <f t="shared" si="18"/>
        <v>3301.8095999999996</v>
      </c>
    </row>
    <row r="122" spans="1:8" ht="12.75">
      <c r="A122" s="53" t="s">
        <v>63</v>
      </c>
      <c r="B122" s="34" t="s">
        <v>128</v>
      </c>
      <c r="C122" s="160">
        <v>74000</v>
      </c>
      <c r="D122" s="137">
        <v>74000</v>
      </c>
      <c r="E122" s="137">
        <v>74000</v>
      </c>
      <c r="F122" s="137">
        <v>74000</v>
      </c>
      <c r="G122" s="137">
        <v>67798</v>
      </c>
      <c r="H122" s="270">
        <f aca="true" t="shared" si="19" ref="H122:H130">E122*$G$8/1000</f>
        <v>2229.324</v>
      </c>
    </row>
    <row r="123" spans="1:8" ht="12.75">
      <c r="A123" s="95" t="s">
        <v>64</v>
      </c>
      <c r="B123" s="9" t="s">
        <v>129</v>
      </c>
      <c r="C123" s="163">
        <v>11000</v>
      </c>
      <c r="D123" s="138">
        <v>11000</v>
      </c>
      <c r="E123" s="138">
        <v>11000</v>
      </c>
      <c r="F123" s="138">
        <v>11000</v>
      </c>
      <c r="G123" s="138">
        <v>11000</v>
      </c>
      <c r="H123" s="270">
        <f t="shared" si="19"/>
        <v>331.386</v>
      </c>
    </row>
    <row r="124" spans="1:8" ht="13.5" thickBot="1">
      <c r="A124" s="82" t="s">
        <v>64</v>
      </c>
      <c r="B124" s="42" t="s">
        <v>130</v>
      </c>
      <c r="C124" s="165">
        <v>1500</v>
      </c>
      <c r="D124" s="291">
        <v>1500</v>
      </c>
      <c r="E124" s="291">
        <v>1500</v>
      </c>
      <c r="F124" s="291">
        <v>1500</v>
      </c>
      <c r="G124" s="291">
        <v>1408</v>
      </c>
      <c r="H124" s="270">
        <f t="shared" si="19"/>
        <v>45.189</v>
      </c>
    </row>
    <row r="125" spans="1:8" ht="12.75">
      <c r="A125" s="53" t="s">
        <v>65</v>
      </c>
      <c r="B125" s="34" t="s">
        <v>131</v>
      </c>
      <c r="C125" s="160">
        <v>200</v>
      </c>
      <c r="D125" s="137">
        <v>200</v>
      </c>
      <c r="E125" s="137">
        <v>200</v>
      </c>
      <c r="F125" s="137">
        <v>200</v>
      </c>
      <c r="G125" s="137">
        <v>121</v>
      </c>
      <c r="H125" s="270">
        <f t="shared" si="19"/>
        <v>6.0252</v>
      </c>
    </row>
    <row r="126" spans="1:8" ht="12.75">
      <c r="A126" s="95" t="s">
        <v>66</v>
      </c>
      <c r="B126" s="9" t="s">
        <v>245</v>
      </c>
      <c r="C126" s="163">
        <v>3000</v>
      </c>
      <c r="D126" s="311">
        <f>4000+12000+3000</f>
        <v>19000</v>
      </c>
      <c r="E126" s="311">
        <v>15000</v>
      </c>
      <c r="F126" s="138">
        <v>15000</v>
      </c>
      <c r="G126" s="138">
        <v>11107</v>
      </c>
      <c r="H126" s="270">
        <f t="shared" si="19"/>
        <v>451.89</v>
      </c>
    </row>
    <row r="127" spans="1:8" ht="12.75">
      <c r="A127" s="95" t="s">
        <v>68</v>
      </c>
      <c r="B127" s="9" t="s">
        <v>132</v>
      </c>
      <c r="C127" s="163">
        <v>1300</v>
      </c>
      <c r="D127" s="138">
        <v>1300</v>
      </c>
      <c r="E127" s="138">
        <v>1300</v>
      </c>
      <c r="F127" s="138">
        <v>1300</v>
      </c>
      <c r="G127" s="138">
        <v>635</v>
      </c>
      <c r="H127" s="270">
        <f t="shared" si="19"/>
        <v>39.1638</v>
      </c>
    </row>
    <row r="128" spans="1:8" ht="12.75">
      <c r="A128" s="95" t="s">
        <v>68</v>
      </c>
      <c r="B128" s="9" t="s">
        <v>133</v>
      </c>
      <c r="C128" s="163">
        <v>4900</v>
      </c>
      <c r="D128" s="138">
        <v>4900</v>
      </c>
      <c r="E128" s="311">
        <v>6000</v>
      </c>
      <c r="F128" s="311">
        <v>6600</v>
      </c>
      <c r="G128" s="138">
        <v>6458</v>
      </c>
      <c r="H128" s="270">
        <f t="shared" si="19"/>
        <v>180.756</v>
      </c>
    </row>
    <row r="129" spans="1:8" ht="12.75">
      <c r="A129" s="95" t="s">
        <v>69</v>
      </c>
      <c r="B129" s="9" t="s">
        <v>70</v>
      </c>
      <c r="C129" s="163">
        <v>300</v>
      </c>
      <c r="D129" s="138">
        <v>300</v>
      </c>
      <c r="E129" s="138">
        <v>300</v>
      </c>
      <c r="F129" s="138">
        <v>300</v>
      </c>
      <c r="G129" s="138">
        <v>0</v>
      </c>
      <c r="H129" s="270">
        <f t="shared" si="19"/>
        <v>9.0378</v>
      </c>
    </row>
    <row r="130" spans="1:8" ht="13.5" thickBot="1">
      <c r="A130" s="95" t="s">
        <v>71</v>
      </c>
      <c r="B130" s="9" t="s">
        <v>72</v>
      </c>
      <c r="C130" s="163">
        <v>300</v>
      </c>
      <c r="D130" s="138">
        <v>300</v>
      </c>
      <c r="E130" s="138">
        <v>300</v>
      </c>
      <c r="F130" s="138">
        <v>300</v>
      </c>
      <c r="G130" s="138">
        <v>0</v>
      </c>
      <c r="H130" s="274">
        <f t="shared" si="19"/>
        <v>9.0378</v>
      </c>
    </row>
    <row r="131" spans="1:8" ht="16.5" thickBot="1">
      <c r="A131" s="225" t="s">
        <v>134</v>
      </c>
      <c r="B131" s="63"/>
      <c r="C131" s="167">
        <f aca="true" t="shared" si="20" ref="C131:H131">SUM(C81+C86+C88+C90+C95+C98+C100+C115+C121)</f>
        <v>742638</v>
      </c>
      <c r="D131" s="293">
        <f t="shared" si="20"/>
        <v>783288</v>
      </c>
      <c r="E131" s="293">
        <f t="shared" si="20"/>
        <v>789244</v>
      </c>
      <c r="F131" s="293">
        <f t="shared" si="20"/>
        <v>800966</v>
      </c>
      <c r="G131" s="293">
        <f t="shared" si="20"/>
        <v>740266</v>
      </c>
      <c r="H131" s="352">
        <f t="shared" si="20"/>
        <v>23776.764744</v>
      </c>
    </row>
    <row r="132" spans="1:8" ht="12.75">
      <c r="A132" s="93" t="s">
        <v>58</v>
      </c>
      <c r="B132" s="92" t="s">
        <v>73</v>
      </c>
      <c r="C132" s="168">
        <f>C59+C73-78</f>
        <v>290396</v>
      </c>
      <c r="D132" s="308">
        <f>D59+D73-78</f>
        <v>303564</v>
      </c>
      <c r="E132" s="308">
        <f>E59+E73-78</f>
        <v>305630</v>
      </c>
      <c r="F132" s="308">
        <f>F59+F73-36</f>
        <v>303957</v>
      </c>
      <c r="G132" s="308">
        <f>G59+G73-36</f>
        <v>303957</v>
      </c>
      <c r="H132" s="273">
        <f>E132*$G$8/1000</f>
        <v>9207.409380000001</v>
      </c>
    </row>
    <row r="133" spans="1:8" ht="12.75">
      <c r="A133" s="94" t="s">
        <v>74</v>
      </c>
      <c r="B133" s="8" t="s">
        <v>75</v>
      </c>
      <c r="C133" s="169">
        <v>17000</v>
      </c>
      <c r="D133" s="294">
        <v>17000</v>
      </c>
      <c r="E133" s="294">
        <v>17000</v>
      </c>
      <c r="F133" s="294">
        <v>17000</v>
      </c>
      <c r="G133" s="294">
        <v>17000</v>
      </c>
      <c r="H133" s="270">
        <f>E133*$G$8/1000</f>
        <v>512.142</v>
      </c>
    </row>
    <row r="134" spans="1:8" ht="13.5" thickBot="1">
      <c r="A134" s="416" t="s">
        <v>156</v>
      </c>
      <c r="B134" s="417"/>
      <c r="C134" s="170">
        <f aca="true" t="shared" si="21" ref="C134:H134">SUM(C132:C133)</f>
        <v>307396</v>
      </c>
      <c r="D134" s="170">
        <f t="shared" si="21"/>
        <v>320564</v>
      </c>
      <c r="E134" s="170">
        <f t="shared" si="21"/>
        <v>322630</v>
      </c>
      <c r="F134" s="170">
        <f t="shared" si="21"/>
        <v>320957</v>
      </c>
      <c r="G134" s="170">
        <f t="shared" si="21"/>
        <v>320957</v>
      </c>
      <c r="H134" s="287">
        <f t="shared" si="21"/>
        <v>9719.55138</v>
      </c>
    </row>
    <row r="135" spans="1:8" ht="16.5" thickBot="1">
      <c r="A135" s="61" t="s">
        <v>77</v>
      </c>
      <c r="B135" s="39"/>
      <c r="C135" s="171">
        <f aca="true" t="shared" si="22" ref="C135:H135">C131+C134</f>
        <v>1050034</v>
      </c>
      <c r="D135" s="171">
        <f t="shared" si="22"/>
        <v>1103852</v>
      </c>
      <c r="E135" s="171">
        <f t="shared" si="22"/>
        <v>1111874</v>
      </c>
      <c r="F135" s="171">
        <f t="shared" si="22"/>
        <v>1121923</v>
      </c>
      <c r="G135" s="171">
        <f t="shared" si="22"/>
        <v>1061223</v>
      </c>
      <c r="H135" s="288">
        <f t="shared" si="22"/>
        <v>33496.316124000004</v>
      </c>
    </row>
    <row r="136" spans="1:8" s="15" customFormat="1" ht="15.75">
      <c r="A136" s="10"/>
      <c r="B136" s="11"/>
      <c r="C136" s="12"/>
      <c r="D136" s="12"/>
      <c r="E136" s="12"/>
      <c r="F136" s="12"/>
      <c r="G136" s="12"/>
      <c r="H136" s="12"/>
    </row>
    <row r="137" spans="1:8" s="15" customFormat="1" ht="15.75">
      <c r="A137" s="10"/>
      <c r="B137" s="11"/>
      <c r="C137" s="12"/>
      <c r="D137" s="12"/>
      <c r="E137" s="12"/>
      <c r="F137" s="12"/>
      <c r="G137" s="12"/>
      <c r="H137" s="12"/>
    </row>
    <row r="138" spans="1:8" s="15" customFormat="1" ht="15.75">
      <c r="A138" s="10"/>
      <c r="B138" s="11"/>
      <c r="C138" s="12"/>
      <c r="D138" s="12"/>
      <c r="E138" s="12"/>
      <c r="F138" s="12"/>
      <c r="G138" s="12"/>
      <c r="H138" s="12"/>
    </row>
    <row r="139" spans="1:8" s="15" customFormat="1" ht="15.75">
      <c r="A139" s="10"/>
      <c r="B139" s="11"/>
      <c r="C139" s="12"/>
      <c r="D139" s="12"/>
      <c r="E139" s="12"/>
      <c r="F139" s="12"/>
      <c r="G139" s="12"/>
      <c r="H139" s="12"/>
    </row>
    <row r="140" spans="1:8" s="15" customFormat="1" ht="15.75">
      <c r="A140" s="10"/>
      <c r="B140" s="11"/>
      <c r="C140" s="12"/>
      <c r="D140" s="12"/>
      <c r="E140" s="12"/>
      <c r="F140" s="12"/>
      <c r="G140" s="12"/>
      <c r="H140" s="12"/>
    </row>
    <row r="141" spans="1:8" s="15" customFormat="1" ht="15.75">
      <c r="A141" s="10"/>
      <c r="B141" s="11"/>
      <c r="C141" s="12"/>
      <c r="D141" s="12"/>
      <c r="E141" s="12"/>
      <c r="F141" s="12"/>
      <c r="G141" s="12"/>
      <c r="H141" s="12"/>
    </row>
    <row r="142" spans="1:8" s="15" customFormat="1" ht="15.75">
      <c r="A142" s="10"/>
      <c r="B142" s="11"/>
      <c r="C142" s="12"/>
      <c r="D142" s="12"/>
      <c r="E142" s="12"/>
      <c r="F142" s="12"/>
      <c r="G142" s="12"/>
      <c r="H142" s="12"/>
    </row>
    <row r="143" spans="1:8" s="15" customFormat="1" ht="15.75">
      <c r="A143" s="10"/>
      <c r="B143" s="11"/>
      <c r="C143" s="12"/>
      <c r="D143" s="12"/>
      <c r="E143" s="12"/>
      <c r="F143" s="12"/>
      <c r="G143" s="12"/>
      <c r="H143" s="12"/>
    </row>
    <row r="144" spans="1:8" s="15" customFormat="1" ht="15.75">
      <c r="A144" s="10"/>
      <c r="B144" s="11"/>
      <c r="C144" s="12"/>
      <c r="D144" s="12"/>
      <c r="E144" s="12"/>
      <c r="F144" s="12"/>
      <c r="G144" s="12"/>
      <c r="H144" s="12"/>
    </row>
    <row r="145" spans="1:8" s="15" customFormat="1" ht="15.75">
      <c r="A145" s="10"/>
      <c r="B145" s="11"/>
      <c r="C145" s="12"/>
      <c r="D145" s="12"/>
      <c r="E145" s="12"/>
      <c r="F145" s="12"/>
      <c r="G145" s="12"/>
      <c r="H145" s="12"/>
    </row>
    <row r="146" spans="1:8" s="15" customFormat="1" ht="15.75">
      <c r="A146" s="10"/>
      <c r="B146" s="11"/>
      <c r="C146" s="12"/>
      <c r="D146" s="12"/>
      <c r="E146" s="12"/>
      <c r="F146" s="12"/>
      <c r="G146" s="12"/>
      <c r="H146" s="12"/>
    </row>
    <row r="147" spans="1:8" s="15" customFormat="1" ht="15.75">
      <c r="A147" s="10"/>
      <c r="B147" s="11"/>
      <c r="C147" s="12"/>
      <c r="D147" s="12"/>
      <c r="E147" s="12"/>
      <c r="F147" s="12"/>
      <c r="G147" s="12"/>
      <c r="H147" s="12"/>
    </row>
    <row r="148" spans="1:8" s="15" customFormat="1" ht="15.75">
      <c r="A148" s="10"/>
      <c r="B148" s="11"/>
      <c r="C148" s="12"/>
      <c r="D148" s="12"/>
      <c r="E148" s="12"/>
      <c r="F148" s="12"/>
      <c r="G148" s="12"/>
      <c r="H148" s="12"/>
    </row>
    <row r="149" spans="1:8" s="15" customFormat="1" ht="15.75">
      <c r="A149" s="10"/>
      <c r="B149" s="11"/>
      <c r="C149" s="12"/>
      <c r="D149" s="12"/>
      <c r="E149" s="12"/>
      <c r="F149" s="12"/>
      <c r="G149" s="12"/>
      <c r="H149" s="12"/>
    </row>
    <row r="150" spans="1:8" s="15" customFormat="1" ht="15.75">
      <c r="A150" s="10"/>
      <c r="B150" s="11"/>
      <c r="C150" s="12"/>
      <c r="D150" s="12"/>
      <c r="E150" s="12"/>
      <c r="F150" s="12"/>
      <c r="G150" s="12"/>
      <c r="H150" s="12"/>
    </row>
    <row r="151" ht="12.75">
      <c r="G151" s="80"/>
    </row>
    <row r="152" spans="1:7" ht="12.75">
      <c r="A152" s="11"/>
      <c r="B152" s="17"/>
      <c r="C152" s="17"/>
      <c r="D152" s="17"/>
      <c r="E152" s="17"/>
      <c r="F152" s="17"/>
      <c r="G152" s="18"/>
    </row>
    <row r="153" spans="1:8" ht="18.75" customHeight="1" thickBot="1">
      <c r="A153" s="410" t="s">
        <v>78</v>
      </c>
      <c r="B153" s="411"/>
      <c r="C153" s="411"/>
      <c r="D153" s="411"/>
      <c r="E153" s="411"/>
      <c r="F153" s="411"/>
      <c r="G153" s="411"/>
      <c r="H153" s="411"/>
    </row>
    <row r="154" spans="1:9" ht="12.75">
      <c r="A154" s="397" t="s">
        <v>1</v>
      </c>
      <c r="B154" s="398"/>
      <c r="C154" s="389" t="s">
        <v>190</v>
      </c>
      <c r="D154" s="429" t="s">
        <v>226</v>
      </c>
      <c r="E154" s="429" t="s">
        <v>236</v>
      </c>
      <c r="F154" s="429" t="s">
        <v>257</v>
      </c>
      <c r="G154" s="429" t="s">
        <v>252</v>
      </c>
      <c r="H154" s="389" t="s">
        <v>195</v>
      </c>
      <c r="I154" s="80"/>
    </row>
    <row r="155" spans="1:9" ht="13.5" thickBot="1">
      <c r="A155" s="412"/>
      <c r="B155" s="413"/>
      <c r="C155" s="390"/>
      <c r="D155" s="430"/>
      <c r="E155" s="430"/>
      <c r="F155" s="430"/>
      <c r="G155" s="430"/>
      <c r="H155" s="390"/>
      <c r="I155" s="18"/>
    </row>
    <row r="156" spans="1:8" ht="15.75" thickBot="1">
      <c r="A156" s="402" t="s">
        <v>139</v>
      </c>
      <c r="B156" s="403"/>
      <c r="C156" s="146">
        <f aca="true" t="shared" si="23" ref="C156:H156">SUM(C157:C159)</f>
        <v>0</v>
      </c>
      <c r="D156" s="229">
        <f t="shared" si="23"/>
        <v>28195</v>
      </c>
      <c r="E156" s="229">
        <f t="shared" si="23"/>
        <v>2452376</v>
      </c>
      <c r="F156" s="229">
        <f t="shared" si="23"/>
        <v>2452376</v>
      </c>
      <c r="G156" s="146">
        <f t="shared" si="23"/>
        <v>477550</v>
      </c>
      <c r="H156" s="229">
        <f t="shared" si="23"/>
        <v>73880.27937600002</v>
      </c>
    </row>
    <row r="157" spans="1:8" ht="12.75">
      <c r="A157" s="69">
        <v>230</v>
      </c>
      <c r="B157" s="44" t="s">
        <v>97</v>
      </c>
      <c r="C157" s="147">
        <v>0</v>
      </c>
      <c r="D157" s="295">
        <v>1195</v>
      </c>
      <c r="E157" s="295">
        <v>3778</v>
      </c>
      <c r="F157" s="290">
        <v>3778</v>
      </c>
      <c r="G157" s="290">
        <v>3778</v>
      </c>
      <c r="H157" s="348">
        <f>E157*$G$8/1000</f>
        <v>113.816028</v>
      </c>
    </row>
    <row r="158" spans="1:8" ht="12.75">
      <c r="A158" s="127">
        <v>322</v>
      </c>
      <c r="B158" s="227" t="s">
        <v>201</v>
      </c>
      <c r="C158" s="228">
        <v>0</v>
      </c>
      <c r="D158" s="296">
        <v>0</v>
      </c>
      <c r="E158" s="314">
        <f>170696+735413+573407+935702</f>
        <v>2415218</v>
      </c>
      <c r="F158" s="296">
        <f>170696+735413+573407+935702</f>
        <v>2415218</v>
      </c>
      <c r="G158" s="296">
        <f>288608+151784</f>
        <v>440392</v>
      </c>
      <c r="H158" s="350">
        <f>E158*$G$8/1000</f>
        <v>72760.85746800002</v>
      </c>
    </row>
    <row r="159" spans="1:9" ht="13.5" thickBot="1">
      <c r="A159" s="68">
        <v>321</v>
      </c>
      <c r="B159" s="42" t="s">
        <v>167</v>
      </c>
      <c r="C159" s="145">
        <v>0</v>
      </c>
      <c r="D159" s="343">
        <v>27000</v>
      </c>
      <c r="E159" s="343">
        <v>33380</v>
      </c>
      <c r="F159" s="291">
        <v>33380</v>
      </c>
      <c r="G159" s="291">
        <v>33380</v>
      </c>
      <c r="H159" s="351">
        <f>E159*$G$8/1000</f>
        <v>1005.60588</v>
      </c>
      <c r="I159" s="4">
        <f>SUM(G158:G159)</f>
        <v>473772</v>
      </c>
    </row>
    <row r="160" spans="1:8" ht="18.75" thickBot="1">
      <c r="A160" s="52"/>
      <c r="B160" s="3"/>
      <c r="C160" s="148"/>
      <c r="D160" s="297"/>
      <c r="E160" s="297"/>
      <c r="F160" s="297"/>
      <c r="G160" s="297"/>
      <c r="H160" s="149"/>
    </row>
    <row r="161" spans="1:8" ht="16.5" thickBot="1">
      <c r="A161" s="402" t="s">
        <v>140</v>
      </c>
      <c r="B161" s="403"/>
      <c r="C161" s="150">
        <f aca="true" t="shared" si="24" ref="C161:H161">SUM(C162:C178)</f>
        <v>200666</v>
      </c>
      <c r="D161" s="150">
        <f t="shared" si="24"/>
        <v>385686</v>
      </c>
      <c r="E161" s="150">
        <f t="shared" si="24"/>
        <v>2840403</v>
      </c>
      <c r="F161" s="150">
        <f t="shared" si="24"/>
        <v>2807973</v>
      </c>
      <c r="G161" s="150">
        <f t="shared" si="24"/>
        <v>649007</v>
      </c>
      <c r="H161" s="150">
        <f t="shared" si="24"/>
        <v>85569.98077800001</v>
      </c>
    </row>
    <row r="162" spans="1:8" ht="12.75">
      <c r="A162" s="95" t="s">
        <v>36</v>
      </c>
      <c r="B162" s="6" t="s">
        <v>171</v>
      </c>
      <c r="C162" s="151">
        <v>0</v>
      </c>
      <c r="D162" s="298">
        <f>3870+553+2600</f>
        <v>7023</v>
      </c>
      <c r="E162" s="322">
        <f>3870+553+2600</f>
        <v>7023</v>
      </c>
      <c r="F162" s="298">
        <v>18571</v>
      </c>
      <c r="G162" s="322">
        <v>18571</v>
      </c>
      <c r="H162" s="348">
        <f aca="true" t="shared" si="25" ref="H162:H178">E162*$G$8/1000</f>
        <v>211.57489800000002</v>
      </c>
    </row>
    <row r="163" spans="1:8" ht="12.75">
      <c r="A163" s="266" t="s">
        <v>36</v>
      </c>
      <c r="B163" s="6" t="s">
        <v>231</v>
      </c>
      <c r="C163" s="267">
        <v>0</v>
      </c>
      <c r="D163" s="298">
        <v>35000</v>
      </c>
      <c r="E163" s="322">
        <v>35000</v>
      </c>
      <c r="F163" s="298">
        <v>25460</v>
      </c>
      <c r="G163" s="322">
        <v>25460</v>
      </c>
      <c r="H163" s="350">
        <f t="shared" si="25"/>
        <v>1054.41</v>
      </c>
    </row>
    <row r="164" spans="1:8" ht="13.5" thickBot="1">
      <c r="A164" s="64" t="s">
        <v>36</v>
      </c>
      <c r="B164" s="83" t="s">
        <v>199</v>
      </c>
      <c r="C164" s="152">
        <v>0</v>
      </c>
      <c r="D164" s="299">
        <f>1339+38759+426+4201+2800+2800+9664+10820+2380</f>
        <v>73189</v>
      </c>
      <c r="E164" s="336">
        <v>73189</v>
      </c>
      <c r="F164" s="299">
        <v>55894</v>
      </c>
      <c r="G164" s="336">
        <v>55894</v>
      </c>
      <c r="H164" s="350">
        <f t="shared" si="25"/>
        <v>2204.891814</v>
      </c>
    </row>
    <row r="165" spans="1:8" ht="12.75">
      <c r="A165" s="135" t="s">
        <v>38</v>
      </c>
      <c r="B165" s="136" t="s">
        <v>222</v>
      </c>
      <c r="C165" s="155">
        <v>0</v>
      </c>
      <c r="D165" s="315">
        <v>800</v>
      </c>
      <c r="E165" s="337">
        <v>800</v>
      </c>
      <c r="F165" s="337">
        <v>800</v>
      </c>
      <c r="G165" s="337">
        <v>771</v>
      </c>
      <c r="H165" s="350">
        <f t="shared" si="25"/>
        <v>24.1008</v>
      </c>
    </row>
    <row r="166" spans="1:8" ht="12.75">
      <c r="A166" s="70" t="s">
        <v>38</v>
      </c>
      <c r="B166" s="28" t="s">
        <v>217</v>
      </c>
      <c r="C166" s="156">
        <v>0</v>
      </c>
      <c r="D166" s="300">
        <f>19520+8000</f>
        <v>27520</v>
      </c>
      <c r="E166" s="300">
        <f>19520+8000-500</f>
        <v>27020</v>
      </c>
      <c r="F166" s="300">
        <v>27015</v>
      </c>
      <c r="G166" s="321">
        <v>27015</v>
      </c>
      <c r="H166" s="350">
        <f t="shared" si="25"/>
        <v>814.0045200000001</v>
      </c>
    </row>
    <row r="167" spans="1:8" ht="12.75">
      <c r="A167" s="49" t="s">
        <v>40</v>
      </c>
      <c r="B167" s="28" t="s">
        <v>182</v>
      </c>
      <c r="C167" s="156">
        <v>38706</v>
      </c>
      <c r="D167" s="276">
        <v>38706</v>
      </c>
      <c r="E167" s="300">
        <f>38706+735413</f>
        <v>774119</v>
      </c>
      <c r="F167" s="378">
        <f>38706+735413</f>
        <v>774119</v>
      </c>
      <c r="G167" s="321">
        <v>303798</v>
      </c>
      <c r="H167" s="350">
        <f t="shared" si="25"/>
        <v>23321.108994000002</v>
      </c>
    </row>
    <row r="168" spans="1:8" ht="12.75">
      <c r="A168" s="84" t="s">
        <v>184</v>
      </c>
      <c r="B168" s="85" t="s">
        <v>79</v>
      </c>
      <c r="C168" s="151">
        <v>0</v>
      </c>
      <c r="D168" s="140">
        <v>0</v>
      </c>
      <c r="E168" s="298">
        <v>26000</v>
      </c>
      <c r="F168" s="368">
        <v>19351</v>
      </c>
      <c r="G168" s="322">
        <v>19351</v>
      </c>
      <c r="H168" s="350">
        <f t="shared" si="25"/>
        <v>783.276</v>
      </c>
    </row>
    <row r="169" spans="1:8" ht="12.75">
      <c r="A169" s="95" t="s">
        <v>184</v>
      </c>
      <c r="B169" s="6" t="s">
        <v>185</v>
      </c>
      <c r="C169" s="157">
        <v>73550</v>
      </c>
      <c r="D169" s="140">
        <v>73550</v>
      </c>
      <c r="E169" s="140">
        <v>73550</v>
      </c>
      <c r="F169" s="140">
        <v>73550</v>
      </c>
      <c r="G169" s="322">
        <v>0</v>
      </c>
      <c r="H169" s="350">
        <f t="shared" si="25"/>
        <v>2215.7673000000004</v>
      </c>
    </row>
    <row r="170" spans="1:8" ht="12.75">
      <c r="A170" s="84" t="s">
        <v>186</v>
      </c>
      <c r="B170" s="6" t="s">
        <v>168</v>
      </c>
      <c r="C170" s="151">
        <v>0</v>
      </c>
      <c r="D170" s="140">
        <v>0</v>
      </c>
      <c r="E170" s="140">
        <v>0</v>
      </c>
      <c r="F170" s="140">
        <v>0</v>
      </c>
      <c r="G170" s="322">
        <v>0</v>
      </c>
      <c r="H170" s="350">
        <f t="shared" si="25"/>
        <v>0</v>
      </c>
    </row>
    <row r="171" spans="1:8" ht="12.75">
      <c r="A171" s="70" t="s">
        <v>186</v>
      </c>
      <c r="B171" s="28" t="s">
        <v>244</v>
      </c>
      <c r="C171" s="156">
        <v>49247</v>
      </c>
      <c r="D171" s="276">
        <v>49247</v>
      </c>
      <c r="E171" s="300">
        <f>49247+935702</f>
        <v>984949</v>
      </c>
      <c r="F171" s="378">
        <f>49247+935702</f>
        <v>984949</v>
      </c>
      <c r="G171" s="321">
        <v>0</v>
      </c>
      <c r="H171" s="350">
        <f t="shared" si="25"/>
        <v>29672.573574000002</v>
      </c>
    </row>
    <row r="172" spans="1:8" ht="12.75">
      <c r="A172" s="70" t="s">
        <v>44</v>
      </c>
      <c r="B172" s="28" t="s">
        <v>233</v>
      </c>
      <c r="C172" s="156">
        <v>0</v>
      </c>
      <c r="D172" s="300">
        <v>9494</v>
      </c>
      <c r="E172" s="321">
        <v>9494</v>
      </c>
      <c r="F172" s="300">
        <v>0</v>
      </c>
      <c r="G172" s="321">
        <v>0</v>
      </c>
      <c r="H172" s="350">
        <f t="shared" si="25"/>
        <v>286.01624400000003</v>
      </c>
    </row>
    <row r="173" spans="1:8" ht="12.75">
      <c r="A173" s="49" t="s">
        <v>50</v>
      </c>
      <c r="B173" s="28" t="s">
        <v>151</v>
      </c>
      <c r="C173" s="156">
        <v>0</v>
      </c>
      <c r="D173" s="300">
        <v>0</v>
      </c>
      <c r="E173" s="321">
        <v>0</v>
      </c>
      <c r="F173" s="321">
        <v>0</v>
      </c>
      <c r="G173" s="321">
        <v>0</v>
      </c>
      <c r="H173" s="350">
        <f t="shared" si="25"/>
        <v>0</v>
      </c>
    </row>
    <row r="174" spans="1:8" ht="12.75">
      <c r="A174" s="49" t="s">
        <v>54</v>
      </c>
      <c r="B174" s="28" t="s">
        <v>232</v>
      </c>
      <c r="C174" s="156"/>
      <c r="D174" s="300">
        <v>24620</v>
      </c>
      <c r="E174" s="300">
        <v>31000</v>
      </c>
      <c r="F174" s="378">
        <v>31000</v>
      </c>
      <c r="G174" s="321">
        <v>31000</v>
      </c>
      <c r="H174" s="350">
        <f t="shared" si="25"/>
        <v>933.906</v>
      </c>
    </row>
    <row r="175" spans="1:8" ht="12.75">
      <c r="A175" s="50" t="s">
        <v>58</v>
      </c>
      <c r="B175" s="6" t="s">
        <v>170</v>
      </c>
      <c r="C175" s="151">
        <v>8984</v>
      </c>
      <c r="D175" s="140">
        <v>8984</v>
      </c>
      <c r="E175" s="298">
        <f>8984+170696</f>
        <v>179680</v>
      </c>
      <c r="F175" s="298">
        <v>178685</v>
      </c>
      <c r="G175" s="322">
        <v>159773</v>
      </c>
      <c r="H175" s="350">
        <f t="shared" si="25"/>
        <v>5413.039680000001</v>
      </c>
    </row>
    <row r="176" spans="1:8" ht="12.75">
      <c r="A176" s="50" t="s">
        <v>58</v>
      </c>
      <c r="B176" s="6" t="s">
        <v>198</v>
      </c>
      <c r="C176" s="151">
        <v>30179</v>
      </c>
      <c r="D176" s="140">
        <v>30179</v>
      </c>
      <c r="E176" s="298">
        <f>30179+581026</f>
        <v>611205</v>
      </c>
      <c r="F176" s="372">
        <f>603586+7619</f>
        <v>611205</v>
      </c>
      <c r="G176" s="322">
        <v>0</v>
      </c>
      <c r="H176" s="350">
        <f t="shared" si="25"/>
        <v>18413.16183</v>
      </c>
    </row>
    <row r="177" spans="1:8" ht="12.75">
      <c r="A177" s="50" t="s">
        <v>59</v>
      </c>
      <c r="B177" s="6" t="s">
        <v>216</v>
      </c>
      <c r="C177" s="151">
        <v>0</v>
      </c>
      <c r="D177" s="298">
        <v>7374</v>
      </c>
      <c r="E177" s="322">
        <v>7374</v>
      </c>
      <c r="F177" s="322">
        <v>7374</v>
      </c>
      <c r="G177" s="322">
        <v>7374</v>
      </c>
      <c r="H177" s="350">
        <f t="shared" si="25"/>
        <v>222.149124</v>
      </c>
    </row>
    <row r="178" spans="1:8" ht="13.5" thickBot="1">
      <c r="A178" s="51" t="s">
        <v>76</v>
      </c>
      <c r="B178" s="32" t="s">
        <v>174</v>
      </c>
      <c r="C178" s="154">
        <v>0</v>
      </c>
      <c r="D178" s="279">
        <v>0</v>
      </c>
      <c r="E178" s="279">
        <v>0</v>
      </c>
      <c r="F178" s="279">
        <v>0</v>
      </c>
      <c r="G178" s="279">
        <v>0</v>
      </c>
      <c r="H178" s="351">
        <f t="shared" si="25"/>
        <v>0</v>
      </c>
    </row>
    <row r="179" ht="12.75" customHeight="1"/>
    <row r="180" ht="12.75" customHeight="1">
      <c r="F180">
        <f>658001+77412+837207+98495+513048+60359+152728+17968</f>
        <v>2415218</v>
      </c>
    </row>
    <row r="181" ht="12.75" customHeight="1"/>
    <row r="182" ht="12.75" customHeight="1"/>
    <row r="183" ht="12.75" customHeight="1"/>
    <row r="184" ht="12.75" customHeight="1"/>
    <row r="185" ht="12.75" customHeight="1"/>
    <row r="186" ht="13.5" customHeight="1"/>
    <row r="187" ht="12.75" customHeight="1"/>
    <row r="188" ht="12.75" customHeight="1"/>
    <row r="189" ht="12.75" customHeight="1"/>
    <row r="190" spans="1:8" ht="12.75">
      <c r="A190" s="20"/>
      <c r="B190" s="21"/>
      <c r="C190" s="21"/>
      <c r="D190" s="21"/>
      <c r="E190" s="21"/>
      <c r="F190" s="21"/>
      <c r="G190" s="86"/>
      <c r="H190" s="87"/>
    </row>
    <row r="191" spans="1:8" ht="12.75">
      <c r="A191" s="21"/>
      <c r="B191" s="17"/>
      <c r="C191" s="17"/>
      <c r="D191" s="17"/>
      <c r="E191" s="17"/>
      <c r="F191" s="17"/>
      <c r="G191" s="22"/>
      <c r="H191" s="22"/>
    </row>
    <row r="192" spans="1:8" ht="18.75" thickBot="1">
      <c r="A192" s="441" t="s">
        <v>80</v>
      </c>
      <c r="B192" s="442"/>
      <c r="C192" s="442"/>
      <c r="D192" s="442"/>
      <c r="E192" s="442"/>
      <c r="F192" s="442"/>
      <c r="G192" s="442"/>
      <c r="H192" s="442"/>
    </row>
    <row r="193" spans="1:8" ht="12.75">
      <c r="A193" s="397" t="s">
        <v>1</v>
      </c>
      <c r="B193" s="398"/>
      <c r="C193" s="389" t="s">
        <v>190</v>
      </c>
      <c r="D193" s="429" t="s">
        <v>226</v>
      </c>
      <c r="E193" s="429" t="s">
        <v>236</v>
      </c>
      <c r="F193" s="429" t="s">
        <v>257</v>
      </c>
      <c r="G193" s="429" t="s">
        <v>252</v>
      </c>
      <c r="H193" s="433" t="s">
        <v>194</v>
      </c>
    </row>
    <row r="194" spans="1:8" ht="13.5" thickBot="1">
      <c r="A194" s="412"/>
      <c r="B194" s="413"/>
      <c r="C194" s="390"/>
      <c r="D194" s="430"/>
      <c r="E194" s="430"/>
      <c r="F194" s="430"/>
      <c r="G194" s="430"/>
      <c r="H194" s="434"/>
    </row>
    <row r="195" spans="1:8" ht="16.5" thickBot="1">
      <c r="A195" s="435" t="s">
        <v>141</v>
      </c>
      <c r="B195" s="436"/>
      <c r="C195" s="208">
        <f aca="true" t="shared" si="26" ref="C195:H195">SUM(C196:C198)</f>
        <v>202266</v>
      </c>
      <c r="D195" s="208">
        <f t="shared" si="26"/>
        <v>344347</v>
      </c>
      <c r="E195" s="208">
        <f t="shared" si="26"/>
        <v>374678</v>
      </c>
      <c r="F195" s="208">
        <f t="shared" si="26"/>
        <v>356597</v>
      </c>
      <c r="G195" s="354">
        <f t="shared" si="26"/>
        <v>172114</v>
      </c>
      <c r="H195" s="353">
        <f t="shared" si="26"/>
        <v>11287.549428</v>
      </c>
    </row>
    <row r="196" spans="1:8" ht="14.25" customHeight="1">
      <c r="A196" s="209">
        <v>411</v>
      </c>
      <c r="B196" s="212" t="s">
        <v>193</v>
      </c>
      <c r="C196" s="210">
        <v>1600</v>
      </c>
      <c r="D196" s="303">
        <v>1600</v>
      </c>
      <c r="E196" s="303">
        <v>1600</v>
      </c>
      <c r="F196" s="380">
        <v>1800</v>
      </c>
      <c r="G196" s="303">
        <v>1428</v>
      </c>
      <c r="H196" s="273">
        <f>E196*$G$8/1000</f>
        <v>48.2016</v>
      </c>
    </row>
    <row r="197" spans="1:9" ht="14.25" customHeight="1">
      <c r="A197" s="47">
        <v>454</v>
      </c>
      <c r="B197" s="5" t="s">
        <v>173</v>
      </c>
      <c r="C197" s="144">
        <v>0</v>
      </c>
      <c r="D197" s="304">
        <f>63515+78566</f>
        <v>142081</v>
      </c>
      <c r="E197" s="304">
        <v>163619</v>
      </c>
      <c r="F197" s="304">
        <v>155496</v>
      </c>
      <c r="G197" s="324">
        <v>155496</v>
      </c>
      <c r="H197" s="273">
        <f>E197*$G$8/1000</f>
        <v>4929.185994</v>
      </c>
      <c r="I197" s="364"/>
    </row>
    <row r="198" spans="1:8" ht="13.5" thickBot="1">
      <c r="A198" s="201">
        <v>513</v>
      </c>
      <c r="B198" s="202" t="s">
        <v>183</v>
      </c>
      <c r="C198" s="203">
        <v>200666</v>
      </c>
      <c r="D198" s="309">
        <f>200666</f>
        <v>200666</v>
      </c>
      <c r="E198" s="309">
        <f>200666+8793</f>
        <v>209459</v>
      </c>
      <c r="F198" s="309">
        <v>199301</v>
      </c>
      <c r="G198" s="329">
        <v>15190</v>
      </c>
      <c r="H198" s="273">
        <f>E198*$G$8/1000</f>
        <v>6310.1618339999995</v>
      </c>
    </row>
    <row r="199" spans="1:8" ht="16.5" thickBot="1">
      <c r="A199" s="435" t="s">
        <v>142</v>
      </c>
      <c r="B199" s="436"/>
      <c r="C199" s="208">
        <f aca="true" t="shared" si="27" ref="C199:H199">SUM(C200:C202)</f>
        <v>2965</v>
      </c>
      <c r="D199" s="208">
        <f t="shared" si="27"/>
        <v>3014</v>
      </c>
      <c r="E199" s="208">
        <f t="shared" si="27"/>
        <v>3414</v>
      </c>
      <c r="F199" s="208">
        <f t="shared" si="27"/>
        <v>2600</v>
      </c>
      <c r="G199" s="208">
        <f t="shared" si="27"/>
        <v>2506</v>
      </c>
      <c r="H199" s="208">
        <f t="shared" si="27"/>
        <v>102.850164</v>
      </c>
    </row>
    <row r="200" spans="1:8" s="15" customFormat="1" ht="13.5" thickBot="1">
      <c r="A200" s="231">
        <v>812</v>
      </c>
      <c r="B200" s="212" t="s">
        <v>254</v>
      </c>
      <c r="C200" s="232">
        <v>0</v>
      </c>
      <c r="D200" s="305">
        <v>0</v>
      </c>
      <c r="E200" s="305">
        <v>0</v>
      </c>
      <c r="F200" s="377">
        <v>200</v>
      </c>
      <c r="G200" s="305">
        <v>200</v>
      </c>
      <c r="H200" s="348">
        <f>E200*$G$8/1000</f>
        <v>0</v>
      </c>
    </row>
    <row r="201" spans="1:8" ht="12.75">
      <c r="A201" s="231">
        <v>821</v>
      </c>
      <c r="B201" s="212" t="s">
        <v>202</v>
      </c>
      <c r="C201" s="232">
        <v>2434</v>
      </c>
      <c r="D201" s="305">
        <v>2434</v>
      </c>
      <c r="E201" s="305">
        <v>2434</v>
      </c>
      <c r="F201" s="377">
        <v>1800</v>
      </c>
      <c r="G201" s="305">
        <v>1708</v>
      </c>
      <c r="H201" s="348">
        <f>E201*$G$8/1000</f>
        <v>73.32668400000001</v>
      </c>
    </row>
    <row r="202" spans="1:8" ht="13.5" thickBot="1">
      <c r="A202" s="205">
        <v>821</v>
      </c>
      <c r="B202" s="206" t="s">
        <v>135</v>
      </c>
      <c r="C202" s="196">
        <v>531</v>
      </c>
      <c r="D202" s="306">
        <v>580</v>
      </c>
      <c r="E202" s="306">
        <v>980</v>
      </c>
      <c r="F202" s="376">
        <v>600</v>
      </c>
      <c r="G202" s="362">
        <v>598</v>
      </c>
      <c r="H202" s="349">
        <f>E202*$G$8/1000</f>
        <v>29.52348</v>
      </c>
    </row>
    <row r="203" spans="1:8" ht="15.75">
      <c r="A203" s="10"/>
      <c r="B203" s="11"/>
      <c r="C203" s="11"/>
      <c r="D203" s="11"/>
      <c r="E203" s="11"/>
      <c r="F203" s="11"/>
      <c r="G203" s="12"/>
      <c r="H203" s="12"/>
    </row>
    <row r="204" spans="2:7" ht="12.75">
      <c r="B204" s="17"/>
      <c r="C204" s="17"/>
      <c r="D204" s="17"/>
      <c r="E204" s="17"/>
      <c r="F204" s="17"/>
      <c r="G204" s="23"/>
    </row>
    <row r="205" spans="1:8" ht="18.75" thickBot="1">
      <c r="A205" s="439" t="s">
        <v>143</v>
      </c>
      <c r="B205" s="440"/>
      <c r="C205" s="440"/>
      <c r="D205" s="440"/>
      <c r="E205" s="440"/>
      <c r="F205" s="440"/>
      <c r="G205" s="440"/>
      <c r="H205" s="440"/>
    </row>
    <row r="206" spans="1:8" ht="12.75">
      <c r="A206" s="397" t="s">
        <v>1</v>
      </c>
      <c r="B206" s="398"/>
      <c r="C206" s="431" t="s">
        <v>190</v>
      </c>
      <c r="D206" s="429" t="s">
        <v>226</v>
      </c>
      <c r="E206" s="429" t="s">
        <v>236</v>
      </c>
      <c r="F206" s="429" t="s">
        <v>257</v>
      </c>
      <c r="G206" s="429" t="s">
        <v>252</v>
      </c>
      <c r="H206" s="431" t="s">
        <v>195</v>
      </c>
    </row>
    <row r="207" spans="1:8" ht="13.5" thickBot="1">
      <c r="A207" s="399"/>
      <c r="B207" s="400"/>
      <c r="C207" s="432"/>
      <c r="D207" s="430"/>
      <c r="E207" s="430"/>
      <c r="F207" s="430"/>
      <c r="G207" s="430"/>
      <c r="H207" s="432"/>
    </row>
    <row r="208" spans="1:8" ht="15">
      <c r="A208" s="307" t="s">
        <v>81</v>
      </c>
      <c r="B208" s="45"/>
      <c r="C208" s="290">
        <f aca="true" t="shared" si="28" ref="C208:H208">C74</f>
        <v>1051399</v>
      </c>
      <c r="D208" s="290">
        <f t="shared" si="28"/>
        <v>1120010</v>
      </c>
      <c r="E208" s="290">
        <f t="shared" si="28"/>
        <v>1128637</v>
      </c>
      <c r="F208" s="290">
        <f t="shared" si="28"/>
        <v>1123523</v>
      </c>
      <c r="G208" s="290">
        <f t="shared" si="28"/>
        <v>1096795</v>
      </c>
      <c r="H208" s="137">
        <f t="shared" si="28"/>
        <v>34001.318262</v>
      </c>
    </row>
    <row r="209" spans="1:8" ht="15">
      <c r="A209" s="54" t="s">
        <v>82</v>
      </c>
      <c r="B209" s="6"/>
      <c r="C209" s="138">
        <f aca="true" t="shared" si="29" ref="C209:H209">C135</f>
        <v>1050034</v>
      </c>
      <c r="D209" s="138">
        <f t="shared" si="29"/>
        <v>1103852</v>
      </c>
      <c r="E209" s="138">
        <f t="shared" si="29"/>
        <v>1111874</v>
      </c>
      <c r="F209" s="138">
        <f t="shared" si="29"/>
        <v>1121923</v>
      </c>
      <c r="G209" s="138">
        <f t="shared" si="29"/>
        <v>1061223</v>
      </c>
      <c r="H209" s="138">
        <f t="shared" si="29"/>
        <v>33496.316124000004</v>
      </c>
    </row>
    <row r="210" spans="1:8" ht="15.75">
      <c r="A210" s="46"/>
      <c r="B210" s="24" t="s">
        <v>83</v>
      </c>
      <c r="C210" s="139">
        <f aca="true" t="shared" si="30" ref="C210:H210">C208-C209</f>
        <v>1365</v>
      </c>
      <c r="D210" s="139">
        <f t="shared" si="30"/>
        <v>16158</v>
      </c>
      <c r="E210" s="139">
        <f t="shared" si="30"/>
        <v>16763</v>
      </c>
      <c r="F210" s="139">
        <f t="shared" si="30"/>
        <v>1600</v>
      </c>
      <c r="G210" s="139">
        <f t="shared" si="30"/>
        <v>35572</v>
      </c>
      <c r="H210" s="139">
        <f t="shared" si="30"/>
        <v>505.0021379999962</v>
      </c>
    </row>
    <row r="211" spans="1:8" ht="15">
      <c r="A211" s="54" t="s">
        <v>84</v>
      </c>
      <c r="B211" s="6"/>
      <c r="C211" s="138">
        <f aca="true" t="shared" si="31" ref="C211:H211">C156</f>
        <v>0</v>
      </c>
      <c r="D211" s="138">
        <f t="shared" si="31"/>
        <v>28195</v>
      </c>
      <c r="E211" s="138">
        <f t="shared" si="31"/>
        <v>2452376</v>
      </c>
      <c r="F211" s="138">
        <f t="shared" si="31"/>
        <v>2452376</v>
      </c>
      <c r="G211" s="138">
        <f t="shared" si="31"/>
        <v>477550</v>
      </c>
      <c r="H211" s="138">
        <f t="shared" si="31"/>
        <v>73880.27937600002</v>
      </c>
    </row>
    <row r="212" spans="1:8" ht="15">
      <c r="A212" s="54" t="s">
        <v>85</v>
      </c>
      <c r="B212" s="6"/>
      <c r="C212" s="140">
        <f aca="true" t="shared" si="32" ref="C212:H212">C161</f>
        <v>200666</v>
      </c>
      <c r="D212" s="140">
        <f t="shared" si="32"/>
        <v>385686</v>
      </c>
      <c r="E212" s="140">
        <f t="shared" si="32"/>
        <v>2840403</v>
      </c>
      <c r="F212" s="140">
        <f t="shared" si="32"/>
        <v>2807973</v>
      </c>
      <c r="G212" s="140">
        <f t="shared" si="32"/>
        <v>649007</v>
      </c>
      <c r="H212" s="140">
        <f t="shared" si="32"/>
        <v>85569.98077800001</v>
      </c>
    </row>
    <row r="213" spans="1:8" ht="15.75">
      <c r="A213" s="46"/>
      <c r="B213" s="26" t="s">
        <v>86</v>
      </c>
      <c r="C213" s="139">
        <f aca="true" t="shared" si="33" ref="C213:H213">C211-C212</f>
        <v>-200666</v>
      </c>
      <c r="D213" s="139">
        <f t="shared" si="33"/>
        <v>-357491</v>
      </c>
      <c r="E213" s="139">
        <f t="shared" si="33"/>
        <v>-388027</v>
      </c>
      <c r="F213" s="139">
        <f t="shared" si="33"/>
        <v>-355597</v>
      </c>
      <c r="G213" s="139">
        <f t="shared" si="33"/>
        <v>-171457</v>
      </c>
      <c r="H213" s="139">
        <f t="shared" si="33"/>
        <v>-11689.701401999992</v>
      </c>
    </row>
    <row r="214" spans="1:8" ht="15">
      <c r="A214" s="383" t="s">
        <v>137</v>
      </c>
      <c r="B214" s="384"/>
      <c r="C214" s="141">
        <f aca="true" t="shared" si="34" ref="C214:H214">C195</f>
        <v>202266</v>
      </c>
      <c r="D214" s="141">
        <f t="shared" si="34"/>
        <v>344347</v>
      </c>
      <c r="E214" s="141">
        <f t="shared" si="34"/>
        <v>374678</v>
      </c>
      <c r="F214" s="141">
        <f t="shared" si="34"/>
        <v>356597</v>
      </c>
      <c r="G214" s="141">
        <f t="shared" si="34"/>
        <v>172114</v>
      </c>
      <c r="H214" s="141">
        <f t="shared" si="34"/>
        <v>11287.549428</v>
      </c>
    </row>
    <row r="215" spans="1:8" ht="15">
      <c r="A215" s="383" t="s">
        <v>136</v>
      </c>
      <c r="B215" s="384"/>
      <c r="C215" s="141">
        <f aca="true" t="shared" si="35" ref="C215:H215">C199</f>
        <v>2965</v>
      </c>
      <c r="D215" s="141">
        <f t="shared" si="35"/>
        <v>3014</v>
      </c>
      <c r="E215" s="141">
        <f t="shared" si="35"/>
        <v>3414</v>
      </c>
      <c r="F215" s="141">
        <f t="shared" si="35"/>
        <v>2600</v>
      </c>
      <c r="G215" s="141">
        <f t="shared" si="35"/>
        <v>2506</v>
      </c>
      <c r="H215" s="141">
        <f t="shared" si="35"/>
        <v>102.850164</v>
      </c>
    </row>
    <row r="216" spans="1:8" ht="16.5" thickBot="1">
      <c r="A216" s="55"/>
      <c r="B216" s="56" t="s">
        <v>138</v>
      </c>
      <c r="C216" s="142">
        <f aca="true" t="shared" si="36" ref="C216:H216">C214-C215</f>
        <v>199301</v>
      </c>
      <c r="D216" s="142">
        <f t="shared" si="36"/>
        <v>341333</v>
      </c>
      <c r="E216" s="142">
        <f t="shared" si="36"/>
        <v>371264</v>
      </c>
      <c r="F216" s="142">
        <f t="shared" si="36"/>
        <v>353997</v>
      </c>
      <c r="G216" s="142">
        <f t="shared" si="36"/>
        <v>169608</v>
      </c>
      <c r="H216" s="142">
        <f t="shared" si="36"/>
        <v>11184.699264</v>
      </c>
    </row>
    <row r="217" spans="1:8" ht="16.5" thickBot="1">
      <c r="A217" s="385" t="s">
        <v>87</v>
      </c>
      <c r="B217" s="386"/>
      <c r="C217" s="143">
        <f aca="true" t="shared" si="37" ref="C217:H217">C210+C213+C216</f>
        <v>0</v>
      </c>
      <c r="D217" s="143">
        <f t="shared" si="37"/>
        <v>0</v>
      </c>
      <c r="E217" s="143">
        <f t="shared" si="37"/>
        <v>0</v>
      </c>
      <c r="F217" s="143">
        <f t="shared" si="37"/>
        <v>0</v>
      </c>
      <c r="G217" s="143">
        <f t="shared" si="37"/>
        <v>33723</v>
      </c>
      <c r="H217" s="143">
        <f t="shared" si="37"/>
        <v>0</v>
      </c>
    </row>
    <row r="218" ht="12.75">
      <c r="H218" s="71"/>
    </row>
    <row r="219" spans="2:8" ht="12.75">
      <c r="B219" s="27" t="s">
        <v>88</v>
      </c>
      <c r="C219" s="71">
        <f aca="true" t="shared" si="38" ref="C219:H220">C208+C211+C214</f>
        <v>1253665</v>
      </c>
      <c r="D219" s="71">
        <f t="shared" si="38"/>
        <v>1492552</v>
      </c>
      <c r="E219" s="71">
        <f t="shared" si="38"/>
        <v>3955691</v>
      </c>
      <c r="F219" s="71">
        <f>F208+F211+F214</f>
        <v>3932496</v>
      </c>
      <c r="G219" s="71">
        <f t="shared" si="38"/>
        <v>1746459</v>
      </c>
      <c r="H219" s="71">
        <f t="shared" si="38"/>
        <v>119169.14706600002</v>
      </c>
    </row>
    <row r="220" spans="2:8" ht="12.75">
      <c r="B220" s="27" t="s">
        <v>89</v>
      </c>
      <c r="C220" s="71">
        <f t="shared" si="38"/>
        <v>1253665</v>
      </c>
      <c r="D220" s="71">
        <f t="shared" si="38"/>
        <v>1492552</v>
      </c>
      <c r="E220" s="71">
        <f t="shared" si="38"/>
        <v>3955691</v>
      </c>
      <c r="F220" s="71">
        <f>F209+F212+F215</f>
        <v>3932496</v>
      </c>
      <c r="G220" s="71">
        <f t="shared" si="38"/>
        <v>1712736</v>
      </c>
      <c r="H220" s="71">
        <f t="shared" si="38"/>
        <v>119169.14706600002</v>
      </c>
    </row>
    <row r="221" spans="2:8" ht="12.75">
      <c r="B221" s="27"/>
      <c r="C221" s="71"/>
      <c r="D221" s="71"/>
      <c r="E221" s="71"/>
      <c r="F221" s="71"/>
      <c r="G221" s="71"/>
      <c r="H221" s="71"/>
    </row>
    <row r="222" spans="2:8" ht="12.75">
      <c r="B222" s="27" t="s">
        <v>150</v>
      </c>
      <c r="C222" s="71">
        <f>C219-C73</f>
        <v>1251991</v>
      </c>
      <c r="D222" s="71">
        <f>D219-D73</f>
        <v>1490878</v>
      </c>
      <c r="E222" s="71">
        <f>E219-E73</f>
        <v>3951951</v>
      </c>
      <c r="F222" s="71">
        <f>F219-F73</f>
        <v>3928892</v>
      </c>
      <c r="G222" s="71">
        <f>G219-G73</f>
        <v>1742855</v>
      </c>
      <c r="H222" s="71">
        <f>H219-H73</f>
        <v>119056.47582600002</v>
      </c>
    </row>
    <row r="223" spans="2:8" ht="12.75">
      <c r="B223" s="27" t="s">
        <v>154</v>
      </c>
      <c r="C223" s="71">
        <f>C220-C134</f>
        <v>946269</v>
      </c>
      <c r="D223" s="71">
        <f>D220-D134</f>
        <v>1171988</v>
      </c>
      <c r="E223" s="71">
        <f>E220-E134</f>
        <v>3633061</v>
      </c>
      <c r="F223" s="71">
        <f>F220-F134</f>
        <v>3611539</v>
      </c>
      <c r="G223" s="71">
        <f>G220-G134</f>
        <v>1391779</v>
      </c>
      <c r="H223" s="71">
        <f>H220-H134</f>
        <v>109449.59568600002</v>
      </c>
    </row>
  </sheetData>
  <sheetProtection/>
  <mergeCells count="57">
    <mergeCell ref="A78:H78"/>
    <mergeCell ref="A9:H9"/>
    <mergeCell ref="H79:H80"/>
    <mergeCell ref="H10:H11"/>
    <mergeCell ref="A12:B12"/>
    <mergeCell ref="A21:B21"/>
    <mergeCell ref="A79:B80"/>
    <mergeCell ref="A40:B40"/>
    <mergeCell ref="A42:B42"/>
    <mergeCell ref="E10:E11"/>
    <mergeCell ref="G79:G80"/>
    <mergeCell ref="F79:F80"/>
    <mergeCell ref="A192:H192"/>
    <mergeCell ref="A153:H153"/>
    <mergeCell ref="A134:B134"/>
    <mergeCell ref="A86:B86"/>
    <mergeCell ref="A88:B88"/>
    <mergeCell ref="A115:B115"/>
    <mergeCell ref="E79:E80"/>
    <mergeCell ref="C79:C80"/>
    <mergeCell ref="A1:G1"/>
    <mergeCell ref="A2:G2"/>
    <mergeCell ref="A10:B11"/>
    <mergeCell ref="C10:C11"/>
    <mergeCell ref="D10:D11"/>
    <mergeCell ref="G10:G11"/>
    <mergeCell ref="F10:F11"/>
    <mergeCell ref="D79:D80"/>
    <mergeCell ref="H206:H207"/>
    <mergeCell ref="G206:G207"/>
    <mergeCell ref="A161:B161"/>
    <mergeCell ref="E154:E155"/>
    <mergeCell ref="H193:H194"/>
    <mergeCell ref="A154:B155"/>
    <mergeCell ref="C154:C155"/>
    <mergeCell ref="D154:D155"/>
    <mergeCell ref="G154:G155"/>
    <mergeCell ref="F154:F155"/>
    <mergeCell ref="F193:F194"/>
    <mergeCell ref="A156:B156"/>
    <mergeCell ref="H154:H155"/>
    <mergeCell ref="G193:G194"/>
    <mergeCell ref="F206:F207"/>
    <mergeCell ref="A214:B214"/>
    <mergeCell ref="A193:B194"/>
    <mergeCell ref="C193:C194"/>
    <mergeCell ref="D193:D194"/>
    <mergeCell ref="A205:H205"/>
    <mergeCell ref="E193:E194"/>
    <mergeCell ref="A195:B195"/>
    <mergeCell ref="A199:B199"/>
    <mergeCell ref="A215:B215"/>
    <mergeCell ref="A217:B217"/>
    <mergeCell ref="E206:E207"/>
    <mergeCell ref="A206:B207"/>
    <mergeCell ref="C206:C207"/>
    <mergeCell ref="D206:D207"/>
  </mergeCells>
  <printOptions/>
  <pageMargins left="0.7480314960629921" right="0.7480314960629921" top="0.69" bottom="0.53" header="0.5118110236220472" footer="0.5118110236220472"/>
  <pageSetup horizontalDpi="600" verticalDpi="600" orientation="landscape" paperSize="9" r:id="rId1"/>
  <headerFooter alignWithMargins="0">
    <oddHeader>&amp;CRozpočet obce Heľpa na rok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58">
      <selection activeCell="F45" sqref="F45"/>
    </sheetView>
  </sheetViews>
  <sheetFormatPr defaultColWidth="9.00390625" defaultRowHeight="12.75"/>
  <cols>
    <col min="1" max="1" width="6.625" style="0" customWidth="1"/>
    <col min="2" max="2" width="41.00390625" style="0" customWidth="1"/>
    <col min="3" max="3" width="12.375" style="0" customWidth="1"/>
    <col min="4" max="5" width="11.75390625" style="0" customWidth="1"/>
    <col min="6" max="6" width="12.875" style="0" bestFit="1" customWidth="1"/>
    <col min="7" max="7" width="9.375" style="0" bestFit="1" customWidth="1"/>
  </cols>
  <sheetData>
    <row r="1" spans="1:7" ht="20.25">
      <c r="A1" s="426" t="s">
        <v>189</v>
      </c>
      <c r="B1" s="426"/>
      <c r="C1" s="426"/>
      <c r="D1" s="426"/>
      <c r="E1" s="426"/>
      <c r="F1" s="426"/>
      <c r="G1" s="1"/>
    </row>
    <row r="2" spans="1:7" ht="15.75">
      <c r="A2" s="437"/>
      <c r="B2" s="437"/>
      <c r="C2" s="437"/>
      <c r="D2" s="437"/>
      <c r="E2" s="437"/>
      <c r="F2" s="437"/>
      <c r="G2" s="2"/>
    </row>
    <row r="3" spans="1:7" ht="12.75">
      <c r="A3" t="s">
        <v>211</v>
      </c>
      <c r="G3" s="81"/>
    </row>
    <row r="4" spans="1:7" ht="12.75">
      <c r="A4" t="s">
        <v>235</v>
      </c>
      <c r="B4" s="91"/>
      <c r="C4" s="91"/>
      <c r="D4" s="91"/>
      <c r="E4" s="91"/>
      <c r="F4" s="91"/>
      <c r="G4" s="81"/>
    </row>
    <row r="5" spans="1:7" ht="12.75">
      <c r="A5" t="s">
        <v>246</v>
      </c>
      <c r="B5" s="91"/>
      <c r="C5" s="91"/>
      <c r="D5" s="91"/>
      <c r="E5" s="91"/>
      <c r="F5" s="91"/>
      <c r="G5" s="81"/>
    </row>
    <row r="6" spans="1:7" ht="12.75">
      <c r="A6" s="81" t="s">
        <v>164</v>
      </c>
      <c r="B6" s="81"/>
      <c r="C6" s="81"/>
      <c r="D6" s="81"/>
      <c r="E6" s="81"/>
      <c r="F6" s="81"/>
      <c r="G6" s="81"/>
    </row>
    <row r="7" spans="6:7" ht="12.75">
      <c r="F7" s="220">
        <v>30.126</v>
      </c>
      <c r="G7" s="15"/>
    </row>
    <row r="8" spans="1:7" ht="18.75" thickBot="1">
      <c r="A8" s="424" t="s">
        <v>0</v>
      </c>
      <c r="B8" s="425"/>
      <c r="C8" s="425"/>
      <c r="D8" s="425"/>
      <c r="E8" s="425"/>
      <c r="F8" s="425"/>
      <c r="G8" s="425"/>
    </row>
    <row r="9" spans="1:7" ht="12.75">
      <c r="A9" s="397" t="s">
        <v>1</v>
      </c>
      <c r="B9" s="398"/>
      <c r="C9" s="389" t="s">
        <v>190</v>
      </c>
      <c r="D9" s="429" t="s">
        <v>226</v>
      </c>
      <c r="E9" s="429" t="s">
        <v>236</v>
      </c>
      <c r="F9" s="429" t="s">
        <v>247</v>
      </c>
      <c r="G9" s="433" t="s">
        <v>194</v>
      </c>
    </row>
    <row r="10" spans="1:7" ht="13.5" thickBot="1">
      <c r="A10" s="420"/>
      <c r="B10" s="421"/>
      <c r="C10" s="401"/>
      <c r="D10" s="430"/>
      <c r="E10" s="430"/>
      <c r="F10" s="430"/>
      <c r="G10" s="438"/>
    </row>
    <row r="11" spans="1:7" ht="13.5" thickBot="1">
      <c r="A11" s="422" t="s">
        <v>2</v>
      </c>
      <c r="B11" s="423"/>
      <c r="C11" s="186">
        <f>SUM(C12:C19)</f>
        <v>620562</v>
      </c>
      <c r="D11" s="186">
        <f>SUM(D12:D19)</f>
        <v>620592</v>
      </c>
      <c r="E11" s="186">
        <f>SUM(E12:E19)</f>
        <v>620912</v>
      </c>
      <c r="F11" s="186">
        <f>SUM(F12:F19)</f>
        <v>420174</v>
      </c>
      <c r="G11" s="186">
        <f>SUM(G12:G19)</f>
        <v>18705.594912</v>
      </c>
    </row>
    <row r="12" spans="1:7" ht="13.5" thickBot="1">
      <c r="A12" s="65">
        <v>111</v>
      </c>
      <c r="B12" s="33" t="s">
        <v>3</v>
      </c>
      <c r="C12" s="192">
        <v>580000</v>
      </c>
      <c r="D12" s="275">
        <v>580000</v>
      </c>
      <c r="E12" s="275">
        <v>580000</v>
      </c>
      <c r="F12" s="358">
        <v>388245</v>
      </c>
      <c r="G12" s="359">
        <f>E12*$F$7/1000</f>
        <v>17473.08</v>
      </c>
    </row>
    <row r="13" spans="1:7" ht="12.75">
      <c r="A13" s="116">
        <v>121</v>
      </c>
      <c r="B13" s="28" t="s">
        <v>90</v>
      </c>
      <c r="C13" s="161">
        <v>13200</v>
      </c>
      <c r="D13" s="276">
        <v>13200</v>
      </c>
      <c r="E13" s="276">
        <v>13200</v>
      </c>
      <c r="F13" s="156">
        <v>7392</v>
      </c>
      <c r="G13" s="350">
        <f aca="true" t="shared" si="0" ref="G13:G19">E13*$F$7/1000</f>
        <v>397.6632</v>
      </c>
    </row>
    <row r="14" spans="1:7" ht="12.75">
      <c r="A14" s="117">
        <v>121</v>
      </c>
      <c r="B14" s="6" t="s">
        <v>91</v>
      </c>
      <c r="C14" s="157">
        <v>12900</v>
      </c>
      <c r="D14" s="140">
        <v>12900</v>
      </c>
      <c r="E14" s="140">
        <v>12900</v>
      </c>
      <c r="F14" s="151">
        <v>10606</v>
      </c>
      <c r="G14" s="350">
        <f t="shared" si="0"/>
        <v>388.6254</v>
      </c>
    </row>
    <row r="15" spans="1:8" ht="13.5" thickBot="1">
      <c r="A15" s="118">
        <v>121</v>
      </c>
      <c r="B15" s="29" t="s">
        <v>4</v>
      </c>
      <c r="C15" s="166">
        <v>72</v>
      </c>
      <c r="D15" s="277">
        <v>72</v>
      </c>
      <c r="E15" s="277">
        <v>72</v>
      </c>
      <c r="F15" s="357">
        <v>68</v>
      </c>
      <c r="G15" s="350">
        <f t="shared" si="0"/>
        <v>2.1690720000000003</v>
      </c>
      <c r="H15" s="195">
        <f>SUM(D13:D15)</f>
        <v>26172</v>
      </c>
    </row>
    <row r="16" spans="1:7" ht="12.75">
      <c r="A16" s="116">
        <v>133</v>
      </c>
      <c r="B16" s="28" t="s">
        <v>5</v>
      </c>
      <c r="C16" s="161">
        <v>480</v>
      </c>
      <c r="D16" s="276">
        <v>480</v>
      </c>
      <c r="E16" s="300">
        <v>500</v>
      </c>
      <c r="F16" s="156">
        <v>499</v>
      </c>
      <c r="G16" s="350">
        <f t="shared" si="0"/>
        <v>15.063</v>
      </c>
    </row>
    <row r="17" spans="1:7" ht="12.75">
      <c r="A17" s="117">
        <v>133</v>
      </c>
      <c r="B17" s="6" t="s">
        <v>6</v>
      </c>
      <c r="C17" s="157">
        <v>210</v>
      </c>
      <c r="D17" s="298">
        <v>240</v>
      </c>
      <c r="E17" s="322">
        <v>240</v>
      </c>
      <c r="F17" s="151">
        <v>231</v>
      </c>
      <c r="G17" s="350">
        <f t="shared" si="0"/>
        <v>7.230240000000001</v>
      </c>
    </row>
    <row r="18" spans="1:7" ht="12.75">
      <c r="A18" s="117">
        <v>133</v>
      </c>
      <c r="B18" s="6" t="s">
        <v>7</v>
      </c>
      <c r="C18" s="157">
        <v>1700</v>
      </c>
      <c r="D18" s="140">
        <v>1700</v>
      </c>
      <c r="E18" s="298">
        <v>2000</v>
      </c>
      <c r="F18" s="151">
        <v>1902</v>
      </c>
      <c r="G18" s="350">
        <f t="shared" si="0"/>
        <v>60.252</v>
      </c>
    </row>
    <row r="19" spans="1:8" ht="13.5" thickBot="1">
      <c r="A19" s="118">
        <v>133</v>
      </c>
      <c r="B19" s="29" t="s">
        <v>8</v>
      </c>
      <c r="C19" s="166">
        <v>12000</v>
      </c>
      <c r="D19" s="277">
        <v>12000</v>
      </c>
      <c r="E19" s="277">
        <v>12000</v>
      </c>
      <c r="F19" s="357">
        <v>11231</v>
      </c>
      <c r="G19" s="349">
        <f t="shared" si="0"/>
        <v>361.512</v>
      </c>
      <c r="H19" s="195">
        <f>SUM(D16:D19)</f>
        <v>14420</v>
      </c>
    </row>
    <row r="20" spans="1:7" ht="13.5" thickBot="1">
      <c r="A20" s="422" t="s">
        <v>9</v>
      </c>
      <c r="B20" s="423"/>
      <c r="C20" s="186">
        <f>SUM(C21:C38)</f>
        <v>78883</v>
      </c>
      <c r="D20" s="186">
        <f>SUM(D21:D38)</f>
        <v>82683</v>
      </c>
      <c r="E20" s="186">
        <f>SUM(E21:E38)</f>
        <v>91111</v>
      </c>
      <c r="F20" s="186">
        <f>SUM(F21:F38)</f>
        <v>63222</v>
      </c>
      <c r="G20" s="186">
        <f>SUM(G21:G38)</f>
        <v>2744.809986</v>
      </c>
    </row>
    <row r="21" spans="1:7" ht="12.75">
      <c r="A21" s="119">
        <v>212</v>
      </c>
      <c r="B21" s="45" t="s">
        <v>10</v>
      </c>
      <c r="C21" s="176">
        <v>477</v>
      </c>
      <c r="D21" s="278">
        <v>477</v>
      </c>
      <c r="E21" s="278">
        <v>477</v>
      </c>
      <c r="F21" s="278">
        <v>311</v>
      </c>
      <c r="G21" s="270">
        <f>E21*$F$7/1000</f>
        <v>14.370102000000001</v>
      </c>
    </row>
    <row r="22" spans="1:7" ht="12.75">
      <c r="A22" s="116">
        <v>212</v>
      </c>
      <c r="B22" s="28" t="s">
        <v>144</v>
      </c>
      <c r="C22" s="161">
        <v>100</v>
      </c>
      <c r="D22" s="300">
        <v>900</v>
      </c>
      <c r="E22" s="321">
        <v>900</v>
      </c>
      <c r="F22" s="321">
        <v>806</v>
      </c>
      <c r="G22" s="270">
        <f aca="true" t="shared" si="1" ref="G22:G38">E22*$F$7/1000</f>
        <v>27.113400000000002</v>
      </c>
    </row>
    <row r="23" spans="1:7" ht="12.75">
      <c r="A23" s="117">
        <v>212</v>
      </c>
      <c r="B23" s="6" t="s">
        <v>11</v>
      </c>
      <c r="C23" s="157">
        <v>3684</v>
      </c>
      <c r="D23" s="140">
        <v>3684</v>
      </c>
      <c r="E23" s="140">
        <v>3684</v>
      </c>
      <c r="F23" s="140">
        <v>2748</v>
      </c>
      <c r="G23" s="270">
        <f t="shared" si="1"/>
        <v>110.98418400000001</v>
      </c>
    </row>
    <row r="24" spans="1:8" ht="12.75">
      <c r="A24" s="117">
        <v>212</v>
      </c>
      <c r="B24" s="6" t="s">
        <v>12</v>
      </c>
      <c r="C24" s="157">
        <v>9942</v>
      </c>
      <c r="D24" s="338">
        <v>10042</v>
      </c>
      <c r="E24" s="346">
        <v>10070</v>
      </c>
      <c r="F24" s="140">
        <v>6656</v>
      </c>
      <c r="G24" s="270">
        <f t="shared" si="1"/>
        <v>303.36882</v>
      </c>
      <c r="H24" s="66"/>
    </row>
    <row r="25" spans="1:8" ht="13.5" thickBot="1">
      <c r="A25" s="120">
        <v>212</v>
      </c>
      <c r="B25" s="32" t="s">
        <v>163</v>
      </c>
      <c r="C25" s="188">
        <v>20</v>
      </c>
      <c r="D25" s="279">
        <v>20</v>
      </c>
      <c r="E25" s="279">
        <v>20</v>
      </c>
      <c r="F25" s="279">
        <v>0</v>
      </c>
      <c r="G25" s="270">
        <f t="shared" si="1"/>
        <v>0.60252</v>
      </c>
      <c r="H25" s="195">
        <f>SUM(D21:D25)</f>
        <v>15123</v>
      </c>
    </row>
    <row r="26" spans="1:7" ht="13.5" thickBot="1">
      <c r="A26" s="121">
        <v>221</v>
      </c>
      <c r="B26" s="30" t="s">
        <v>13</v>
      </c>
      <c r="C26" s="191">
        <v>9900</v>
      </c>
      <c r="D26" s="280">
        <v>9900</v>
      </c>
      <c r="E26" s="280">
        <v>9900</v>
      </c>
      <c r="F26" s="280">
        <v>2265</v>
      </c>
      <c r="G26" s="270">
        <f t="shared" si="1"/>
        <v>298.2474</v>
      </c>
    </row>
    <row r="27" spans="1:7" ht="13.5" thickBot="1">
      <c r="A27" s="121">
        <v>222</v>
      </c>
      <c r="B27" s="30" t="s">
        <v>145</v>
      </c>
      <c r="C27" s="191">
        <v>100</v>
      </c>
      <c r="D27" s="280">
        <v>100</v>
      </c>
      <c r="E27" s="280">
        <v>100</v>
      </c>
      <c r="F27" s="280">
        <v>100</v>
      </c>
      <c r="G27" s="270">
        <f t="shared" si="1"/>
        <v>3.0126</v>
      </c>
    </row>
    <row r="28" spans="1:7" ht="12.75">
      <c r="A28" s="116">
        <v>223</v>
      </c>
      <c r="B28" s="28" t="s">
        <v>227</v>
      </c>
      <c r="C28" s="161">
        <v>500</v>
      </c>
      <c r="D28" s="276">
        <v>500</v>
      </c>
      <c r="E28" s="300">
        <v>750</v>
      </c>
      <c r="F28" s="276">
        <v>621</v>
      </c>
      <c r="G28" s="270">
        <f t="shared" si="1"/>
        <v>22.5945</v>
      </c>
    </row>
    <row r="29" spans="1:7" ht="12.75">
      <c r="A29" s="117">
        <v>223</v>
      </c>
      <c r="B29" s="6" t="s">
        <v>92</v>
      </c>
      <c r="C29" s="157">
        <v>810</v>
      </c>
      <c r="D29" s="140">
        <v>810</v>
      </c>
      <c r="E29" s="140">
        <v>810</v>
      </c>
      <c r="F29" s="140">
        <v>300</v>
      </c>
      <c r="G29" s="270">
        <f t="shared" si="1"/>
        <v>24.402060000000002</v>
      </c>
    </row>
    <row r="30" spans="1:7" ht="12.75">
      <c r="A30" s="117">
        <v>223</v>
      </c>
      <c r="B30" s="6" t="s">
        <v>16</v>
      </c>
      <c r="C30" s="157">
        <v>5000</v>
      </c>
      <c r="D30" s="140">
        <v>5000</v>
      </c>
      <c r="E30" s="298">
        <v>6000</v>
      </c>
      <c r="F30" s="140">
        <v>5834</v>
      </c>
      <c r="G30" s="270">
        <f t="shared" si="1"/>
        <v>180.756</v>
      </c>
    </row>
    <row r="31" spans="1:7" ht="12.75">
      <c r="A31" s="117">
        <v>223</v>
      </c>
      <c r="B31" s="6" t="s">
        <v>161</v>
      </c>
      <c r="C31" s="157">
        <v>10100</v>
      </c>
      <c r="D31" s="338">
        <v>11000</v>
      </c>
      <c r="E31" s="346">
        <v>17650</v>
      </c>
      <c r="F31" s="140">
        <v>17353</v>
      </c>
      <c r="G31" s="270">
        <f t="shared" si="1"/>
        <v>531.7239000000001</v>
      </c>
    </row>
    <row r="32" spans="1:7" ht="12.75">
      <c r="A32" s="117">
        <v>223</v>
      </c>
      <c r="B32" s="6" t="s">
        <v>93</v>
      </c>
      <c r="C32" s="157">
        <v>1500</v>
      </c>
      <c r="D32" s="140">
        <v>1500</v>
      </c>
      <c r="E32" s="298">
        <v>2000</v>
      </c>
      <c r="F32" s="140">
        <v>1919</v>
      </c>
      <c r="G32" s="270">
        <f t="shared" si="1"/>
        <v>60.252</v>
      </c>
    </row>
    <row r="33" spans="1:7" ht="12.75">
      <c r="A33" s="117">
        <v>223</v>
      </c>
      <c r="B33" s="6" t="s">
        <v>15</v>
      </c>
      <c r="C33" s="157">
        <v>650</v>
      </c>
      <c r="D33" s="140">
        <v>650</v>
      </c>
      <c r="E33" s="140">
        <v>650</v>
      </c>
      <c r="F33" s="140">
        <v>411</v>
      </c>
      <c r="G33" s="270">
        <f t="shared" si="1"/>
        <v>19.5819</v>
      </c>
    </row>
    <row r="34" spans="1:7" ht="12.75">
      <c r="A34" s="117">
        <v>223</v>
      </c>
      <c r="B34" s="6" t="s">
        <v>176</v>
      </c>
      <c r="C34" s="157">
        <v>17400</v>
      </c>
      <c r="D34" s="298">
        <v>19400</v>
      </c>
      <c r="E34" s="324">
        <v>19400</v>
      </c>
      <c r="F34" s="322">
        <v>13259</v>
      </c>
      <c r="G34" s="270">
        <f t="shared" si="1"/>
        <v>584.4444</v>
      </c>
    </row>
    <row r="35" spans="1:7" ht="12.75">
      <c r="A35" s="117">
        <v>223</v>
      </c>
      <c r="B35" s="6" t="s">
        <v>94</v>
      </c>
      <c r="C35" s="157">
        <v>6600</v>
      </c>
      <c r="D35" s="140">
        <v>6600</v>
      </c>
      <c r="E35" s="140">
        <v>6600</v>
      </c>
      <c r="F35" s="140">
        <v>2994</v>
      </c>
      <c r="G35" s="270">
        <f t="shared" si="1"/>
        <v>198.8316</v>
      </c>
    </row>
    <row r="36" spans="1:7" ht="12.75">
      <c r="A36" s="117">
        <v>223</v>
      </c>
      <c r="B36" s="6" t="s">
        <v>95</v>
      </c>
      <c r="C36" s="157">
        <v>1000</v>
      </c>
      <c r="D36" s="140">
        <v>1000</v>
      </c>
      <c r="E36" s="140">
        <v>1000</v>
      </c>
      <c r="F36" s="140">
        <v>651</v>
      </c>
      <c r="G36" s="270">
        <f t="shared" si="1"/>
        <v>30.126</v>
      </c>
    </row>
    <row r="37" spans="1:7" ht="12.75">
      <c r="A37" s="117">
        <v>223</v>
      </c>
      <c r="B37" s="6" t="s">
        <v>228</v>
      </c>
      <c r="C37" s="157">
        <v>11000</v>
      </c>
      <c r="D37" s="140">
        <v>11000</v>
      </c>
      <c r="E37" s="140">
        <v>11000</v>
      </c>
      <c r="F37" s="140">
        <v>6994</v>
      </c>
      <c r="G37" s="270">
        <f t="shared" si="1"/>
        <v>331.386</v>
      </c>
    </row>
    <row r="38" spans="1:7" ht="13.5" thickBot="1">
      <c r="A38" s="118">
        <v>223</v>
      </c>
      <c r="B38" s="29" t="s">
        <v>17</v>
      </c>
      <c r="C38" s="166">
        <v>100</v>
      </c>
      <c r="D38" s="277">
        <v>100</v>
      </c>
      <c r="E38" s="277">
        <v>100</v>
      </c>
      <c r="F38" s="277">
        <v>0</v>
      </c>
      <c r="G38" s="270">
        <f t="shared" si="1"/>
        <v>3.0126</v>
      </c>
    </row>
    <row r="39" spans="1:8" ht="13.5" thickBot="1">
      <c r="A39" s="422" t="s">
        <v>18</v>
      </c>
      <c r="B39" s="423"/>
      <c r="C39" s="186">
        <f>SUM(C40)</f>
        <v>1100</v>
      </c>
      <c r="D39" s="186">
        <f>SUM(D40)</f>
        <v>1100</v>
      </c>
      <c r="E39" s="186">
        <f>SUM(E40)</f>
        <v>1100</v>
      </c>
      <c r="F39" s="186">
        <f>SUM(F40)</f>
        <v>696</v>
      </c>
      <c r="G39" s="186">
        <f>SUM(G40)</f>
        <v>33.1386</v>
      </c>
      <c r="H39" s="195">
        <f>SUM(D28:D38)</f>
        <v>57560</v>
      </c>
    </row>
    <row r="40" spans="1:7" ht="13.5" thickBot="1">
      <c r="A40" s="205">
        <v>240</v>
      </c>
      <c r="B40" s="32" t="s">
        <v>19</v>
      </c>
      <c r="C40" s="188">
        <v>1100</v>
      </c>
      <c r="D40" s="279">
        <v>1100</v>
      </c>
      <c r="E40" s="279">
        <v>1100</v>
      </c>
      <c r="F40" s="279">
        <v>696</v>
      </c>
      <c r="G40" s="270">
        <f>E40*$F$7/1000</f>
        <v>33.1386</v>
      </c>
    </row>
    <row r="41" spans="1:7" ht="13.5" thickBot="1">
      <c r="A41" s="422" t="s">
        <v>14</v>
      </c>
      <c r="B41" s="423"/>
      <c r="C41" s="186">
        <f>SUM(C42:C53)</f>
        <v>21640</v>
      </c>
      <c r="D41" s="186">
        <f>SUM(D42:D53)</f>
        <v>35004</v>
      </c>
      <c r="E41" s="186">
        <f>SUM(E42:E53)</f>
        <v>32906</v>
      </c>
      <c r="F41" s="186">
        <f>SUM(F42:F53)</f>
        <v>18575</v>
      </c>
      <c r="G41" s="186">
        <f>SUM(G42:G53)</f>
        <v>991.326156</v>
      </c>
    </row>
    <row r="42" spans="1:7" ht="12.75">
      <c r="A42" s="123">
        <v>292</v>
      </c>
      <c r="B42" s="31" t="s">
        <v>157</v>
      </c>
      <c r="C42" s="162">
        <v>0</v>
      </c>
      <c r="D42" s="317">
        <v>200</v>
      </c>
      <c r="E42" s="211">
        <v>200</v>
      </c>
      <c r="F42" s="211">
        <v>142</v>
      </c>
      <c r="G42" s="270">
        <f>E42*$F$7/1000</f>
        <v>6.0252</v>
      </c>
    </row>
    <row r="43" spans="1:8" ht="12.75">
      <c r="A43" s="123">
        <v>292</v>
      </c>
      <c r="B43" s="31" t="s">
        <v>101</v>
      </c>
      <c r="C43" s="162">
        <v>400</v>
      </c>
      <c r="D43" s="211">
        <v>400</v>
      </c>
      <c r="E43" s="211">
        <v>400</v>
      </c>
      <c r="F43" s="211">
        <v>104</v>
      </c>
      <c r="G43" s="270">
        <f aca="true" t="shared" si="2" ref="G43:G53">E43*$F$7/1000</f>
        <v>12.0504</v>
      </c>
      <c r="H43" s="15"/>
    </row>
    <row r="44" spans="1:7" ht="12.75">
      <c r="A44" s="124">
        <v>292</v>
      </c>
      <c r="B44" s="7" t="s">
        <v>162</v>
      </c>
      <c r="C44" s="178">
        <v>0</v>
      </c>
      <c r="D44" s="318">
        <f>106+1008</f>
        <v>1114</v>
      </c>
      <c r="E44" s="318">
        <f>106+1008+36</f>
        <v>1150</v>
      </c>
      <c r="F44" s="153">
        <v>1149</v>
      </c>
      <c r="G44" s="270">
        <f t="shared" si="2"/>
        <v>34.6449</v>
      </c>
    </row>
    <row r="45" spans="1:7" ht="12.75">
      <c r="A45" s="124">
        <v>292</v>
      </c>
      <c r="B45" s="6" t="s">
        <v>98</v>
      </c>
      <c r="C45" s="189">
        <v>140</v>
      </c>
      <c r="D45" s="281">
        <v>140</v>
      </c>
      <c r="E45" s="281">
        <v>140</v>
      </c>
      <c r="F45" s="281">
        <v>70</v>
      </c>
      <c r="G45" s="270">
        <f t="shared" si="2"/>
        <v>4.21764</v>
      </c>
    </row>
    <row r="46" spans="1:7" ht="12.75">
      <c r="A46" s="124">
        <v>292</v>
      </c>
      <c r="B46" s="7" t="s">
        <v>165</v>
      </c>
      <c r="C46" s="178">
        <v>6800</v>
      </c>
      <c r="D46" s="153">
        <v>6800</v>
      </c>
      <c r="E46" s="153">
        <v>6800</v>
      </c>
      <c r="F46" s="153">
        <f>1805+3568</f>
        <v>5373</v>
      </c>
      <c r="G46" s="270">
        <f t="shared" si="2"/>
        <v>204.85680000000002</v>
      </c>
    </row>
    <row r="47" spans="1:7" ht="12.75">
      <c r="A47" s="124">
        <v>292</v>
      </c>
      <c r="B47" s="7" t="s">
        <v>146</v>
      </c>
      <c r="C47" s="178">
        <v>200</v>
      </c>
      <c r="D47" s="153">
        <v>200</v>
      </c>
      <c r="E47" s="153">
        <v>200</v>
      </c>
      <c r="F47" s="153">
        <v>0</v>
      </c>
      <c r="G47" s="270">
        <f t="shared" si="2"/>
        <v>6.0252</v>
      </c>
    </row>
    <row r="48" spans="1:7" ht="12.75">
      <c r="A48" s="124">
        <v>292</v>
      </c>
      <c r="B48" s="7" t="s">
        <v>237</v>
      </c>
      <c r="C48" s="178">
        <v>0</v>
      </c>
      <c r="D48" s="318">
        <v>12000</v>
      </c>
      <c r="E48" s="318">
        <v>8035</v>
      </c>
      <c r="F48" s="153">
        <v>3757</v>
      </c>
      <c r="G48" s="270">
        <f t="shared" si="2"/>
        <v>242.06241</v>
      </c>
    </row>
    <row r="49" spans="1:7" ht="12.75">
      <c r="A49" s="124">
        <v>292</v>
      </c>
      <c r="B49" s="6" t="s">
        <v>102</v>
      </c>
      <c r="C49" s="189">
        <v>12000</v>
      </c>
      <c r="D49" s="281">
        <v>12000</v>
      </c>
      <c r="E49" s="281">
        <v>12000</v>
      </c>
      <c r="F49" s="281">
        <v>5436</v>
      </c>
      <c r="G49" s="270">
        <f t="shared" si="2"/>
        <v>361.512</v>
      </c>
    </row>
    <row r="50" spans="1:7" ht="12.75">
      <c r="A50" s="124">
        <v>292</v>
      </c>
      <c r="B50" s="6" t="s">
        <v>99</v>
      </c>
      <c r="C50" s="189">
        <v>2000</v>
      </c>
      <c r="D50" s="281">
        <v>2000</v>
      </c>
      <c r="E50" s="344">
        <v>1965</v>
      </c>
      <c r="F50" s="281">
        <v>611</v>
      </c>
      <c r="G50" s="270">
        <f t="shared" si="2"/>
        <v>59.197590000000005</v>
      </c>
    </row>
    <row r="51" spans="1:7" ht="12.75">
      <c r="A51" s="124">
        <v>292</v>
      </c>
      <c r="B51" s="6" t="s">
        <v>240</v>
      </c>
      <c r="C51" s="189">
        <v>0</v>
      </c>
      <c r="D51" s="281">
        <v>0</v>
      </c>
      <c r="E51" s="344">
        <v>1866</v>
      </c>
      <c r="F51" s="281">
        <v>1866</v>
      </c>
      <c r="G51" s="270">
        <f t="shared" si="2"/>
        <v>56.215116</v>
      </c>
    </row>
    <row r="52" spans="1:7" ht="12.75">
      <c r="A52" s="124">
        <v>292</v>
      </c>
      <c r="B52" s="6" t="s">
        <v>100</v>
      </c>
      <c r="C52" s="189">
        <v>100</v>
      </c>
      <c r="D52" s="281">
        <v>100</v>
      </c>
      <c r="E52" s="281">
        <v>100</v>
      </c>
      <c r="F52" s="281">
        <v>60</v>
      </c>
      <c r="G52" s="270">
        <f t="shared" si="2"/>
        <v>3.0126</v>
      </c>
    </row>
    <row r="53" spans="1:7" ht="13.5" thickBot="1">
      <c r="A53" s="125">
        <v>292</v>
      </c>
      <c r="B53" s="32" t="s">
        <v>149</v>
      </c>
      <c r="C53" s="190">
        <v>0</v>
      </c>
      <c r="D53" s="319">
        <v>50</v>
      </c>
      <c r="E53" s="323">
        <v>50</v>
      </c>
      <c r="F53" s="323">
        <v>7</v>
      </c>
      <c r="G53" s="270">
        <f t="shared" si="2"/>
        <v>1.5063</v>
      </c>
    </row>
    <row r="54" spans="1:7" ht="13.5" thickBot="1">
      <c r="A54" s="57" t="s">
        <v>20</v>
      </c>
      <c r="B54" s="58"/>
      <c r="C54" s="182">
        <f>SUM(C55:C70)</f>
        <v>327540</v>
      </c>
      <c r="D54" s="182">
        <f>SUM(D55:D70)</f>
        <v>378957</v>
      </c>
      <c r="E54" s="182">
        <f>SUM(E55:E70)</f>
        <v>378868</v>
      </c>
      <c r="F54" s="182">
        <f>SUM(F55:F70)</f>
        <v>287983</v>
      </c>
      <c r="G54" s="186">
        <f>SUM(G55:G70)</f>
        <v>11413.777368000001</v>
      </c>
    </row>
    <row r="55" spans="1:7" ht="12.75">
      <c r="A55" s="126">
        <v>311</v>
      </c>
      <c r="B55" s="28" t="s">
        <v>103</v>
      </c>
      <c r="C55" s="161">
        <v>0</v>
      </c>
      <c r="D55" s="339">
        <v>13500</v>
      </c>
      <c r="E55" s="339">
        <v>7170</v>
      </c>
      <c r="F55" s="321">
        <v>7170</v>
      </c>
      <c r="G55" s="270">
        <f>E55*$F$7/1000</f>
        <v>216.00342</v>
      </c>
    </row>
    <row r="56" spans="1:7" ht="12.75">
      <c r="A56" s="127">
        <v>312</v>
      </c>
      <c r="B56" s="6" t="s">
        <v>192</v>
      </c>
      <c r="C56" s="157">
        <v>3600</v>
      </c>
      <c r="D56" s="298">
        <v>3620</v>
      </c>
      <c r="E56" s="322">
        <v>3620</v>
      </c>
      <c r="F56" s="322">
        <v>2477</v>
      </c>
      <c r="G56" s="270">
        <f aca="true" t="shared" si="3" ref="G56:G70">E56*$F$7/1000</f>
        <v>109.05612</v>
      </c>
    </row>
    <row r="57" spans="1:7" ht="12.75">
      <c r="A57" s="127">
        <v>312</v>
      </c>
      <c r="B57" s="5" t="s">
        <v>21</v>
      </c>
      <c r="C57" s="164">
        <v>3000</v>
      </c>
      <c r="D57" s="304">
        <v>3074</v>
      </c>
      <c r="E57" s="324">
        <v>3074</v>
      </c>
      <c r="F57" s="324">
        <v>2400</v>
      </c>
      <c r="G57" s="270">
        <f t="shared" si="3"/>
        <v>92.607324</v>
      </c>
    </row>
    <row r="58" spans="1:7" ht="12.75">
      <c r="A58" s="127">
        <v>312</v>
      </c>
      <c r="B58" s="8" t="s">
        <v>105</v>
      </c>
      <c r="C58" s="184">
        <f>280000+4800+4000</f>
        <v>288800</v>
      </c>
      <c r="D58" s="310">
        <f>290583+6300+5085</f>
        <v>301968</v>
      </c>
      <c r="E58" s="325">
        <f>290583+6300+5085</f>
        <v>301968</v>
      </c>
      <c r="F58" s="325">
        <f>227013-1485</f>
        <v>225528</v>
      </c>
      <c r="G58" s="270">
        <f t="shared" si="3"/>
        <v>9097.087968</v>
      </c>
    </row>
    <row r="59" spans="1:7" ht="12.75">
      <c r="A59" s="127">
        <v>312</v>
      </c>
      <c r="B59" s="221" t="s">
        <v>196</v>
      </c>
      <c r="C59" s="198">
        <v>1700</v>
      </c>
      <c r="D59" s="304">
        <v>1978</v>
      </c>
      <c r="E59" s="326">
        <v>1978</v>
      </c>
      <c r="F59" s="326">
        <v>1485</v>
      </c>
      <c r="G59" s="270">
        <f t="shared" si="3"/>
        <v>59.589228000000006</v>
      </c>
    </row>
    <row r="60" spans="1:7" ht="12.75">
      <c r="A60" s="127">
        <v>312</v>
      </c>
      <c r="B60" s="6" t="s">
        <v>238</v>
      </c>
      <c r="C60" s="157">
        <v>0</v>
      </c>
      <c r="D60" s="298">
        <v>2700</v>
      </c>
      <c r="E60" s="298">
        <f>2321+1220</f>
        <v>3541</v>
      </c>
      <c r="F60" s="327">
        <f>2321+1220</f>
        <v>3541</v>
      </c>
      <c r="G60" s="270">
        <f t="shared" si="3"/>
        <v>106.676166</v>
      </c>
    </row>
    <row r="61" spans="1:7" ht="12.75">
      <c r="A61" s="127">
        <v>312</v>
      </c>
      <c r="B61" s="5" t="s">
        <v>229</v>
      </c>
      <c r="C61" s="198">
        <v>0</v>
      </c>
      <c r="D61" s="304">
        <v>18171</v>
      </c>
      <c r="E61" s="326">
        <v>18171</v>
      </c>
      <c r="F61" s="326">
        <v>18171</v>
      </c>
      <c r="G61" s="270">
        <f t="shared" si="3"/>
        <v>547.419546</v>
      </c>
    </row>
    <row r="62" spans="1:7" ht="12.75">
      <c r="A62" s="127">
        <v>312</v>
      </c>
      <c r="B62" s="221" t="s">
        <v>213</v>
      </c>
      <c r="C62" s="198">
        <v>0</v>
      </c>
      <c r="D62" s="304">
        <v>276</v>
      </c>
      <c r="E62" s="326">
        <v>276</v>
      </c>
      <c r="F62" s="326">
        <v>276</v>
      </c>
      <c r="G62" s="270">
        <f t="shared" si="3"/>
        <v>8.314776</v>
      </c>
    </row>
    <row r="63" spans="1:7" ht="12.75">
      <c r="A63" s="127">
        <v>312</v>
      </c>
      <c r="B63" s="6" t="s">
        <v>191</v>
      </c>
      <c r="C63" s="157">
        <v>4900</v>
      </c>
      <c r="D63" s="140">
        <v>4900</v>
      </c>
      <c r="E63" s="298">
        <v>6000</v>
      </c>
      <c r="F63" s="327">
        <v>5841</v>
      </c>
      <c r="G63" s="270">
        <f t="shared" si="3"/>
        <v>180.756</v>
      </c>
    </row>
    <row r="64" spans="1:7" ht="12.75">
      <c r="A64" s="127">
        <v>312</v>
      </c>
      <c r="B64" s="6" t="s">
        <v>22</v>
      </c>
      <c r="C64" s="157">
        <v>1300</v>
      </c>
      <c r="D64" s="140">
        <v>1300</v>
      </c>
      <c r="E64" s="140">
        <v>1300</v>
      </c>
      <c r="F64" s="327">
        <v>635</v>
      </c>
      <c r="G64" s="270">
        <f t="shared" si="3"/>
        <v>39.1638</v>
      </c>
    </row>
    <row r="65" spans="1:7" ht="12.75">
      <c r="A65" s="127">
        <v>312</v>
      </c>
      <c r="B65" s="221" t="s">
        <v>214</v>
      </c>
      <c r="C65" s="198">
        <v>0</v>
      </c>
      <c r="D65" s="304">
        <v>20</v>
      </c>
      <c r="E65" s="324">
        <v>20</v>
      </c>
      <c r="F65" s="326">
        <v>17</v>
      </c>
      <c r="G65" s="270">
        <f t="shared" si="3"/>
        <v>0.60252</v>
      </c>
    </row>
    <row r="66" spans="1:7" ht="12.75">
      <c r="A66" s="127">
        <v>312</v>
      </c>
      <c r="B66" s="9" t="s">
        <v>106</v>
      </c>
      <c r="C66" s="163">
        <v>2500</v>
      </c>
      <c r="D66" s="311">
        <f>3600</f>
        <v>3600</v>
      </c>
      <c r="E66" s="322">
        <f>3600</f>
        <v>3600</v>
      </c>
      <c r="F66" s="327">
        <v>1942</v>
      </c>
      <c r="G66" s="270">
        <f t="shared" si="3"/>
        <v>108.45360000000001</v>
      </c>
    </row>
    <row r="67" spans="1:7" ht="12.75">
      <c r="A67" s="127">
        <v>312</v>
      </c>
      <c r="B67" s="6" t="s">
        <v>239</v>
      </c>
      <c r="C67" s="157">
        <v>0</v>
      </c>
      <c r="D67" s="322">
        <v>0</v>
      </c>
      <c r="E67" s="298">
        <v>3500</v>
      </c>
      <c r="F67" s="327">
        <v>0</v>
      </c>
      <c r="G67" s="270">
        <f t="shared" si="3"/>
        <v>105.441</v>
      </c>
    </row>
    <row r="68" spans="1:7" ht="12.75">
      <c r="A68" s="127">
        <v>312</v>
      </c>
      <c r="B68" s="9" t="s">
        <v>158</v>
      </c>
      <c r="C68" s="163">
        <v>8620</v>
      </c>
      <c r="D68" s="138">
        <v>8620</v>
      </c>
      <c r="E68" s="322">
        <v>8620</v>
      </c>
      <c r="F68" s="327">
        <v>6777</v>
      </c>
      <c r="G68" s="270">
        <f t="shared" si="3"/>
        <v>259.68612</v>
      </c>
    </row>
    <row r="69" spans="1:7" ht="12.75">
      <c r="A69" s="127">
        <v>312</v>
      </c>
      <c r="B69" s="9" t="s">
        <v>159</v>
      </c>
      <c r="C69" s="163">
        <v>13120</v>
      </c>
      <c r="D69" s="311">
        <v>15230</v>
      </c>
      <c r="E69" s="322">
        <v>15230</v>
      </c>
      <c r="F69" s="327">
        <v>11423</v>
      </c>
      <c r="G69" s="270">
        <f t="shared" si="3"/>
        <v>458.81898000000007</v>
      </c>
    </row>
    <row r="70" spans="1:7" ht="13.5" thickBot="1">
      <c r="A70" s="130">
        <v>312</v>
      </c>
      <c r="B70" s="37" t="s">
        <v>160</v>
      </c>
      <c r="C70" s="174">
        <v>0</v>
      </c>
      <c r="D70" s="282">
        <v>0</v>
      </c>
      <c r="E70" s="345">
        <v>800</v>
      </c>
      <c r="F70" s="328">
        <v>300</v>
      </c>
      <c r="G70" s="270">
        <f t="shared" si="3"/>
        <v>24.1008</v>
      </c>
    </row>
    <row r="71" spans="1:7" ht="16.5" thickBot="1">
      <c r="A71" s="60" t="s">
        <v>107</v>
      </c>
      <c r="B71" s="216"/>
      <c r="C71" s="217">
        <f>SUM(C11+C20+C39+C41+C54)</f>
        <v>1049725</v>
      </c>
      <c r="D71" s="217">
        <f>SUM(D11+D20+D39+D41+D54)</f>
        <v>1118336</v>
      </c>
      <c r="E71" s="217">
        <f>SUM(E11+E20+E39+E41+E54)</f>
        <v>1124897</v>
      </c>
      <c r="F71" s="355">
        <f>SUM(F11+F20+F39+F41+F54)</f>
        <v>790650</v>
      </c>
      <c r="G71" s="356">
        <f>SUM(G11+G20+G39+G41+G54)</f>
        <v>33888.647022</v>
      </c>
    </row>
    <row r="72" spans="1:7" ht="16.5" thickBot="1">
      <c r="A72" s="213">
        <v>236</v>
      </c>
      <c r="B72" s="214" t="s">
        <v>108</v>
      </c>
      <c r="C72" s="215">
        <v>1674</v>
      </c>
      <c r="D72" s="283">
        <v>1674</v>
      </c>
      <c r="E72" s="283">
        <f>1674+2066</f>
        <v>3740</v>
      </c>
      <c r="F72" s="283">
        <v>0</v>
      </c>
      <c r="G72" s="273">
        <f>E72*$F$7/1000</f>
        <v>112.67124000000001</v>
      </c>
    </row>
    <row r="73" spans="1:7" ht="16.5" thickBot="1">
      <c r="A73" s="60" t="s">
        <v>23</v>
      </c>
      <c r="B73" s="58"/>
      <c r="C73" s="185">
        <f>SUM(C71:C72)</f>
        <v>1051399</v>
      </c>
      <c r="D73" s="185">
        <f>SUM(D71:D72)</f>
        <v>1120010</v>
      </c>
      <c r="E73" s="185">
        <f>SUM(E71:E72)</f>
        <v>1128637</v>
      </c>
      <c r="F73" s="185">
        <f>SUM(F71:F72)</f>
        <v>790650</v>
      </c>
      <c r="G73" s="185">
        <f>SUM(G71:G72)</f>
        <v>34001.318262</v>
      </c>
    </row>
    <row r="74" spans="1:6" ht="15.75">
      <c r="A74" s="10"/>
      <c r="B74" s="16"/>
      <c r="C74" s="16"/>
      <c r="D74" s="16"/>
      <c r="E74" s="16"/>
      <c r="F74" s="89"/>
    </row>
    <row r="75" spans="1:7" ht="18.75" thickBot="1">
      <c r="A75" s="418" t="s">
        <v>24</v>
      </c>
      <c r="B75" s="419"/>
      <c r="C75" s="419"/>
      <c r="D75" s="419"/>
      <c r="E75" s="419"/>
      <c r="F75" s="419"/>
      <c r="G75" s="419"/>
    </row>
    <row r="76" spans="1:8" ht="12.75" customHeight="1">
      <c r="A76" s="397" t="s">
        <v>1</v>
      </c>
      <c r="B76" s="398"/>
      <c r="C76" s="389" t="s">
        <v>190</v>
      </c>
      <c r="D76" s="429" t="s">
        <v>226</v>
      </c>
      <c r="E76" s="429" t="s">
        <v>236</v>
      </c>
      <c r="F76" s="429" t="s">
        <v>247</v>
      </c>
      <c r="G76" s="389" t="s">
        <v>194</v>
      </c>
      <c r="H76" s="3"/>
    </row>
    <row r="77" spans="1:7" ht="13.5" thickBot="1">
      <c r="A77" s="420"/>
      <c r="B77" s="421"/>
      <c r="C77" s="401"/>
      <c r="D77" s="430"/>
      <c r="E77" s="430"/>
      <c r="F77" s="430"/>
      <c r="G77" s="401"/>
    </row>
    <row r="78" spans="1:7" ht="13.5" thickBot="1">
      <c r="A78" s="35" t="s">
        <v>25</v>
      </c>
      <c r="B78" s="36"/>
      <c r="C78" s="158">
        <f>SUM(C79:C82)</f>
        <v>164600</v>
      </c>
      <c r="D78" s="158">
        <f>SUM(D79:D82)</f>
        <v>167320</v>
      </c>
      <c r="E78" s="158">
        <f>SUM(E79:E82)</f>
        <v>170161</v>
      </c>
      <c r="F78" s="158">
        <f>SUM(F79:F82)</f>
        <v>120083</v>
      </c>
      <c r="G78" s="194">
        <f>SUM(G79:G82)</f>
        <v>5126.270286000001</v>
      </c>
    </row>
    <row r="79" spans="1:7" ht="12.75">
      <c r="A79" s="49" t="s">
        <v>26</v>
      </c>
      <c r="B79" s="34" t="s">
        <v>109</v>
      </c>
      <c r="C79" s="160">
        <v>145000</v>
      </c>
      <c r="D79" s="137">
        <v>145000</v>
      </c>
      <c r="E79" s="137">
        <v>145000</v>
      </c>
      <c r="F79" s="137">
        <v>100848</v>
      </c>
      <c r="G79" s="270">
        <f>E79*$F$7/1000</f>
        <v>4368.27</v>
      </c>
    </row>
    <row r="80" spans="1:7" ht="12.75">
      <c r="A80" s="50" t="s">
        <v>27</v>
      </c>
      <c r="B80" s="9" t="s">
        <v>28</v>
      </c>
      <c r="C80" s="163">
        <v>16000</v>
      </c>
      <c r="D80" s="138">
        <v>16000</v>
      </c>
      <c r="E80" s="347">
        <v>18000</v>
      </c>
      <c r="F80" s="138">
        <v>13845</v>
      </c>
      <c r="G80" s="270">
        <f>E80*$F$7/1000</f>
        <v>542.268</v>
      </c>
    </row>
    <row r="81" spans="1:7" ht="12.75">
      <c r="A81" s="95" t="s">
        <v>29</v>
      </c>
      <c r="B81" s="9" t="s">
        <v>218</v>
      </c>
      <c r="C81" s="163">
        <v>3600</v>
      </c>
      <c r="D81" s="311">
        <v>3620</v>
      </c>
      <c r="E81" s="138">
        <v>3620</v>
      </c>
      <c r="F81" s="138">
        <v>2204</v>
      </c>
      <c r="G81" s="270">
        <f>E81*$F$7/1000</f>
        <v>109.05612</v>
      </c>
    </row>
    <row r="82" spans="1:7" ht="13.5" thickBot="1">
      <c r="A82" s="312" t="s">
        <v>219</v>
      </c>
      <c r="B82" s="313" t="s">
        <v>242</v>
      </c>
      <c r="C82" s="228">
        <v>0</v>
      </c>
      <c r="D82" s="314">
        <v>2700</v>
      </c>
      <c r="E82" s="314">
        <v>3541</v>
      </c>
      <c r="F82" s="296">
        <v>3186</v>
      </c>
      <c r="G82" s="270">
        <f>E82*$F$7/1000</f>
        <v>106.676166</v>
      </c>
    </row>
    <row r="83" spans="1:7" ht="13.5" thickBot="1">
      <c r="A83" s="414" t="s">
        <v>30</v>
      </c>
      <c r="B83" s="415"/>
      <c r="C83" s="158">
        <f>SUM(C84)</f>
        <v>140</v>
      </c>
      <c r="D83" s="159">
        <f>SUM(D84)</f>
        <v>140</v>
      </c>
      <c r="E83" s="159">
        <f>SUM(E84)</f>
        <v>140</v>
      </c>
      <c r="F83" s="159">
        <f>SUM(F84)</f>
        <v>70</v>
      </c>
      <c r="G83" s="284">
        <f>G84</f>
        <v>4.21764</v>
      </c>
    </row>
    <row r="84" spans="1:7" ht="13.5" thickBot="1">
      <c r="A84" s="62" t="s">
        <v>31</v>
      </c>
      <c r="B84" s="16" t="s">
        <v>111</v>
      </c>
      <c r="C84" s="180">
        <v>140</v>
      </c>
      <c r="D84" s="289">
        <v>140</v>
      </c>
      <c r="E84" s="289">
        <v>140</v>
      </c>
      <c r="F84" s="289">
        <v>70</v>
      </c>
      <c r="G84" s="270">
        <f>E84*$F$7/1000</f>
        <v>4.21764</v>
      </c>
    </row>
    <row r="85" spans="1:7" ht="13.5" thickBot="1">
      <c r="A85" s="414" t="s">
        <v>32</v>
      </c>
      <c r="B85" s="415"/>
      <c r="C85" s="177">
        <f>SUM(C86)</f>
        <v>4500</v>
      </c>
      <c r="D85" s="159">
        <f>SUM(D86)</f>
        <v>4500</v>
      </c>
      <c r="E85" s="159">
        <f>SUM(E86)</f>
        <v>4500</v>
      </c>
      <c r="F85" s="159">
        <f>SUM(F86)</f>
        <v>2751</v>
      </c>
      <c r="G85" s="284">
        <f>G86</f>
        <v>135.567</v>
      </c>
    </row>
    <row r="86" spans="1:7" ht="13.5" thickBot="1">
      <c r="A86" s="113" t="s">
        <v>33</v>
      </c>
      <c r="B86" s="38" t="s">
        <v>115</v>
      </c>
      <c r="C86" s="181">
        <v>4500</v>
      </c>
      <c r="D86" s="207">
        <v>4500</v>
      </c>
      <c r="E86" s="207">
        <v>4500</v>
      </c>
      <c r="F86" s="207">
        <v>2751</v>
      </c>
      <c r="G86" s="270">
        <f>E86*$F$7/1000</f>
        <v>135.567</v>
      </c>
    </row>
    <row r="87" spans="1:7" ht="13.5" thickBot="1">
      <c r="A87" s="35" t="s">
        <v>34</v>
      </c>
      <c r="B87" s="39"/>
      <c r="C87" s="158">
        <f>SUM(C88:C91)</f>
        <v>126500</v>
      </c>
      <c r="D87" s="159">
        <f>SUM(D88:D91)</f>
        <v>124700</v>
      </c>
      <c r="E87" s="159">
        <f>SUM(E88:E91)</f>
        <v>123330</v>
      </c>
      <c r="F87" s="159">
        <f>SUM(F88:F91)</f>
        <v>66255</v>
      </c>
      <c r="G87" s="284">
        <f>SUM(G88:G91)</f>
        <v>3715.43958</v>
      </c>
    </row>
    <row r="88" spans="1:7" ht="12.75">
      <c r="A88" s="114" t="s">
        <v>35</v>
      </c>
      <c r="B88" s="31" t="s">
        <v>112</v>
      </c>
      <c r="C88" s="162">
        <v>2200</v>
      </c>
      <c r="D88" s="211">
        <v>2200</v>
      </c>
      <c r="E88" s="211">
        <v>2200</v>
      </c>
      <c r="F88" s="211">
        <v>1209</v>
      </c>
      <c r="G88" s="270">
        <f>E88*$F$7/1000</f>
        <v>66.2772</v>
      </c>
    </row>
    <row r="89" spans="1:7" ht="12.75">
      <c r="A89" s="95" t="s">
        <v>36</v>
      </c>
      <c r="B89" s="9" t="s">
        <v>243</v>
      </c>
      <c r="C89" s="163">
        <v>5000</v>
      </c>
      <c r="D89" s="138">
        <v>5000</v>
      </c>
      <c r="E89" s="311">
        <f>5000+286*5</f>
        <v>6430</v>
      </c>
      <c r="F89" s="138">
        <v>5236</v>
      </c>
      <c r="G89" s="270">
        <f>E89*$F$7/1000</f>
        <v>193.71018</v>
      </c>
    </row>
    <row r="90" spans="1:7" ht="12.75">
      <c r="A90" s="95" t="s">
        <v>37</v>
      </c>
      <c r="B90" s="9" t="s">
        <v>116</v>
      </c>
      <c r="C90" s="193">
        <v>4300</v>
      </c>
      <c r="D90" s="141">
        <v>4300</v>
      </c>
      <c r="E90" s="360">
        <v>4700</v>
      </c>
      <c r="F90" s="141">
        <v>1634</v>
      </c>
      <c r="G90" s="270">
        <f>E90*$F$7/1000</f>
        <v>141.59220000000002</v>
      </c>
    </row>
    <row r="91" spans="1:7" ht="13.5" thickBot="1">
      <c r="A91" s="111" t="s">
        <v>38</v>
      </c>
      <c r="B91" s="37" t="s">
        <v>117</v>
      </c>
      <c r="C91" s="230">
        <v>115000</v>
      </c>
      <c r="D91" s="316">
        <v>113200</v>
      </c>
      <c r="E91" s="316">
        <v>110000</v>
      </c>
      <c r="F91" s="333">
        <v>58176</v>
      </c>
      <c r="G91" s="270">
        <f>E91*$F$7/1000</f>
        <v>3313.86</v>
      </c>
    </row>
    <row r="92" spans="1:7" ht="13.5" thickBot="1">
      <c r="A92" s="35" t="s">
        <v>39</v>
      </c>
      <c r="B92" s="36"/>
      <c r="C92" s="158">
        <f>SUM(C93:C94)</f>
        <v>25000</v>
      </c>
      <c r="D92" s="159">
        <f>SUM(D93:D94)</f>
        <v>25000</v>
      </c>
      <c r="E92" s="159">
        <f>SUM(E93:E94)</f>
        <v>25000</v>
      </c>
      <c r="F92" s="159">
        <f>SUM(F93:F94)</f>
        <v>17779</v>
      </c>
      <c r="G92" s="284">
        <f>SUM(G93:G94)</f>
        <v>753.15</v>
      </c>
    </row>
    <row r="93" spans="1:7" ht="12.75">
      <c r="A93" s="112" t="s">
        <v>40</v>
      </c>
      <c r="B93" s="44" t="s">
        <v>41</v>
      </c>
      <c r="C93" s="175">
        <v>20500</v>
      </c>
      <c r="D93" s="290">
        <v>20500</v>
      </c>
      <c r="E93" s="290">
        <v>20500</v>
      </c>
      <c r="F93" s="290">
        <v>13279</v>
      </c>
      <c r="G93" s="270">
        <f>E93*$F$7/1000</f>
        <v>617.583</v>
      </c>
    </row>
    <row r="94" spans="1:7" ht="13.5" thickBot="1">
      <c r="A94" s="82" t="s">
        <v>42</v>
      </c>
      <c r="B94" s="42" t="s">
        <v>113</v>
      </c>
      <c r="C94" s="165">
        <v>4500</v>
      </c>
      <c r="D94" s="291">
        <v>4500</v>
      </c>
      <c r="E94" s="291">
        <v>4500</v>
      </c>
      <c r="F94" s="291">
        <v>4500</v>
      </c>
      <c r="G94" s="270">
        <f>E94*$F$7/1000</f>
        <v>135.567</v>
      </c>
    </row>
    <row r="95" spans="1:7" ht="13.5" thickBot="1">
      <c r="A95" s="35" t="s">
        <v>43</v>
      </c>
      <c r="B95" s="39"/>
      <c r="C95" s="158">
        <f>SUM(C96)</f>
        <v>15000</v>
      </c>
      <c r="D95" s="159">
        <f>SUM(D96)</f>
        <v>15000</v>
      </c>
      <c r="E95" s="159">
        <f>SUM(E96)</f>
        <v>15000</v>
      </c>
      <c r="F95" s="159">
        <f>SUM(F96)</f>
        <v>10540</v>
      </c>
      <c r="G95" s="194">
        <f>SUM(G96)</f>
        <v>451.89</v>
      </c>
    </row>
    <row r="96" spans="1:7" ht="13.5" thickBot="1">
      <c r="A96" s="226" t="s">
        <v>44</v>
      </c>
      <c r="B96" s="37" t="s">
        <v>45</v>
      </c>
      <c r="C96" s="174">
        <v>15000</v>
      </c>
      <c r="D96" s="282">
        <v>15000</v>
      </c>
      <c r="E96" s="282">
        <v>15000</v>
      </c>
      <c r="F96" s="282">
        <v>10540</v>
      </c>
      <c r="G96" s="350">
        <f>E96*$F$7/1000</f>
        <v>451.89</v>
      </c>
    </row>
    <row r="97" spans="1:7" ht="13.5" thickBot="1">
      <c r="A97" s="43" t="s">
        <v>46</v>
      </c>
      <c r="B97" s="36"/>
      <c r="C97" s="158">
        <f>SUM(C98:C111)</f>
        <v>59200</v>
      </c>
      <c r="D97" s="159">
        <f>SUM(D98:D111)</f>
        <v>80820</v>
      </c>
      <c r="E97" s="159">
        <f>SUM(E98:E111)</f>
        <v>86339</v>
      </c>
      <c r="F97" s="159">
        <f>SUM(F98:F111)</f>
        <v>72210</v>
      </c>
      <c r="G97" s="194">
        <f>SUM(G98:G111)</f>
        <v>2601.048714</v>
      </c>
    </row>
    <row r="98" spans="1:7" ht="12.75">
      <c r="A98" s="53" t="s">
        <v>47</v>
      </c>
      <c r="B98" s="34" t="s">
        <v>118</v>
      </c>
      <c r="C98" s="160">
        <v>5000</v>
      </c>
      <c r="D98" s="137">
        <v>5000</v>
      </c>
      <c r="E98" s="137">
        <v>5000</v>
      </c>
      <c r="F98" s="137">
        <v>3749</v>
      </c>
      <c r="G98" s="270">
        <f>E98*$F$7/1000</f>
        <v>150.63</v>
      </c>
    </row>
    <row r="99" spans="1:7" ht="13.5" thickBot="1">
      <c r="A99" s="82" t="s">
        <v>47</v>
      </c>
      <c r="B99" s="42" t="s">
        <v>119</v>
      </c>
      <c r="C99" s="165">
        <v>3000</v>
      </c>
      <c r="D99" s="291">
        <v>3000</v>
      </c>
      <c r="E99" s="343">
        <v>3120</v>
      </c>
      <c r="F99" s="291">
        <v>2628</v>
      </c>
      <c r="G99" s="270">
        <f aca="true" t="shared" si="4" ref="G99:G111">E99*$F$7/1000</f>
        <v>93.99312</v>
      </c>
    </row>
    <row r="100" spans="1:7" ht="12.75">
      <c r="A100" s="53" t="s">
        <v>48</v>
      </c>
      <c r="B100" s="41" t="s">
        <v>120</v>
      </c>
      <c r="C100" s="172">
        <v>16000</v>
      </c>
      <c r="D100" s="292">
        <v>18420</v>
      </c>
      <c r="E100" s="292">
        <v>18300</v>
      </c>
      <c r="F100" s="334">
        <v>13636</v>
      </c>
      <c r="G100" s="270">
        <f t="shared" si="4"/>
        <v>551.3058000000001</v>
      </c>
    </row>
    <row r="101" spans="1:7" ht="12.75">
      <c r="A101" s="95" t="s">
        <v>50</v>
      </c>
      <c r="B101" s="40" t="s">
        <v>121</v>
      </c>
      <c r="C101" s="173">
        <v>700</v>
      </c>
      <c r="D101" s="311">
        <v>10700</v>
      </c>
      <c r="E101" s="311">
        <v>8500</v>
      </c>
      <c r="F101" s="138">
        <v>8210</v>
      </c>
      <c r="G101" s="270">
        <f t="shared" si="4"/>
        <v>256.071</v>
      </c>
    </row>
    <row r="102" spans="1:7" ht="13.5" thickBot="1">
      <c r="A102" s="82" t="s">
        <v>51</v>
      </c>
      <c r="B102" s="42" t="s">
        <v>122</v>
      </c>
      <c r="C102" s="165">
        <v>2000</v>
      </c>
      <c r="D102" s="343">
        <v>3000</v>
      </c>
      <c r="E102" s="291">
        <v>3000</v>
      </c>
      <c r="F102" s="291">
        <v>2194</v>
      </c>
      <c r="G102" s="270">
        <f t="shared" si="4"/>
        <v>90.378</v>
      </c>
    </row>
    <row r="103" spans="1:7" ht="12.75">
      <c r="A103" s="95" t="s">
        <v>52</v>
      </c>
      <c r="B103" s="9" t="s">
        <v>187</v>
      </c>
      <c r="C103" s="163">
        <v>1600</v>
      </c>
      <c r="D103" s="311">
        <f>1600+700</f>
        <v>2300</v>
      </c>
      <c r="E103" s="138">
        <f>1200+300+500+300</f>
        <v>2300</v>
      </c>
      <c r="F103" s="138">
        <f>1139+62</f>
        <v>1201</v>
      </c>
      <c r="G103" s="270">
        <f t="shared" si="4"/>
        <v>69.2898</v>
      </c>
    </row>
    <row r="104" spans="1:7" ht="12.75">
      <c r="A104" s="95" t="s">
        <v>52</v>
      </c>
      <c r="B104" s="9" t="s">
        <v>152</v>
      </c>
      <c r="C104" s="163">
        <v>2000</v>
      </c>
      <c r="D104" s="341">
        <v>3300</v>
      </c>
      <c r="E104" s="341">
        <v>3460</v>
      </c>
      <c r="F104" s="138">
        <f>3359+101</f>
        <v>3460</v>
      </c>
      <c r="G104" s="270">
        <f t="shared" si="4"/>
        <v>104.23596</v>
      </c>
    </row>
    <row r="105" spans="1:7" ht="12.75">
      <c r="A105" s="95" t="s">
        <v>52</v>
      </c>
      <c r="B105" s="9" t="s">
        <v>49</v>
      </c>
      <c r="C105" s="163">
        <v>7000</v>
      </c>
      <c r="D105" s="341">
        <v>13000</v>
      </c>
      <c r="E105" s="341">
        <v>10020</v>
      </c>
      <c r="F105" s="138">
        <v>10020</v>
      </c>
      <c r="G105" s="270">
        <f t="shared" si="4"/>
        <v>301.86252</v>
      </c>
    </row>
    <row r="106" spans="1:7" ht="12.75">
      <c r="A106" s="111" t="s">
        <v>52</v>
      </c>
      <c r="B106" s="37" t="s">
        <v>248</v>
      </c>
      <c r="C106" s="174">
        <v>0</v>
      </c>
      <c r="D106" s="282">
        <v>0</v>
      </c>
      <c r="E106" s="342">
        <v>4196</v>
      </c>
      <c r="F106" s="282">
        <v>1394</v>
      </c>
      <c r="G106" s="270">
        <f t="shared" si="4"/>
        <v>126.408696</v>
      </c>
    </row>
    <row r="107" spans="1:7" ht="12.75">
      <c r="A107" s="111" t="s">
        <v>52</v>
      </c>
      <c r="B107" s="37" t="s">
        <v>175</v>
      </c>
      <c r="C107" s="174">
        <v>0</v>
      </c>
      <c r="D107" s="282">
        <v>0</v>
      </c>
      <c r="E107" s="342">
        <v>1100</v>
      </c>
      <c r="F107" s="282">
        <v>1066</v>
      </c>
      <c r="G107" s="270">
        <f t="shared" si="4"/>
        <v>33.1386</v>
      </c>
    </row>
    <row r="108" spans="1:7" ht="13.5" thickBot="1">
      <c r="A108" s="82" t="s">
        <v>52</v>
      </c>
      <c r="B108" s="42" t="s">
        <v>123</v>
      </c>
      <c r="C108" s="165">
        <v>10000</v>
      </c>
      <c r="D108" s="291">
        <v>10000</v>
      </c>
      <c r="E108" s="343">
        <v>14606</v>
      </c>
      <c r="F108" s="291">
        <v>14606</v>
      </c>
      <c r="G108" s="270">
        <f t="shared" si="4"/>
        <v>440.02035600000005</v>
      </c>
    </row>
    <row r="109" spans="1:7" ht="12.75">
      <c r="A109" s="112" t="s">
        <v>53</v>
      </c>
      <c r="B109" s="44" t="s">
        <v>155</v>
      </c>
      <c r="C109" s="175">
        <v>1600</v>
      </c>
      <c r="D109" s="290">
        <v>1600</v>
      </c>
      <c r="E109" s="290">
        <v>1600</v>
      </c>
      <c r="F109" s="290">
        <v>1258</v>
      </c>
      <c r="G109" s="270">
        <f t="shared" si="4"/>
        <v>48.2016</v>
      </c>
    </row>
    <row r="110" spans="1:7" ht="12.75">
      <c r="A110" s="53" t="s">
        <v>54</v>
      </c>
      <c r="B110" s="34" t="s">
        <v>124</v>
      </c>
      <c r="C110" s="160">
        <v>7300</v>
      </c>
      <c r="D110" s="137">
        <v>7300</v>
      </c>
      <c r="E110" s="137">
        <v>7300</v>
      </c>
      <c r="F110" s="137">
        <v>5708</v>
      </c>
      <c r="G110" s="270">
        <f t="shared" si="4"/>
        <v>219.9198</v>
      </c>
    </row>
    <row r="111" spans="1:7" ht="13.5" thickBot="1">
      <c r="A111" s="111" t="s">
        <v>55</v>
      </c>
      <c r="B111" s="37" t="s">
        <v>125</v>
      </c>
      <c r="C111" s="174">
        <v>3000</v>
      </c>
      <c r="D111" s="342">
        <v>3200</v>
      </c>
      <c r="E111" s="342">
        <v>3837</v>
      </c>
      <c r="F111" s="282">
        <v>3080</v>
      </c>
      <c r="G111" s="270">
        <f t="shared" si="4"/>
        <v>115.593462</v>
      </c>
    </row>
    <row r="112" spans="1:7" ht="13.5" thickBot="1">
      <c r="A112" s="414" t="s">
        <v>56</v>
      </c>
      <c r="B112" s="415"/>
      <c r="C112" s="177">
        <f>SUM(C113:C117)</f>
        <v>251198</v>
      </c>
      <c r="D112" s="159">
        <f>SUM(D113:D117)</f>
        <v>253308</v>
      </c>
      <c r="E112" s="159">
        <f>SUM(E113:E117)</f>
        <v>255174</v>
      </c>
      <c r="F112" s="159">
        <f>SUM(F113:F117)</f>
        <v>179185</v>
      </c>
      <c r="G112" s="284">
        <f>SUM(G113:G117)</f>
        <v>7687.371924</v>
      </c>
    </row>
    <row r="113" spans="1:7" ht="12.75">
      <c r="A113" s="222" t="s">
        <v>57</v>
      </c>
      <c r="B113" s="223" t="s">
        <v>147</v>
      </c>
      <c r="C113" s="224">
        <v>85000</v>
      </c>
      <c r="D113" s="218">
        <v>85000</v>
      </c>
      <c r="E113" s="218">
        <v>85000</v>
      </c>
      <c r="F113" s="218">
        <v>59144</v>
      </c>
      <c r="G113" s="270">
        <f>E113*$F$7/1000</f>
        <v>2560.71</v>
      </c>
    </row>
    <row r="114" spans="1:7" ht="12.75">
      <c r="A114" s="84" t="s">
        <v>58</v>
      </c>
      <c r="B114" s="7" t="s">
        <v>241</v>
      </c>
      <c r="C114" s="178">
        <v>78</v>
      </c>
      <c r="D114" s="153">
        <v>78</v>
      </c>
      <c r="E114" s="318">
        <f>78+1866</f>
        <v>1944</v>
      </c>
      <c r="F114" s="153">
        <v>1902</v>
      </c>
      <c r="G114" s="270">
        <f>E114*$F$7/1000</f>
        <v>58.564944000000004</v>
      </c>
    </row>
    <row r="115" spans="1:7" ht="12.75">
      <c r="A115" s="84" t="s">
        <v>59</v>
      </c>
      <c r="B115" s="7" t="s">
        <v>60</v>
      </c>
      <c r="C115" s="178">
        <v>95000</v>
      </c>
      <c r="D115" s="153">
        <v>95000</v>
      </c>
      <c r="E115" s="153">
        <v>95000</v>
      </c>
      <c r="F115" s="153">
        <v>73155</v>
      </c>
      <c r="G115" s="270">
        <f>E115*$F$7/1000</f>
        <v>2861.97</v>
      </c>
    </row>
    <row r="116" spans="1:7" ht="12.75">
      <c r="A116" s="84" t="s">
        <v>76</v>
      </c>
      <c r="B116" s="7" t="s">
        <v>153</v>
      </c>
      <c r="C116" s="178">
        <v>58000</v>
      </c>
      <c r="D116" s="153">
        <v>58000</v>
      </c>
      <c r="E116" s="153">
        <v>58000</v>
      </c>
      <c r="F116" s="153">
        <v>35570</v>
      </c>
      <c r="G116" s="270">
        <f>E116*$F$7/1000</f>
        <v>1747.308</v>
      </c>
    </row>
    <row r="117" spans="1:7" ht="13.5" thickBot="1">
      <c r="A117" s="111" t="s">
        <v>61</v>
      </c>
      <c r="B117" s="37" t="s">
        <v>127</v>
      </c>
      <c r="C117" s="179">
        <v>13120</v>
      </c>
      <c r="D117" s="320">
        <v>15230</v>
      </c>
      <c r="E117" s="335">
        <v>15230</v>
      </c>
      <c r="F117" s="335">
        <v>9414</v>
      </c>
      <c r="G117" s="270">
        <f>E117*$F$7/1000</f>
        <v>458.81898000000007</v>
      </c>
    </row>
    <row r="118" spans="1:7" ht="13.5" thickBot="1">
      <c r="A118" s="35" t="s">
        <v>62</v>
      </c>
      <c r="B118" s="36"/>
      <c r="C118" s="158">
        <f>SUM(C119:C127)</f>
        <v>96500</v>
      </c>
      <c r="D118" s="159">
        <f>SUM(D119:D127)</f>
        <v>112500</v>
      </c>
      <c r="E118" s="159">
        <f>SUM(E119:E127)</f>
        <v>109600</v>
      </c>
      <c r="F118" s="159">
        <f>SUM(F119:F127)</f>
        <v>70548</v>
      </c>
      <c r="G118" s="284">
        <f>SUM(G119:G127)</f>
        <v>3301.8095999999996</v>
      </c>
    </row>
    <row r="119" spans="1:7" ht="12.75">
      <c r="A119" s="53" t="s">
        <v>63</v>
      </c>
      <c r="B119" s="34" t="s">
        <v>128</v>
      </c>
      <c r="C119" s="160">
        <v>74000</v>
      </c>
      <c r="D119" s="137">
        <v>74000</v>
      </c>
      <c r="E119" s="137">
        <v>74000</v>
      </c>
      <c r="F119" s="137">
        <v>50048</v>
      </c>
      <c r="G119" s="270">
        <f>E119*$F$7/1000</f>
        <v>2229.324</v>
      </c>
    </row>
    <row r="120" spans="1:7" ht="12.75">
      <c r="A120" s="95" t="s">
        <v>64</v>
      </c>
      <c r="B120" s="9" t="s">
        <v>129</v>
      </c>
      <c r="C120" s="163">
        <v>11000</v>
      </c>
      <c r="D120" s="138">
        <v>11000</v>
      </c>
      <c r="E120" s="138">
        <v>11000</v>
      </c>
      <c r="F120" s="138">
        <v>8393</v>
      </c>
      <c r="G120" s="270">
        <f aca="true" t="shared" si="5" ref="G120:G127">E120*$F$7/1000</f>
        <v>331.386</v>
      </c>
    </row>
    <row r="121" spans="1:7" ht="13.5" thickBot="1">
      <c r="A121" s="82" t="s">
        <v>64</v>
      </c>
      <c r="B121" s="42" t="s">
        <v>130</v>
      </c>
      <c r="C121" s="165">
        <v>1500</v>
      </c>
      <c r="D121" s="291">
        <v>1500</v>
      </c>
      <c r="E121" s="291">
        <v>1500</v>
      </c>
      <c r="F121" s="291">
        <v>0</v>
      </c>
      <c r="G121" s="270">
        <f t="shared" si="5"/>
        <v>45.189</v>
      </c>
    </row>
    <row r="122" spans="1:7" ht="12.75">
      <c r="A122" s="53" t="s">
        <v>65</v>
      </c>
      <c r="B122" s="34" t="s">
        <v>131</v>
      </c>
      <c r="C122" s="160">
        <v>200</v>
      </c>
      <c r="D122" s="137">
        <v>200</v>
      </c>
      <c r="E122" s="137">
        <v>200</v>
      </c>
      <c r="F122" s="137">
        <v>0</v>
      </c>
      <c r="G122" s="270">
        <f t="shared" si="5"/>
        <v>6.0252</v>
      </c>
    </row>
    <row r="123" spans="1:7" ht="12.75">
      <c r="A123" s="95" t="s">
        <v>66</v>
      </c>
      <c r="B123" s="9" t="s">
        <v>245</v>
      </c>
      <c r="C123" s="163">
        <v>3000</v>
      </c>
      <c r="D123" s="311">
        <f>4000+12000+3000</f>
        <v>19000</v>
      </c>
      <c r="E123" s="311">
        <v>15000</v>
      </c>
      <c r="F123" s="138">
        <v>7355</v>
      </c>
      <c r="G123" s="270">
        <f t="shared" si="5"/>
        <v>451.89</v>
      </c>
    </row>
    <row r="124" spans="1:7" ht="12.75">
      <c r="A124" s="95" t="s">
        <v>68</v>
      </c>
      <c r="B124" s="9" t="s">
        <v>132</v>
      </c>
      <c r="C124" s="163">
        <v>1300</v>
      </c>
      <c r="D124" s="138">
        <v>1300</v>
      </c>
      <c r="E124" s="138">
        <v>1300</v>
      </c>
      <c r="F124" s="138">
        <v>635</v>
      </c>
      <c r="G124" s="270">
        <f t="shared" si="5"/>
        <v>39.1638</v>
      </c>
    </row>
    <row r="125" spans="1:7" ht="12.75">
      <c r="A125" s="95" t="s">
        <v>68</v>
      </c>
      <c r="B125" s="9" t="s">
        <v>133</v>
      </c>
      <c r="C125" s="163">
        <v>4900</v>
      </c>
      <c r="D125" s="138">
        <v>4900</v>
      </c>
      <c r="E125" s="311">
        <v>6000</v>
      </c>
      <c r="F125" s="138">
        <v>4117</v>
      </c>
      <c r="G125" s="270">
        <f t="shared" si="5"/>
        <v>180.756</v>
      </c>
    </row>
    <row r="126" spans="1:7" ht="12.75">
      <c r="A126" s="95" t="s">
        <v>69</v>
      </c>
      <c r="B126" s="9" t="s">
        <v>70</v>
      </c>
      <c r="C126" s="163">
        <v>300</v>
      </c>
      <c r="D126" s="138">
        <v>300</v>
      </c>
      <c r="E126" s="138">
        <v>300</v>
      </c>
      <c r="F126" s="138">
        <v>0</v>
      </c>
      <c r="G126" s="270">
        <f t="shared" si="5"/>
        <v>9.0378</v>
      </c>
    </row>
    <row r="127" spans="1:7" ht="13.5" thickBot="1">
      <c r="A127" s="95" t="s">
        <v>71</v>
      </c>
      <c r="B127" s="9" t="s">
        <v>72</v>
      </c>
      <c r="C127" s="163">
        <v>300</v>
      </c>
      <c r="D127" s="138">
        <v>300</v>
      </c>
      <c r="E127" s="138">
        <v>300</v>
      </c>
      <c r="F127" s="138">
        <v>0</v>
      </c>
      <c r="G127" s="274">
        <f t="shared" si="5"/>
        <v>9.0378</v>
      </c>
    </row>
    <row r="128" spans="1:7" ht="16.5" thickBot="1">
      <c r="A128" s="225" t="s">
        <v>134</v>
      </c>
      <c r="B128" s="63"/>
      <c r="C128" s="167">
        <f>SUM(C78+C83+C85+C87+C92+C95+C97+C112+C118)</f>
        <v>742638</v>
      </c>
      <c r="D128" s="293">
        <f>SUM(D78+D83+D85+D87+D92+D95+D97+D112+D118)</f>
        <v>783288</v>
      </c>
      <c r="E128" s="293">
        <f>SUM(E78+E83+E85+E87+E92+E95+E97+E112+E118)</f>
        <v>789244</v>
      </c>
      <c r="F128" s="293">
        <f>SUM(F78+F83+F85+F87+F92+F95+F97+F112+F118)</f>
        <v>539421</v>
      </c>
      <c r="G128" s="352">
        <f>SUM(G78+G83+G85+G87+G92+G95+G97+G112+G118)</f>
        <v>23776.764744</v>
      </c>
    </row>
    <row r="129" spans="1:7" ht="12.75">
      <c r="A129" s="93" t="s">
        <v>58</v>
      </c>
      <c r="B129" s="92" t="s">
        <v>73</v>
      </c>
      <c r="C129" s="168">
        <f>C58+C72-78</f>
        <v>290396</v>
      </c>
      <c r="D129" s="308">
        <f>D58+D72-78</f>
        <v>303564</v>
      </c>
      <c r="E129" s="308">
        <f>E58+E72-78</f>
        <v>305630</v>
      </c>
      <c r="F129" s="308">
        <f>F58+F72</f>
        <v>225528</v>
      </c>
      <c r="G129" s="273">
        <f>E129*$F$7/1000</f>
        <v>9207.409380000001</v>
      </c>
    </row>
    <row r="130" spans="1:7" ht="12.75">
      <c r="A130" s="94" t="s">
        <v>74</v>
      </c>
      <c r="B130" s="8" t="s">
        <v>75</v>
      </c>
      <c r="C130" s="169">
        <v>17000</v>
      </c>
      <c r="D130" s="294">
        <v>17000</v>
      </c>
      <c r="E130" s="294">
        <v>17000</v>
      </c>
      <c r="F130" s="294">
        <f>4250*3</f>
        <v>12750</v>
      </c>
      <c r="G130" s="270">
        <f>E130*$F$7/1000</f>
        <v>512.142</v>
      </c>
    </row>
    <row r="131" spans="1:7" ht="13.5" thickBot="1">
      <c r="A131" s="416" t="s">
        <v>156</v>
      </c>
      <c r="B131" s="417"/>
      <c r="C131" s="170">
        <f>SUM(C129:C130)</f>
        <v>307396</v>
      </c>
      <c r="D131" s="170">
        <f>SUM(D129:D130)</f>
        <v>320564</v>
      </c>
      <c r="E131" s="170">
        <f>SUM(E129:E130)</f>
        <v>322630</v>
      </c>
      <c r="F131" s="170">
        <f>SUM(F129:F130)</f>
        <v>238278</v>
      </c>
      <c r="G131" s="287">
        <f>SUM(G129:G130)</f>
        <v>9719.55138</v>
      </c>
    </row>
    <row r="132" spans="1:7" ht="16.5" thickBot="1">
      <c r="A132" s="61" t="s">
        <v>77</v>
      </c>
      <c r="B132" s="39"/>
      <c r="C132" s="171">
        <f>C128+C131</f>
        <v>1050034</v>
      </c>
      <c r="D132" s="171">
        <f>D128+D131</f>
        <v>1103852</v>
      </c>
      <c r="E132" s="171">
        <f>E128+E131</f>
        <v>1111874</v>
      </c>
      <c r="F132" s="171">
        <f>F128+F131</f>
        <v>777699</v>
      </c>
      <c r="G132" s="288">
        <f>G128+G131</f>
        <v>33496.316124000004</v>
      </c>
    </row>
    <row r="133" spans="1:7" s="15" customFormat="1" ht="15.75">
      <c r="A133" s="10"/>
      <c r="B133" s="11"/>
      <c r="C133" s="12"/>
      <c r="D133" s="12"/>
      <c r="E133" s="12"/>
      <c r="F133" s="12"/>
      <c r="G133" s="12"/>
    </row>
    <row r="134" spans="1:7" s="15" customFormat="1" ht="15.75">
      <c r="A134" s="10"/>
      <c r="B134" s="11"/>
      <c r="C134" s="12"/>
      <c r="D134" s="12"/>
      <c r="E134" s="12"/>
      <c r="F134" s="12"/>
      <c r="G134" s="12"/>
    </row>
    <row r="135" spans="1:7" s="15" customFormat="1" ht="15.75">
      <c r="A135" s="10"/>
      <c r="B135" s="11"/>
      <c r="C135" s="12"/>
      <c r="D135" s="12"/>
      <c r="E135" s="12"/>
      <c r="F135" s="12"/>
      <c r="G135" s="12"/>
    </row>
    <row r="136" spans="1:7" s="15" customFormat="1" ht="15.75">
      <c r="A136" s="10"/>
      <c r="B136" s="11"/>
      <c r="C136" s="12"/>
      <c r="D136" s="12"/>
      <c r="E136" s="12"/>
      <c r="F136" s="12"/>
      <c r="G136" s="12"/>
    </row>
    <row r="137" ht="12.75">
      <c r="F137" s="80"/>
    </row>
    <row r="138" spans="1:6" ht="12.75">
      <c r="A138" s="11"/>
      <c r="B138" s="17"/>
      <c r="C138" s="17"/>
      <c r="D138" s="17"/>
      <c r="E138" s="17"/>
      <c r="F138" s="18"/>
    </row>
    <row r="139" spans="1:7" ht="18.75" customHeight="1" thickBot="1">
      <c r="A139" s="410" t="s">
        <v>78</v>
      </c>
      <c r="B139" s="411"/>
      <c r="C139" s="411"/>
      <c r="D139" s="411"/>
      <c r="E139" s="411"/>
      <c r="F139" s="411"/>
      <c r="G139" s="411"/>
    </row>
    <row r="140" spans="1:8" ht="12.75">
      <c r="A140" s="397" t="s">
        <v>1</v>
      </c>
      <c r="B140" s="398"/>
      <c r="C140" s="389" t="s">
        <v>190</v>
      </c>
      <c r="D140" s="429" t="s">
        <v>226</v>
      </c>
      <c r="E140" s="429" t="s">
        <v>236</v>
      </c>
      <c r="F140" s="429" t="s">
        <v>247</v>
      </c>
      <c r="G140" s="389" t="s">
        <v>195</v>
      </c>
      <c r="H140" s="80"/>
    </row>
    <row r="141" spans="1:8" ht="13.5" thickBot="1">
      <c r="A141" s="412"/>
      <c r="B141" s="413"/>
      <c r="C141" s="390"/>
      <c r="D141" s="430"/>
      <c r="E141" s="430"/>
      <c r="F141" s="430"/>
      <c r="G141" s="390"/>
      <c r="H141" s="18"/>
    </row>
    <row r="142" spans="1:7" ht="15.75" thickBot="1">
      <c r="A142" s="402" t="s">
        <v>139</v>
      </c>
      <c r="B142" s="403"/>
      <c r="C142" s="146">
        <f>SUM(C143:C145)</f>
        <v>0</v>
      </c>
      <c r="D142" s="229">
        <f>SUM(D143:D145)</f>
        <v>28195</v>
      </c>
      <c r="E142" s="229">
        <f>SUM(E143:E145)</f>
        <v>2452376</v>
      </c>
      <c r="F142" s="146">
        <f>SUM(F143:F145)</f>
        <v>37158</v>
      </c>
      <c r="G142" s="229">
        <f>SUM(G143:G145)</f>
        <v>73880.27937600002</v>
      </c>
    </row>
    <row r="143" spans="1:7" ht="12.75">
      <c r="A143" s="69">
        <v>230</v>
      </c>
      <c r="B143" s="44" t="s">
        <v>97</v>
      </c>
      <c r="C143" s="147">
        <v>0</v>
      </c>
      <c r="D143" s="295">
        <v>1195</v>
      </c>
      <c r="E143" s="295">
        <v>3778</v>
      </c>
      <c r="F143" s="290">
        <v>3778</v>
      </c>
      <c r="G143" s="348">
        <f>E143*$F$7/1000</f>
        <v>113.816028</v>
      </c>
    </row>
    <row r="144" spans="1:7" ht="12.75">
      <c r="A144" s="127">
        <v>322</v>
      </c>
      <c r="B144" s="227" t="s">
        <v>201</v>
      </c>
      <c r="C144" s="228">
        <v>0</v>
      </c>
      <c r="D144" s="296">
        <v>0</v>
      </c>
      <c r="E144" s="314">
        <f>170696+735413+573407+935702</f>
        <v>2415218</v>
      </c>
      <c r="F144" s="296">
        <v>0</v>
      </c>
      <c r="G144" s="350">
        <f>E144*$F$7/1000</f>
        <v>72760.85746800002</v>
      </c>
    </row>
    <row r="145" spans="1:7" ht="13.5" thickBot="1">
      <c r="A145" s="68">
        <v>321</v>
      </c>
      <c r="B145" s="42" t="s">
        <v>167</v>
      </c>
      <c r="C145" s="145">
        <v>0</v>
      </c>
      <c r="D145" s="340">
        <v>27000</v>
      </c>
      <c r="E145" s="340">
        <v>33380</v>
      </c>
      <c r="F145" s="291">
        <v>33380</v>
      </c>
      <c r="G145" s="351">
        <f>E145*$F$7/1000</f>
        <v>1005.60588</v>
      </c>
    </row>
    <row r="146" spans="1:7" ht="18.75" thickBot="1">
      <c r="A146" s="52"/>
      <c r="B146" s="3"/>
      <c r="C146" s="148"/>
      <c r="D146" s="297"/>
      <c r="E146" s="297"/>
      <c r="F146" s="297"/>
      <c r="G146" s="149"/>
    </row>
    <row r="147" spans="1:7" ht="16.5" thickBot="1">
      <c r="A147" s="402" t="s">
        <v>140</v>
      </c>
      <c r="B147" s="403"/>
      <c r="C147" s="150">
        <f>SUM(C148:C164)</f>
        <v>200666</v>
      </c>
      <c r="D147" s="150">
        <f>SUM(D148:D164)</f>
        <v>385686</v>
      </c>
      <c r="E147" s="150">
        <f>SUM(E148:E164)</f>
        <v>2840403</v>
      </c>
      <c r="F147" s="150">
        <f>SUM(F148:F164)</f>
        <v>160206</v>
      </c>
      <c r="G147" s="150">
        <f>SUM(G148:G164)</f>
        <v>85569.98077800001</v>
      </c>
    </row>
    <row r="148" spans="1:7" ht="12.75">
      <c r="A148" s="95" t="s">
        <v>36</v>
      </c>
      <c r="B148" s="6" t="s">
        <v>171</v>
      </c>
      <c r="C148" s="151">
        <v>0</v>
      </c>
      <c r="D148" s="298">
        <f>3870+553+2600</f>
        <v>7023</v>
      </c>
      <c r="E148" s="322">
        <f>3870+553+2600</f>
        <v>7023</v>
      </c>
      <c r="F148" s="322">
        <v>6452</v>
      </c>
      <c r="G148" s="348">
        <f>E148*$F$7/1000</f>
        <v>211.57489800000002</v>
      </c>
    </row>
    <row r="149" spans="1:7" ht="12.75">
      <c r="A149" s="266" t="s">
        <v>36</v>
      </c>
      <c r="B149" s="6" t="s">
        <v>231</v>
      </c>
      <c r="C149" s="267">
        <v>0</v>
      </c>
      <c r="D149" s="298">
        <v>35000</v>
      </c>
      <c r="E149" s="322">
        <v>35000</v>
      </c>
      <c r="F149" s="322">
        <v>35000</v>
      </c>
      <c r="G149" s="350">
        <f aca="true" t="shared" si="6" ref="G149:G164">E149*$F$7/1000</f>
        <v>1054.41</v>
      </c>
    </row>
    <row r="150" spans="1:7" ht="13.5" thickBot="1">
      <c r="A150" s="64" t="s">
        <v>36</v>
      </c>
      <c r="B150" s="83" t="s">
        <v>199</v>
      </c>
      <c r="C150" s="152">
        <v>0</v>
      </c>
      <c r="D150" s="299">
        <f>1339+38759+426+4201+2800+2800+9664+10820+2380</f>
        <v>73189</v>
      </c>
      <c r="E150" s="336">
        <v>73189</v>
      </c>
      <c r="F150" s="336">
        <v>52594</v>
      </c>
      <c r="G150" s="350">
        <f t="shared" si="6"/>
        <v>2204.891814</v>
      </c>
    </row>
    <row r="151" spans="1:7" ht="12.75">
      <c r="A151" s="135" t="s">
        <v>38</v>
      </c>
      <c r="B151" s="136" t="s">
        <v>222</v>
      </c>
      <c r="C151" s="155">
        <v>0</v>
      </c>
      <c r="D151" s="315">
        <v>800</v>
      </c>
      <c r="E151" s="337">
        <v>800</v>
      </c>
      <c r="F151" s="337">
        <v>771</v>
      </c>
      <c r="G151" s="350">
        <f t="shared" si="6"/>
        <v>24.1008</v>
      </c>
    </row>
    <row r="152" spans="1:7" ht="12.75">
      <c r="A152" s="70" t="s">
        <v>38</v>
      </c>
      <c r="B152" s="28" t="s">
        <v>217</v>
      </c>
      <c r="C152" s="156">
        <v>0</v>
      </c>
      <c r="D152" s="300">
        <f>19520+8000</f>
        <v>27520</v>
      </c>
      <c r="E152" s="300">
        <f>19520+8000-500</f>
        <v>27020</v>
      </c>
      <c r="F152" s="321">
        <v>27015</v>
      </c>
      <c r="G152" s="350">
        <f t="shared" si="6"/>
        <v>814.0045200000001</v>
      </c>
    </row>
    <row r="153" spans="1:7" ht="12.75">
      <c r="A153" s="49" t="s">
        <v>40</v>
      </c>
      <c r="B153" s="28" t="s">
        <v>182</v>
      </c>
      <c r="C153" s="156">
        <v>38706</v>
      </c>
      <c r="D153" s="276">
        <v>38706</v>
      </c>
      <c r="E153" s="300">
        <f>38706+735413</f>
        <v>774119</v>
      </c>
      <c r="F153" s="321">
        <v>0</v>
      </c>
      <c r="G153" s="350">
        <f t="shared" si="6"/>
        <v>23321.108994000002</v>
      </c>
    </row>
    <row r="154" spans="1:7" ht="12.75">
      <c r="A154" s="84" t="s">
        <v>184</v>
      </c>
      <c r="B154" s="85" t="s">
        <v>79</v>
      </c>
      <c r="C154" s="151">
        <v>0</v>
      </c>
      <c r="D154" s="140">
        <v>0</v>
      </c>
      <c r="E154" s="298">
        <v>26000</v>
      </c>
      <c r="F154" s="322">
        <v>0</v>
      </c>
      <c r="G154" s="350">
        <f t="shared" si="6"/>
        <v>783.276</v>
      </c>
    </row>
    <row r="155" spans="1:7" ht="12.75">
      <c r="A155" s="95" t="s">
        <v>184</v>
      </c>
      <c r="B155" s="6" t="s">
        <v>185</v>
      </c>
      <c r="C155" s="157">
        <v>73550</v>
      </c>
      <c r="D155" s="140">
        <v>73550</v>
      </c>
      <c r="E155" s="140">
        <v>73550</v>
      </c>
      <c r="F155" s="322">
        <v>0</v>
      </c>
      <c r="G155" s="350">
        <f t="shared" si="6"/>
        <v>2215.7673000000004</v>
      </c>
    </row>
    <row r="156" spans="1:7" ht="12.75">
      <c r="A156" s="84" t="s">
        <v>186</v>
      </c>
      <c r="B156" s="6" t="s">
        <v>168</v>
      </c>
      <c r="C156" s="151">
        <v>0</v>
      </c>
      <c r="D156" s="140">
        <v>0</v>
      </c>
      <c r="E156" s="140">
        <v>0</v>
      </c>
      <c r="F156" s="322">
        <v>0</v>
      </c>
      <c r="G156" s="350">
        <f t="shared" si="6"/>
        <v>0</v>
      </c>
    </row>
    <row r="157" spans="1:7" ht="12.75">
      <c r="A157" s="70" t="s">
        <v>186</v>
      </c>
      <c r="B157" s="28" t="s">
        <v>244</v>
      </c>
      <c r="C157" s="156">
        <v>49247</v>
      </c>
      <c r="D157" s="276">
        <v>49247</v>
      </c>
      <c r="E157" s="300">
        <f>49247+935702</f>
        <v>984949</v>
      </c>
      <c r="F157" s="321">
        <v>0</v>
      </c>
      <c r="G157" s="350">
        <f t="shared" si="6"/>
        <v>29672.573574000002</v>
      </c>
    </row>
    <row r="158" spans="1:7" ht="12.75">
      <c r="A158" s="70" t="s">
        <v>44</v>
      </c>
      <c r="B158" s="28" t="s">
        <v>233</v>
      </c>
      <c r="C158" s="156">
        <v>0</v>
      </c>
      <c r="D158" s="300">
        <v>9494</v>
      </c>
      <c r="E158" s="321">
        <v>9494</v>
      </c>
      <c r="F158" s="321">
        <v>0</v>
      </c>
      <c r="G158" s="350">
        <f t="shared" si="6"/>
        <v>286.01624400000003</v>
      </c>
    </row>
    <row r="159" spans="1:7" ht="12.75">
      <c r="A159" s="49" t="s">
        <v>50</v>
      </c>
      <c r="B159" s="28" t="s">
        <v>151</v>
      </c>
      <c r="C159" s="156">
        <v>0</v>
      </c>
      <c r="D159" s="339">
        <v>0</v>
      </c>
      <c r="E159" s="321">
        <v>0</v>
      </c>
      <c r="F159" s="321">
        <v>0</v>
      </c>
      <c r="G159" s="350">
        <f t="shared" si="6"/>
        <v>0</v>
      </c>
    </row>
    <row r="160" spans="1:7" ht="12.75">
      <c r="A160" s="49" t="s">
        <v>54</v>
      </c>
      <c r="B160" s="28" t="s">
        <v>232</v>
      </c>
      <c r="C160" s="156"/>
      <c r="D160" s="339">
        <v>24620</v>
      </c>
      <c r="E160" s="339">
        <v>31000</v>
      </c>
      <c r="F160" s="321">
        <v>31000</v>
      </c>
      <c r="G160" s="350">
        <f t="shared" si="6"/>
        <v>933.906</v>
      </c>
    </row>
    <row r="161" spans="1:7" ht="12.75">
      <c r="A161" s="50" t="s">
        <v>58</v>
      </c>
      <c r="B161" s="6" t="s">
        <v>170</v>
      </c>
      <c r="C161" s="151">
        <v>8984</v>
      </c>
      <c r="D161" s="140">
        <v>8984</v>
      </c>
      <c r="E161" s="298">
        <f>8984+170696</f>
        <v>179680</v>
      </c>
      <c r="F161" s="322">
        <v>0</v>
      </c>
      <c r="G161" s="350">
        <f t="shared" si="6"/>
        <v>5413.039680000001</v>
      </c>
    </row>
    <row r="162" spans="1:7" ht="12.75">
      <c r="A162" s="50" t="s">
        <v>58</v>
      </c>
      <c r="B162" s="6" t="s">
        <v>198</v>
      </c>
      <c r="C162" s="151">
        <v>30179</v>
      </c>
      <c r="D162" s="140">
        <v>30179</v>
      </c>
      <c r="E162" s="298">
        <f>30179+581026</f>
        <v>611205</v>
      </c>
      <c r="F162" s="322">
        <v>0</v>
      </c>
      <c r="G162" s="350">
        <f t="shared" si="6"/>
        <v>18413.16183</v>
      </c>
    </row>
    <row r="163" spans="1:7" ht="12.75">
      <c r="A163" s="50" t="s">
        <v>59</v>
      </c>
      <c r="B163" s="6" t="s">
        <v>216</v>
      </c>
      <c r="C163" s="151">
        <v>0</v>
      </c>
      <c r="D163" s="298">
        <v>7374</v>
      </c>
      <c r="E163" s="322">
        <v>7374</v>
      </c>
      <c r="F163" s="322">
        <v>7374</v>
      </c>
      <c r="G163" s="350">
        <f t="shared" si="6"/>
        <v>222.149124</v>
      </c>
    </row>
    <row r="164" spans="1:7" ht="13.5" thickBot="1">
      <c r="A164" s="51" t="s">
        <v>76</v>
      </c>
      <c r="B164" s="32" t="s">
        <v>174</v>
      </c>
      <c r="C164" s="154">
        <v>0</v>
      </c>
      <c r="D164" s="279">
        <v>0</v>
      </c>
      <c r="E164" s="279">
        <v>0</v>
      </c>
      <c r="F164" s="279">
        <v>0</v>
      </c>
      <c r="G164" s="351">
        <f t="shared" si="6"/>
        <v>0</v>
      </c>
    </row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spans="1:7" ht="12.75">
      <c r="A172" s="20"/>
      <c r="B172" s="21"/>
      <c r="C172" s="21"/>
      <c r="D172" s="21"/>
      <c r="E172" s="21"/>
      <c r="F172" s="86"/>
      <c r="G172" s="87"/>
    </row>
    <row r="173" spans="1:7" ht="12.75">
      <c r="A173" s="21"/>
      <c r="B173" s="17"/>
      <c r="C173" s="17"/>
      <c r="D173" s="17"/>
      <c r="E173" s="17"/>
      <c r="F173" s="22"/>
      <c r="G173" s="22"/>
    </row>
    <row r="174" spans="1:7" ht="18.75" thickBot="1">
      <c r="A174" s="441" t="s">
        <v>80</v>
      </c>
      <c r="B174" s="442"/>
      <c r="C174" s="442"/>
      <c r="D174" s="442"/>
      <c r="E174" s="442"/>
      <c r="F174" s="442"/>
      <c r="G174" s="442"/>
    </row>
    <row r="175" spans="1:7" ht="12.75">
      <c r="A175" s="397" t="s">
        <v>1</v>
      </c>
      <c r="B175" s="398"/>
      <c r="C175" s="389" t="s">
        <v>190</v>
      </c>
      <c r="D175" s="429" t="s">
        <v>226</v>
      </c>
      <c r="E175" s="429" t="s">
        <v>236</v>
      </c>
      <c r="F175" s="429" t="s">
        <v>247</v>
      </c>
      <c r="G175" s="433" t="s">
        <v>194</v>
      </c>
    </row>
    <row r="176" spans="1:7" ht="13.5" thickBot="1">
      <c r="A176" s="412"/>
      <c r="B176" s="413"/>
      <c r="C176" s="390"/>
      <c r="D176" s="430"/>
      <c r="E176" s="430"/>
      <c r="F176" s="430"/>
      <c r="G176" s="434"/>
    </row>
    <row r="177" spans="1:7" ht="16.5" thickBot="1">
      <c r="A177" s="435" t="s">
        <v>141</v>
      </c>
      <c r="B177" s="436"/>
      <c r="C177" s="208">
        <f>SUM(C178:C180)</f>
        <v>202266</v>
      </c>
      <c r="D177" s="208">
        <f>SUM(D178:D180)</f>
        <v>344347</v>
      </c>
      <c r="E177" s="208">
        <f>SUM(E178:E180)</f>
        <v>374678</v>
      </c>
      <c r="F177" s="354">
        <f>SUM(F178:F180)</f>
        <v>164547</v>
      </c>
      <c r="G177" s="353">
        <f>SUM(G178:G180)</f>
        <v>11287.549428</v>
      </c>
    </row>
    <row r="178" spans="1:7" ht="14.25" customHeight="1">
      <c r="A178" s="209">
        <v>411</v>
      </c>
      <c r="B178" s="212" t="s">
        <v>193</v>
      </c>
      <c r="C178" s="210">
        <v>1600</v>
      </c>
      <c r="D178" s="303">
        <v>1600</v>
      </c>
      <c r="E178" s="303">
        <v>1600</v>
      </c>
      <c r="F178" s="303">
        <v>928</v>
      </c>
      <c r="G178" s="273">
        <f>E178*$F$7/1000</f>
        <v>48.2016</v>
      </c>
    </row>
    <row r="179" spans="1:8" ht="14.25" customHeight="1">
      <c r="A179" s="47">
        <v>454</v>
      </c>
      <c r="B179" s="5" t="s">
        <v>173</v>
      </c>
      <c r="C179" s="144">
        <v>0</v>
      </c>
      <c r="D179" s="304">
        <f>63515+78566</f>
        <v>142081</v>
      </c>
      <c r="E179" s="304">
        <v>163619</v>
      </c>
      <c r="F179" s="324">
        <v>163619</v>
      </c>
      <c r="G179" s="273">
        <f>E179*$F$7/1000</f>
        <v>4929.185994</v>
      </c>
      <c r="H179" s="25"/>
    </row>
    <row r="180" spans="1:7" ht="13.5" thickBot="1">
      <c r="A180" s="201">
        <v>513</v>
      </c>
      <c r="B180" s="202" t="s">
        <v>183</v>
      </c>
      <c r="C180" s="203">
        <v>200666</v>
      </c>
      <c r="D180" s="309">
        <f>200666</f>
        <v>200666</v>
      </c>
      <c r="E180" s="309">
        <f>200666+8793</f>
        <v>209459</v>
      </c>
      <c r="F180" s="329">
        <v>0</v>
      </c>
      <c r="G180" s="273">
        <f>E180*$F$7/1000</f>
        <v>6310.1618339999995</v>
      </c>
    </row>
    <row r="181" spans="1:7" ht="16.5" thickBot="1">
      <c r="A181" s="435" t="s">
        <v>142</v>
      </c>
      <c r="B181" s="436"/>
      <c r="C181" s="208">
        <f>SUM(C182:C183)</f>
        <v>2965</v>
      </c>
      <c r="D181" s="302">
        <f>SUM(D182:D183)</f>
        <v>3014</v>
      </c>
      <c r="E181" s="302">
        <f>SUM(E182:E183)</f>
        <v>3414</v>
      </c>
      <c r="F181" s="330">
        <f>SUM(F182:F183)</f>
        <v>729</v>
      </c>
      <c r="G181" s="353">
        <f>SUM(G182:G183)</f>
        <v>102.850164</v>
      </c>
    </row>
    <row r="182" spans="1:7" ht="12.75">
      <c r="A182" s="231">
        <v>821</v>
      </c>
      <c r="B182" s="212" t="s">
        <v>202</v>
      </c>
      <c r="C182" s="232">
        <v>2434</v>
      </c>
      <c r="D182" s="305">
        <v>2434</v>
      </c>
      <c r="E182" s="305">
        <v>2434</v>
      </c>
      <c r="F182" s="331">
        <v>0</v>
      </c>
      <c r="G182" s="348">
        <f>E182*$F$7/1000</f>
        <v>73.32668400000001</v>
      </c>
    </row>
    <row r="183" spans="1:7" ht="13.5" thickBot="1">
      <c r="A183" s="205">
        <v>821</v>
      </c>
      <c r="B183" s="206" t="s">
        <v>135</v>
      </c>
      <c r="C183" s="196">
        <v>531</v>
      </c>
      <c r="D183" s="306">
        <v>580</v>
      </c>
      <c r="E183" s="306">
        <v>980</v>
      </c>
      <c r="F183" s="332">
        <v>729</v>
      </c>
      <c r="G183" s="349">
        <f>E183*$F$7/1000</f>
        <v>29.52348</v>
      </c>
    </row>
    <row r="184" spans="1:7" ht="15.75">
      <c r="A184" s="10"/>
      <c r="B184" s="11"/>
      <c r="C184" s="11"/>
      <c r="D184" s="11"/>
      <c r="E184" s="11"/>
      <c r="F184" s="12"/>
      <c r="G184" s="12"/>
    </row>
    <row r="185" spans="2:6" ht="12.75">
      <c r="B185" s="17"/>
      <c r="C185" s="17"/>
      <c r="D185" s="17"/>
      <c r="E185" s="17"/>
      <c r="F185" s="23"/>
    </row>
    <row r="186" spans="1:7" ht="18.75" thickBot="1">
      <c r="A186" s="439" t="s">
        <v>143</v>
      </c>
      <c r="B186" s="440"/>
      <c r="C186" s="440"/>
      <c r="D186" s="440"/>
      <c r="E186" s="440"/>
      <c r="F186" s="440"/>
      <c r="G186" s="440"/>
    </row>
    <row r="187" spans="1:7" ht="12.75">
      <c r="A187" s="397" t="s">
        <v>1</v>
      </c>
      <c r="B187" s="398"/>
      <c r="C187" s="431" t="s">
        <v>190</v>
      </c>
      <c r="D187" s="429" t="s">
        <v>226</v>
      </c>
      <c r="E187" s="429" t="s">
        <v>236</v>
      </c>
      <c r="F187" s="429" t="s">
        <v>247</v>
      </c>
      <c r="G187" s="431" t="s">
        <v>195</v>
      </c>
    </row>
    <row r="188" spans="1:7" ht="13.5" thickBot="1">
      <c r="A188" s="399"/>
      <c r="B188" s="400"/>
      <c r="C188" s="432"/>
      <c r="D188" s="430"/>
      <c r="E188" s="430"/>
      <c r="F188" s="430"/>
      <c r="G188" s="432"/>
    </row>
    <row r="189" spans="1:7" ht="15">
      <c r="A189" s="307" t="s">
        <v>81</v>
      </c>
      <c r="B189" s="45"/>
      <c r="C189" s="290">
        <f>C73</f>
        <v>1051399</v>
      </c>
      <c r="D189" s="290">
        <f>D73</f>
        <v>1120010</v>
      </c>
      <c r="E189" s="290">
        <f>E73</f>
        <v>1128637</v>
      </c>
      <c r="F189" s="290">
        <f>F73</f>
        <v>790650</v>
      </c>
      <c r="G189" s="137">
        <f>G73</f>
        <v>34001.318262</v>
      </c>
    </row>
    <row r="190" spans="1:7" ht="15">
      <c r="A190" s="54" t="s">
        <v>82</v>
      </c>
      <c r="B190" s="6"/>
      <c r="C190" s="138">
        <f>C132</f>
        <v>1050034</v>
      </c>
      <c r="D190" s="138">
        <f>D132</f>
        <v>1103852</v>
      </c>
      <c r="E190" s="138">
        <f>E132</f>
        <v>1111874</v>
      </c>
      <c r="F190" s="138">
        <f>F132</f>
        <v>777699</v>
      </c>
      <c r="G190" s="138">
        <f>G132</f>
        <v>33496.316124000004</v>
      </c>
    </row>
    <row r="191" spans="1:7" ht="15.75">
      <c r="A191" s="46"/>
      <c r="B191" s="24" t="s">
        <v>83</v>
      </c>
      <c r="C191" s="139">
        <f>C189-C190</f>
        <v>1365</v>
      </c>
      <c r="D191" s="139">
        <f>D189-D190</f>
        <v>16158</v>
      </c>
      <c r="E191" s="139">
        <f>E189-E190</f>
        <v>16763</v>
      </c>
      <c r="F191" s="139">
        <f>F189-F190</f>
        <v>12951</v>
      </c>
      <c r="G191" s="139">
        <f>G189-G190</f>
        <v>505.0021379999962</v>
      </c>
    </row>
    <row r="192" spans="1:7" ht="15">
      <c r="A192" s="54" t="s">
        <v>84</v>
      </c>
      <c r="B192" s="6"/>
      <c r="C192" s="138">
        <f>C142</f>
        <v>0</v>
      </c>
      <c r="D192" s="138">
        <f>D142</f>
        <v>28195</v>
      </c>
      <c r="E192" s="138">
        <f>E142</f>
        <v>2452376</v>
      </c>
      <c r="F192" s="138">
        <f>F142</f>
        <v>37158</v>
      </c>
      <c r="G192" s="138">
        <f>G142</f>
        <v>73880.27937600002</v>
      </c>
    </row>
    <row r="193" spans="1:7" ht="15">
      <c r="A193" s="54" t="s">
        <v>85</v>
      </c>
      <c r="B193" s="6"/>
      <c r="C193" s="140">
        <f>C147</f>
        <v>200666</v>
      </c>
      <c r="D193" s="140">
        <f>D147</f>
        <v>385686</v>
      </c>
      <c r="E193" s="140">
        <f>E147</f>
        <v>2840403</v>
      </c>
      <c r="F193" s="140">
        <f>F147</f>
        <v>160206</v>
      </c>
      <c r="G193" s="140">
        <f>G147</f>
        <v>85569.98077800001</v>
      </c>
    </row>
    <row r="194" spans="1:7" ht="15.75">
      <c r="A194" s="46"/>
      <c r="B194" s="26" t="s">
        <v>86</v>
      </c>
      <c r="C194" s="139">
        <f>C192-C193</f>
        <v>-200666</v>
      </c>
      <c r="D194" s="139">
        <f>D192-D193</f>
        <v>-357491</v>
      </c>
      <c r="E194" s="139">
        <f>E192-E193</f>
        <v>-388027</v>
      </c>
      <c r="F194" s="139">
        <f>F192-F193</f>
        <v>-123048</v>
      </c>
      <c r="G194" s="139">
        <f>G192-G193</f>
        <v>-11689.701401999992</v>
      </c>
    </row>
    <row r="195" spans="1:7" ht="15">
      <c r="A195" s="383" t="s">
        <v>137</v>
      </c>
      <c r="B195" s="384"/>
      <c r="C195" s="141">
        <f>C177</f>
        <v>202266</v>
      </c>
      <c r="D195" s="141">
        <f>D177</f>
        <v>344347</v>
      </c>
      <c r="E195" s="141">
        <f>E177</f>
        <v>374678</v>
      </c>
      <c r="F195" s="141">
        <f>F177</f>
        <v>164547</v>
      </c>
      <c r="G195" s="141">
        <f>G177</f>
        <v>11287.549428</v>
      </c>
    </row>
    <row r="196" spans="1:7" ht="15">
      <c r="A196" s="383" t="s">
        <v>136</v>
      </c>
      <c r="B196" s="384"/>
      <c r="C196" s="141">
        <f>C181</f>
        <v>2965</v>
      </c>
      <c r="D196" s="141">
        <f>D181</f>
        <v>3014</v>
      </c>
      <c r="E196" s="141">
        <f>E181</f>
        <v>3414</v>
      </c>
      <c r="F196" s="141">
        <f>F181</f>
        <v>729</v>
      </c>
      <c r="G196" s="141">
        <f>G181</f>
        <v>102.850164</v>
      </c>
    </row>
    <row r="197" spans="1:7" ht="16.5" thickBot="1">
      <c r="A197" s="55"/>
      <c r="B197" s="56" t="s">
        <v>138</v>
      </c>
      <c r="C197" s="142">
        <f>C195-C196</f>
        <v>199301</v>
      </c>
      <c r="D197" s="142">
        <f>D195-D196</f>
        <v>341333</v>
      </c>
      <c r="E197" s="142">
        <f>E195-E196</f>
        <v>371264</v>
      </c>
      <c r="F197" s="142">
        <f>F195-F196</f>
        <v>163818</v>
      </c>
      <c r="G197" s="142">
        <f>G195-G196</f>
        <v>11184.699264</v>
      </c>
    </row>
    <row r="198" spans="1:7" ht="16.5" thickBot="1">
      <c r="A198" s="385" t="s">
        <v>87</v>
      </c>
      <c r="B198" s="386"/>
      <c r="C198" s="143">
        <f>C191+C194+C197</f>
        <v>0</v>
      </c>
      <c r="D198" s="143">
        <f>D191+D194+D197</f>
        <v>0</v>
      </c>
      <c r="E198" s="143">
        <f>E191+E194+E197</f>
        <v>0</v>
      </c>
      <c r="F198" s="143">
        <f>F191+F194+F197</f>
        <v>53721</v>
      </c>
      <c r="G198" s="143">
        <f>G191+G194+G197</f>
        <v>0</v>
      </c>
    </row>
    <row r="199" ht="12.75">
      <c r="G199" s="71"/>
    </row>
    <row r="200" spans="2:7" ht="12.75">
      <c r="B200" s="27" t="s">
        <v>88</v>
      </c>
      <c r="C200" s="71">
        <f aca="true" t="shared" si="7" ref="C200:G201">C189+C192+C195</f>
        <v>1253665</v>
      </c>
      <c r="D200" s="71">
        <f t="shared" si="7"/>
        <v>1492552</v>
      </c>
      <c r="E200" s="71">
        <f>E189+E192+E195</f>
        <v>3955691</v>
      </c>
      <c r="F200" s="71">
        <f t="shared" si="7"/>
        <v>992355</v>
      </c>
      <c r="G200" s="71">
        <f t="shared" si="7"/>
        <v>119169.14706600002</v>
      </c>
    </row>
    <row r="201" spans="2:7" ht="12.75">
      <c r="B201" s="27" t="s">
        <v>89</v>
      </c>
      <c r="C201" s="71">
        <f t="shared" si="7"/>
        <v>1253665</v>
      </c>
      <c r="D201" s="71">
        <f t="shared" si="7"/>
        <v>1492552</v>
      </c>
      <c r="E201" s="71">
        <f>E190+E193+E196</f>
        <v>3955691</v>
      </c>
      <c r="F201" s="71">
        <f t="shared" si="7"/>
        <v>938634</v>
      </c>
      <c r="G201" s="71">
        <f t="shared" si="7"/>
        <v>119169.14706600002</v>
      </c>
    </row>
    <row r="202" spans="2:7" ht="12.75">
      <c r="B202" s="27"/>
      <c r="C202" s="71"/>
      <c r="D202" s="71"/>
      <c r="E202" s="71"/>
      <c r="F202" s="71"/>
      <c r="G202" s="71"/>
    </row>
    <row r="203" spans="2:7" ht="12.75">
      <c r="B203" s="27" t="s">
        <v>150</v>
      </c>
      <c r="C203" s="71">
        <f>C200-C72</f>
        <v>1251991</v>
      </c>
      <c r="D203" s="71">
        <f>D200-D72</f>
        <v>1490878</v>
      </c>
      <c r="E203" s="71">
        <f>E200-E72</f>
        <v>3951951</v>
      </c>
      <c r="F203" s="71">
        <f>F200-F72</f>
        <v>992355</v>
      </c>
      <c r="G203" s="71">
        <f>G200-G72</f>
        <v>119056.47582600002</v>
      </c>
    </row>
    <row r="204" spans="2:7" ht="12.75">
      <c r="B204" s="27" t="s">
        <v>154</v>
      </c>
      <c r="C204" s="71">
        <f>C201-C131</f>
        <v>946269</v>
      </c>
      <c r="D204" s="71">
        <f>D201-D131</f>
        <v>1171988</v>
      </c>
      <c r="E204" s="71">
        <f>E201-E131</f>
        <v>3633061</v>
      </c>
      <c r="F204" s="71">
        <f>F201-F131</f>
        <v>700356</v>
      </c>
      <c r="G204" s="71">
        <f>G201-G131</f>
        <v>109449.59568600002</v>
      </c>
    </row>
  </sheetData>
  <sheetProtection/>
  <mergeCells count="52">
    <mergeCell ref="A186:G186"/>
    <mergeCell ref="G187:G188"/>
    <mergeCell ref="F187:F188"/>
    <mergeCell ref="A195:B195"/>
    <mergeCell ref="A196:B196"/>
    <mergeCell ref="A198:B198"/>
    <mergeCell ref="E187:E188"/>
    <mergeCell ref="A187:B188"/>
    <mergeCell ref="C187:C188"/>
    <mergeCell ref="D187:D188"/>
    <mergeCell ref="A177:B177"/>
    <mergeCell ref="A181:B181"/>
    <mergeCell ref="A147:B147"/>
    <mergeCell ref="E140:E141"/>
    <mergeCell ref="A175:B176"/>
    <mergeCell ref="C175:C176"/>
    <mergeCell ref="D175:D176"/>
    <mergeCell ref="G175:G176"/>
    <mergeCell ref="A140:B141"/>
    <mergeCell ref="C140:C141"/>
    <mergeCell ref="D140:D141"/>
    <mergeCell ref="F140:F141"/>
    <mergeCell ref="G140:G141"/>
    <mergeCell ref="A142:B142"/>
    <mergeCell ref="E175:E176"/>
    <mergeCell ref="A174:G174"/>
    <mergeCell ref="F175:F176"/>
    <mergeCell ref="A131:B131"/>
    <mergeCell ref="A76:B77"/>
    <mergeCell ref="C76:C77"/>
    <mergeCell ref="D76:D77"/>
    <mergeCell ref="A83:B83"/>
    <mergeCell ref="A85:B85"/>
    <mergeCell ref="A112:B112"/>
    <mergeCell ref="E76:E77"/>
    <mergeCell ref="A1:F1"/>
    <mergeCell ref="A2:F2"/>
    <mergeCell ref="A9:B10"/>
    <mergeCell ref="C9:C10"/>
    <mergeCell ref="D9:D10"/>
    <mergeCell ref="F9:F10"/>
    <mergeCell ref="E9:E10"/>
    <mergeCell ref="A139:G139"/>
    <mergeCell ref="A75:G75"/>
    <mergeCell ref="A8:G8"/>
    <mergeCell ref="G76:G77"/>
    <mergeCell ref="G9:G10"/>
    <mergeCell ref="A11:B11"/>
    <mergeCell ref="A20:B20"/>
    <mergeCell ref="A39:B39"/>
    <mergeCell ref="A41:B41"/>
    <mergeCell ref="F76:F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&amp;CRozpočet obce Heľpa na rok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165">
      <selection activeCell="E88" sqref="E88"/>
    </sheetView>
  </sheetViews>
  <sheetFormatPr defaultColWidth="9.00390625" defaultRowHeight="12.75"/>
  <cols>
    <col min="1" max="1" width="6.625" style="0" customWidth="1"/>
    <col min="2" max="2" width="41.00390625" style="0" customWidth="1"/>
    <col min="3" max="3" width="12.375" style="0" customWidth="1"/>
    <col min="4" max="4" width="11.75390625" style="0" customWidth="1"/>
    <col min="5" max="5" width="12.75390625" style="0" bestFit="1" customWidth="1"/>
  </cols>
  <sheetData>
    <row r="1" spans="1:6" ht="20.25">
      <c r="A1" s="426" t="s">
        <v>189</v>
      </c>
      <c r="B1" s="426"/>
      <c r="C1" s="426"/>
      <c r="D1" s="426"/>
      <c r="E1" s="426"/>
      <c r="F1" s="1"/>
    </row>
    <row r="2" spans="1:6" ht="15.75">
      <c r="A2" s="437"/>
      <c r="B2" s="437"/>
      <c r="C2" s="437"/>
      <c r="D2" s="437"/>
      <c r="E2" s="437"/>
      <c r="F2" s="2"/>
    </row>
    <row r="3" spans="1:6" ht="12.75">
      <c r="A3" t="s">
        <v>211</v>
      </c>
      <c r="F3" s="81"/>
    </row>
    <row r="4" spans="1:6" ht="12.75">
      <c r="A4" t="s">
        <v>235</v>
      </c>
      <c r="B4" s="91"/>
      <c r="C4" s="91"/>
      <c r="D4" s="91"/>
      <c r="E4" s="91"/>
      <c r="F4" s="81"/>
    </row>
    <row r="5" spans="1:6" ht="12.75">
      <c r="A5" s="81" t="s">
        <v>164</v>
      </c>
      <c r="B5" s="81"/>
      <c r="C5" s="81"/>
      <c r="D5" s="81"/>
      <c r="E5" s="81"/>
      <c r="F5" s="81"/>
    </row>
    <row r="6" spans="5:6" ht="12.75">
      <c r="E6" s="220">
        <v>30.126</v>
      </c>
      <c r="F6" s="15"/>
    </row>
    <row r="7" spans="1:6" ht="18.75" thickBot="1">
      <c r="A7" s="424" t="s">
        <v>0</v>
      </c>
      <c r="B7" s="425"/>
      <c r="C7" s="425"/>
      <c r="D7" s="425"/>
      <c r="E7" s="425"/>
      <c r="F7" s="67"/>
    </row>
    <row r="8" spans="1:6" ht="12.75">
      <c r="A8" s="397" t="s">
        <v>1</v>
      </c>
      <c r="B8" s="398"/>
      <c r="C8" s="389" t="s">
        <v>190</v>
      </c>
      <c r="D8" s="429" t="s">
        <v>226</v>
      </c>
      <c r="E8" s="429" t="s">
        <v>249</v>
      </c>
      <c r="F8" s="433" t="s">
        <v>194</v>
      </c>
    </row>
    <row r="9" spans="1:6" ht="13.5" thickBot="1">
      <c r="A9" s="420"/>
      <c r="B9" s="421"/>
      <c r="C9" s="401"/>
      <c r="D9" s="430"/>
      <c r="E9" s="430"/>
      <c r="F9" s="438"/>
    </row>
    <row r="10" spans="1:6" ht="13.5" thickBot="1">
      <c r="A10" s="422" t="s">
        <v>2</v>
      </c>
      <c r="B10" s="423"/>
      <c r="C10" s="186">
        <f>SUM(C11:C18)</f>
        <v>620562</v>
      </c>
      <c r="D10" s="186">
        <f>SUM(D11:D18)</f>
        <v>620592</v>
      </c>
      <c r="E10" s="186">
        <f>SUM(E11:E18)</f>
        <v>266993</v>
      </c>
      <c r="F10" s="186">
        <f>SUM(F11:F18)</f>
        <v>18695.954592000002</v>
      </c>
    </row>
    <row r="11" spans="1:6" ht="13.5" thickBot="1">
      <c r="A11" s="65">
        <v>111</v>
      </c>
      <c r="B11" s="33" t="s">
        <v>3</v>
      </c>
      <c r="C11" s="192">
        <v>580000</v>
      </c>
      <c r="D11" s="275">
        <v>580000</v>
      </c>
      <c r="E11" s="275">
        <v>240857</v>
      </c>
      <c r="F11" s="268">
        <f aca="true" t="shared" si="0" ref="F11:F18">D11*$E$6/1000</f>
        <v>17473.08</v>
      </c>
    </row>
    <row r="12" spans="1:6" ht="12.75">
      <c r="A12" s="116">
        <v>121</v>
      </c>
      <c r="B12" s="28" t="s">
        <v>90</v>
      </c>
      <c r="C12" s="161">
        <v>13200</v>
      </c>
      <c r="D12" s="276">
        <v>13200</v>
      </c>
      <c r="E12" s="276">
        <v>5637</v>
      </c>
      <c r="F12" s="269">
        <f t="shared" si="0"/>
        <v>397.6632</v>
      </c>
    </row>
    <row r="13" spans="1:6" ht="12.75">
      <c r="A13" s="117">
        <v>121</v>
      </c>
      <c r="B13" s="6" t="s">
        <v>91</v>
      </c>
      <c r="C13" s="157">
        <v>12900</v>
      </c>
      <c r="D13" s="140">
        <v>12900</v>
      </c>
      <c r="E13" s="140">
        <v>8904</v>
      </c>
      <c r="F13" s="270">
        <f t="shared" si="0"/>
        <v>388.6254</v>
      </c>
    </row>
    <row r="14" spans="1:7" ht="13.5" thickBot="1">
      <c r="A14" s="118">
        <v>121</v>
      </c>
      <c r="B14" s="29" t="s">
        <v>4</v>
      </c>
      <c r="C14" s="166">
        <v>72</v>
      </c>
      <c r="D14" s="277">
        <v>72</v>
      </c>
      <c r="E14" s="277">
        <v>68</v>
      </c>
      <c r="F14" s="268">
        <f t="shared" si="0"/>
        <v>2.1690720000000003</v>
      </c>
      <c r="G14" s="195">
        <f>SUM(D12:D14)</f>
        <v>26172</v>
      </c>
    </row>
    <row r="15" spans="1:6" ht="12.75">
      <c r="A15" s="116">
        <v>133</v>
      </c>
      <c r="B15" s="28" t="s">
        <v>5</v>
      </c>
      <c r="C15" s="161">
        <v>480</v>
      </c>
      <c r="D15" s="276">
        <v>480</v>
      </c>
      <c r="E15" s="276">
        <v>475</v>
      </c>
      <c r="F15" s="269">
        <f t="shared" si="0"/>
        <v>14.460480000000002</v>
      </c>
    </row>
    <row r="16" spans="1:6" ht="12.75">
      <c r="A16" s="117">
        <v>133</v>
      </c>
      <c r="B16" s="6" t="s">
        <v>6</v>
      </c>
      <c r="C16" s="157">
        <v>210</v>
      </c>
      <c r="D16" s="298">
        <v>240</v>
      </c>
      <c r="E16" s="140">
        <v>231</v>
      </c>
      <c r="F16" s="270">
        <f t="shared" si="0"/>
        <v>7.230240000000001</v>
      </c>
    </row>
    <row r="17" spans="1:6" ht="12.75">
      <c r="A17" s="117">
        <v>133</v>
      </c>
      <c r="B17" s="6" t="s">
        <v>7</v>
      </c>
      <c r="C17" s="157">
        <v>1700</v>
      </c>
      <c r="D17" s="140">
        <v>1700</v>
      </c>
      <c r="E17" s="140">
        <v>1501</v>
      </c>
      <c r="F17" s="270">
        <f t="shared" si="0"/>
        <v>51.214200000000005</v>
      </c>
    </row>
    <row r="18" spans="1:7" ht="13.5" thickBot="1">
      <c r="A18" s="118">
        <v>133</v>
      </c>
      <c r="B18" s="29" t="s">
        <v>8</v>
      </c>
      <c r="C18" s="166">
        <v>12000</v>
      </c>
      <c r="D18" s="277">
        <v>12000</v>
      </c>
      <c r="E18" s="277">
        <v>9320</v>
      </c>
      <c r="F18" s="268">
        <f t="shared" si="0"/>
        <v>361.512</v>
      </c>
      <c r="G18" s="195">
        <f>SUM(D15:D18)</f>
        <v>14420</v>
      </c>
    </row>
    <row r="19" spans="1:6" ht="13.5" thickBot="1">
      <c r="A19" s="422" t="s">
        <v>9</v>
      </c>
      <c r="B19" s="423"/>
      <c r="C19" s="186">
        <f>SUM(C20:C37)</f>
        <v>78883</v>
      </c>
      <c r="D19" s="186">
        <f>SUM(D20:D37)</f>
        <v>82683</v>
      </c>
      <c r="E19" s="186">
        <f>SUM(E20:E37)</f>
        <v>47285</v>
      </c>
      <c r="F19" s="186">
        <f>SUM(F20:F37)</f>
        <v>2490.9080580000004</v>
      </c>
    </row>
    <row r="20" spans="1:6" ht="12.75">
      <c r="A20" s="119">
        <v>212</v>
      </c>
      <c r="B20" s="45" t="s">
        <v>10</v>
      </c>
      <c r="C20" s="176">
        <v>477</v>
      </c>
      <c r="D20" s="278">
        <v>477</v>
      </c>
      <c r="E20" s="278">
        <v>276</v>
      </c>
      <c r="F20" s="270">
        <f aca="true" t="shared" si="1" ref="F20:F37">D20*$E$6/1000</f>
        <v>14.370102000000001</v>
      </c>
    </row>
    <row r="21" spans="1:6" ht="12.75">
      <c r="A21" s="116">
        <v>212</v>
      </c>
      <c r="B21" s="28" t="s">
        <v>144</v>
      </c>
      <c r="C21" s="161">
        <v>100</v>
      </c>
      <c r="D21" s="300">
        <v>900</v>
      </c>
      <c r="E21" s="321">
        <v>597</v>
      </c>
      <c r="F21" s="270">
        <f t="shared" si="1"/>
        <v>27.113400000000002</v>
      </c>
    </row>
    <row r="22" spans="1:6" ht="12.75">
      <c r="A22" s="117">
        <v>212</v>
      </c>
      <c r="B22" s="6" t="s">
        <v>11</v>
      </c>
      <c r="C22" s="157">
        <v>3684</v>
      </c>
      <c r="D22" s="140">
        <v>3684</v>
      </c>
      <c r="E22" s="140">
        <v>1795</v>
      </c>
      <c r="F22" s="270">
        <f t="shared" si="1"/>
        <v>110.98418400000001</v>
      </c>
    </row>
    <row r="23" spans="1:7" ht="12.75">
      <c r="A23" s="117">
        <v>212</v>
      </c>
      <c r="B23" s="6" t="s">
        <v>12</v>
      </c>
      <c r="C23" s="157">
        <v>9942</v>
      </c>
      <c r="D23" s="298">
        <v>10042</v>
      </c>
      <c r="E23" s="140">
        <v>4602</v>
      </c>
      <c r="F23" s="270">
        <f t="shared" si="1"/>
        <v>302.52529200000004</v>
      </c>
      <c r="G23" s="66"/>
    </row>
    <row r="24" spans="1:7" ht="13.5" thickBot="1">
      <c r="A24" s="120">
        <v>212</v>
      </c>
      <c r="B24" s="32" t="s">
        <v>163</v>
      </c>
      <c r="C24" s="188">
        <v>20</v>
      </c>
      <c r="D24" s="279">
        <v>20</v>
      </c>
      <c r="E24" s="279">
        <v>0</v>
      </c>
      <c r="F24" s="271">
        <f t="shared" si="1"/>
        <v>0.60252</v>
      </c>
      <c r="G24" s="195">
        <f>SUM(D20:D24)</f>
        <v>15123</v>
      </c>
    </row>
    <row r="25" spans="1:6" ht="13.5" thickBot="1">
      <c r="A25" s="121">
        <v>221</v>
      </c>
      <c r="B25" s="30" t="s">
        <v>13</v>
      </c>
      <c r="C25" s="191">
        <v>9900</v>
      </c>
      <c r="D25" s="280">
        <v>9900</v>
      </c>
      <c r="E25" s="280">
        <v>1306</v>
      </c>
      <c r="F25" s="272">
        <f t="shared" si="1"/>
        <v>298.2474</v>
      </c>
    </row>
    <row r="26" spans="1:6" ht="13.5" thickBot="1">
      <c r="A26" s="121">
        <v>222</v>
      </c>
      <c r="B26" s="30" t="s">
        <v>145</v>
      </c>
      <c r="C26" s="191">
        <v>100</v>
      </c>
      <c r="D26" s="280">
        <v>100</v>
      </c>
      <c r="E26" s="280">
        <v>100</v>
      </c>
      <c r="F26" s="272">
        <f t="shared" si="1"/>
        <v>3.0126</v>
      </c>
    </row>
    <row r="27" spans="1:6" ht="12.75">
      <c r="A27" s="116">
        <v>223</v>
      </c>
      <c r="B27" s="28" t="s">
        <v>227</v>
      </c>
      <c r="C27" s="161">
        <v>500</v>
      </c>
      <c r="D27" s="276">
        <v>500</v>
      </c>
      <c r="E27" s="276">
        <v>464</v>
      </c>
      <c r="F27" s="273">
        <f t="shared" si="1"/>
        <v>15.063</v>
      </c>
    </row>
    <row r="28" spans="1:6" ht="12.75">
      <c r="A28" s="117">
        <v>223</v>
      </c>
      <c r="B28" s="6" t="s">
        <v>92</v>
      </c>
      <c r="C28" s="157">
        <v>810</v>
      </c>
      <c r="D28" s="140">
        <v>810</v>
      </c>
      <c r="E28" s="140">
        <v>210</v>
      </c>
      <c r="F28" s="270">
        <f t="shared" si="1"/>
        <v>24.402060000000002</v>
      </c>
    </row>
    <row r="29" spans="1:6" ht="12.75">
      <c r="A29" s="117">
        <v>223</v>
      </c>
      <c r="B29" s="6" t="s">
        <v>16</v>
      </c>
      <c r="C29" s="157">
        <v>5000</v>
      </c>
      <c r="D29" s="140">
        <v>5000</v>
      </c>
      <c r="E29" s="140">
        <v>3880</v>
      </c>
      <c r="F29" s="270">
        <f t="shared" si="1"/>
        <v>150.63</v>
      </c>
    </row>
    <row r="30" spans="1:6" ht="12.75">
      <c r="A30" s="117">
        <v>223</v>
      </c>
      <c r="B30" s="6" t="s">
        <v>161</v>
      </c>
      <c r="C30" s="157">
        <v>10100</v>
      </c>
      <c r="D30" s="298">
        <v>11000</v>
      </c>
      <c r="E30" s="140">
        <v>16409</v>
      </c>
      <c r="F30" s="270">
        <f t="shared" si="1"/>
        <v>331.386</v>
      </c>
    </row>
    <row r="31" spans="1:6" ht="12.75">
      <c r="A31" s="117">
        <v>223</v>
      </c>
      <c r="B31" s="6" t="s">
        <v>93</v>
      </c>
      <c r="C31" s="157">
        <v>1500</v>
      </c>
      <c r="D31" s="140">
        <v>1500</v>
      </c>
      <c r="E31" s="140">
        <v>608</v>
      </c>
      <c r="F31" s="270">
        <f t="shared" si="1"/>
        <v>45.189</v>
      </c>
    </row>
    <row r="32" spans="1:6" ht="12.75">
      <c r="A32" s="117">
        <v>223</v>
      </c>
      <c r="B32" s="6" t="s">
        <v>15</v>
      </c>
      <c r="C32" s="157">
        <v>650</v>
      </c>
      <c r="D32" s="140">
        <v>650</v>
      </c>
      <c r="E32" s="140">
        <v>332</v>
      </c>
      <c r="F32" s="270">
        <f t="shared" si="1"/>
        <v>19.5819</v>
      </c>
    </row>
    <row r="33" spans="1:6" ht="12.75">
      <c r="A33" s="117">
        <v>223</v>
      </c>
      <c r="B33" s="6" t="s">
        <v>176</v>
      </c>
      <c r="C33" s="157">
        <v>17400</v>
      </c>
      <c r="D33" s="298">
        <v>19400</v>
      </c>
      <c r="E33" s="322">
        <v>9567</v>
      </c>
      <c r="F33" s="270">
        <f t="shared" si="1"/>
        <v>584.4444</v>
      </c>
    </row>
    <row r="34" spans="1:6" ht="12.75">
      <c r="A34" s="117">
        <v>223</v>
      </c>
      <c r="B34" s="6" t="s">
        <v>94</v>
      </c>
      <c r="C34" s="157">
        <v>6600</v>
      </c>
      <c r="D34" s="140">
        <v>6600</v>
      </c>
      <c r="E34" s="140">
        <v>2943</v>
      </c>
      <c r="F34" s="270">
        <f t="shared" si="1"/>
        <v>198.8316</v>
      </c>
    </row>
    <row r="35" spans="1:6" ht="12.75">
      <c r="A35" s="117">
        <v>223</v>
      </c>
      <c r="B35" s="6" t="s">
        <v>95</v>
      </c>
      <c r="C35" s="157">
        <v>1000</v>
      </c>
      <c r="D35" s="140">
        <v>1000</v>
      </c>
      <c r="E35" s="140">
        <v>530</v>
      </c>
      <c r="F35" s="270">
        <f t="shared" si="1"/>
        <v>30.126</v>
      </c>
    </row>
    <row r="36" spans="1:6" ht="12.75">
      <c r="A36" s="117">
        <v>223</v>
      </c>
      <c r="B36" s="6" t="s">
        <v>228</v>
      </c>
      <c r="C36" s="157">
        <v>11000</v>
      </c>
      <c r="D36" s="140">
        <v>11000</v>
      </c>
      <c r="E36" s="140">
        <v>3666</v>
      </c>
      <c r="F36" s="270">
        <f t="shared" si="1"/>
        <v>331.386</v>
      </c>
    </row>
    <row r="37" spans="1:6" ht="13.5" thickBot="1">
      <c r="A37" s="118">
        <v>223</v>
      </c>
      <c r="B37" s="29" t="s">
        <v>17</v>
      </c>
      <c r="C37" s="166">
        <v>100</v>
      </c>
      <c r="D37" s="277">
        <v>100</v>
      </c>
      <c r="E37" s="277">
        <v>0</v>
      </c>
      <c r="F37" s="270">
        <f t="shared" si="1"/>
        <v>3.0126</v>
      </c>
    </row>
    <row r="38" spans="1:7" ht="13.5" thickBot="1">
      <c r="A38" s="422" t="s">
        <v>18</v>
      </c>
      <c r="B38" s="423"/>
      <c r="C38" s="186">
        <f>SUM(C39)</f>
        <v>1100</v>
      </c>
      <c r="D38" s="186">
        <f>SUM(D39)</f>
        <v>1100</v>
      </c>
      <c r="E38" s="186">
        <f>SUM(E39)</f>
        <v>633</v>
      </c>
      <c r="F38" s="186">
        <f>SUM(F39)</f>
        <v>33.1386</v>
      </c>
      <c r="G38" s="195">
        <f>SUM(D27:D37)</f>
        <v>57560</v>
      </c>
    </row>
    <row r="39" spans="1:6" ht="13.5" thickBot="1">
      <c r="A39" s="205">
        <v>240</v>
      </c>
      <c r="B39" s="32" t="s">
        <v>19</v>
      </c>
      <c r="C39" s="188">
        <v>1100</v>
      </c>
      <c r="D39" s="279">
        <v>1100</v>
      </c>
      <c r="E39" s="279">
        <v>633</v>
      </c>
      <c r="F39" s="270">
        <f>D39*$E$6/1000</f>
        <v>33.1386</v>
      </c>
    </row>
    <row r="40" spans="1:6" ht="13.5" thickBot="1">
      <c r="A40" s="422" t="s">
        <v>14</v>
      </c>
      <c r="B40" s="423"/>
      <c r="C40" s="186">
        <f>SUM(C41:C52)</f>
        <v>21640</v>
      </c>
      <c r="D40" s="186">
        <f>SUM(D41:D52)</f>
        <v>35004</v>
      </c>
      <c r="E40" s="186">
        <f>SUM(E41:E52)</f>
        <v>7028</v>
      </c>
      <c r="F40" s="186">
        <f>SUM(F41:F52)</f>
        <v>1054.530504</v>
      </c>
    </row>
    <row r="41" spans="1:6" ht="12.75">
      <c r="A41" s="123">
        <v>292</v>
      </c>
      <c r="B41" s="31" t="s">
        <v>157</v>
      </c>
      <c r="C41" s="162">
        <v>0</v>
      </c>
      <c r="D41" s="317">
        <v>200</v>
      </c>
      <c r="E41" s="211">
        <v>142</v>
      </c>
      <c r="F41" s="270">
        <f aca="true" t="shared" si="2" ref="F41:F52">D41*$E$6/1000</f>
        <v>6.0252</v>
      </c>
    </row>
    <row r="42" spans="1:7" ht="12.75">
      <c r="A42" s="123">
        <v>292</v>
      </c>
      <c r="B42" s="31" t="s">
        <v>101</v>
      </c>
      <c r="C42" s="162">
        <v>400</v>
      </c>
      <c r="D42" s="211">
        <v>400</v>
      </c>
      <c r="E42" s="211">
        <v>89</v>
      </c>
      <c r="F42" s="270">
        <f t="shared" si="2"/>
        <v>12.0504</v>
      </c>
      <c r="G42" s="15"/>
    </row>
    <row r="43" spans="1:6" ht="12.75">
      <c r="A43" s="124">
        <v>292</v>
      </c>
      <c r="B43" s="7" t="s">
        <v>162</v>
      </c>
      <c r="C43" s="178">
        <v>0</v>
      </c>
      <c r="D43" s="318">
        <f>106+1008</f>
        <v>1114</v>
      </c>
      <c r="E43" s="153">
        <f>106+1008</f>
        <v>1114</v>
      </c>
      <c r="F43" s="270">
        <f t="shared" si="2"/>
        <v>33.560364</v>
      </c>
    </row>
    <row r="44" spans="1:6" ht="12.75">
      <c r="A44" s="124">
        <v>292</v>
      </c>
      <c r="B44" s="6" t="s">
        <v>98</v>
      </c>
      <c r="C44" s="189">
        <v>140</v>
      </c>
      <c r="D44" s="281">
        <v>140</v>
      </c>
      <c r="E44" s="281">
        <v>70</v>
      </c>
      <c r="F44" s="270">
        <f t="shared" si="2"/>
        <v>4.21764</v>
      </c>
    </row>
    <row r="45" spans="1:6" ht="12.75">
      <c r="A45" s="124">
        <v>292</v>
      </c>
      <c r="B45" s="7" t="s">
        <v>165</v>
      </c>
      <c r="C45" s="178">
        <v>6800</v>
      </c>
      <c r="D45" s="153">
        <v>6800</v>
      </c>
      <c r="E45" s="153">
        <f>1194+577</f>
        <v>1771</v>
      </c>
      <c r="F45" s="270">
        <f t="shared" si="2"/>
        <v>204.85680000000002</v>
      </c>
    </row>
    <row r="46" spans="1:6" ht="12.75">
      <c r="A46" s="124">
        <v>292</v>
      </c>
      <c r="B46" s="7" t="s">
        <v>146</v>
      </c>
      <c r="C46" s="178">
        <v>200</v>
      </c>
      <c r="D46" s="153">
        <v>200</v>
      </c>
      <c r="E46" s="153">
        <v>0</v>
      </c>
      <c r="F46" s="270">
        <f t="shared" si="2"/>
        <v>6.0252</v>
      </c>
    </row>
    <row r="47" spans="1:6" ht="12.75">
      <c r="A47" s="124">
        <v>292</v>
      </c>
      <c r="B47" s="7" t="s">
        <v>148</v>
      </c>
      <c r="C47" s="178">
        <v>0</v>
      </c>
      <c r="D47" s="153">
        <v>0</v>
      </c>
      <c r="E47" s="153">
        <v>0</v>
      </c>
      <c r="F47" s="270">
        <f t="shared" si="2"/>
        <v>0</v>
      </c>
    </row>
    <row r="48" spans="1:6" ht="12.75">
      <c r="A48" s="124">
        <v>292</v>
      </c>
      <c r="B48" s="7" t="s">
        <v>234</v>
      </c>
      <c r="C48" s="178">
        <v>0</v>
      </c>
      <c r="D48" s="318">
        <v>12000</v>
      </c>
      <c r="E48" s="153">
        <v>376</v>
      </c>
      <c r="F48" s="270">
        <f t="shared" si="2"/>
        <v>361.512</v>
      </c>
    </row>
    <row r="49" spans="1:6" ht="12.75">
      <c r="A49" s="124">
        <v>292</v>
      </c>
      <c r="B49" s="6" t="s">
        <v>102</v>
      </c>
      <c r="C49" s="189">
        <v>12000</v>
      </c>
      <c r="D49" s="281">
        <v>12000</v>
      </c>
      <c r="E49" s="281">
        <v>2927</v>
      </c>
      <c r="F49" s="270">
        <f t="shared" si="2"/>
        <v>361.512</v>
      </c>
    </row>
    <row r="50" spans="1:6" ht="12.75">
      <c r="A50" s="124">
        <v>292</v>
      </c>
      <c r="B50" s="6" t="s">
        <v>99</v>
      </c>
      <c r="C50" s="189">
        <v>2000</v>
      </c>
      <c r="D50" s="281">
        <v>2000</v>
      </c>
      <c r="E50" s="281">
        <f>472+35</f>
        <v>507</v>
      </c>
      <c r="F50" s="270">
        <f t="shared" si="2"/>
        <v>60.252</v>
      </c>
    </row>
    <row r="51" spans="1:6" ht="12.75">
      <c r="A51" s="124">
        <v>292</v>
      </c>
      <c r="B51" s="6" t="s">
        <v>100</v>
      </c>
      <c r="C51" s="189">
        <v>100</v>
      </c>
      <c r="D51" s="281">
        <v>100</v>
      </c>
      <c r="E51" s="281">
        <v>25</v>
      </c>
      <c r="F51" s="270">
        <f t="shared" si="2"/>
        <v>3.0126</v>
      </c>
    </row>
    <row r="52" spans="1:6" ht="13.5" thickBot="1">
      <c r="A52" s="125">
        <v>292</v>
      </c>
      <c r="B52" s="32" t="s">
        <v>149</v>
      </c>
      <c r="C52" s="190">
        <v>0</v>
      </c>
      <c r="D52" s="319">
        <v>50</v>
      </c>
      <c r="E52" s="323">
        <v>7</v>
      </c>
      <c r="F52" s="270">
        <f t="shared" si="2"/>
        <v>1.5063</v>
      </c>
    </row>
    <row r="53" spans="1:6" ht="13.5" thickBot="1">
      <c r="A53" s="57" t="s">
        <v>20</v>
      </c>
      <c r="B53" s="58"/>
      <c r="C53" s="182">
        <f>SUM(C54:C68)</f>
        <v>327540</v>
      </c>
      <c r="D53" s="182">
        <f>SUM(D54:D68)</f>
        <v>378957</v>
      </c>
      <c r="E53" s="182">
        <f>SUM(E54:E68)</f>
        <v>208632</v>
      </c>
      <c r="F53" s="182">
        <f>SUM(F54:F68)</f>
        <v>11416.458582000001</v>
      </c>
    </row>
    <row r="54" spans="1:6" ht="12.75">
      <c r="A54" s="126">
        <v>311</v>
      </c>
      <c r="B54" s="28" t="s">
        <v>103</v>
      </c>
      <c r="C54" s="161">
        <v>0</v>
      </c>
      <c r="D54" s="300">
        <v>13500</v>
      </c>
      <c r="E54" s="321">
        <v>13550</v>
      </c>
      <c r="F54" s="270">
        <f aca="true" t="shared" si="3" ref="F54:F68">D54*$E$6/1000</f>
        <v>406.701</v>
      </c>
    </row>
    <row r="55" spans="1:6" ht="12.75">
      <c r="A55" s="127">
        <v>312</v>
      </c>
      <c r="B55" s="6" t="s">
        <v>192</v>
      </c>
      <c r="C55" s="157">
        <v>3600</v>
      </c>
      <c r="D55" s="298">
        <v>3620</v>
      </c>
      <c r="E55" s="322">
        <v>1809</v>
      </c>
      <c r="F55" s="270">
        <f t="shared" si="3"/>
        <v>109.05612</v>
      </c>
    </row>
    <row r="56" spans="1:6" ht="12.75">
      <c r="A56" s="127">
        <v>312</v>
      </c>
      <c r="B56" s="5" t="s">
        <v>21</v>
      </c>
      <c r="C56" s="164">
        <v>3000</v>
      </c>
      <c r="D56" s="304">
        <v>3074</v>
      </c>
      <c r="E56" s="324">
        <v>1746</v>
      </c>
      <c r="F56" s="270">
        <f t="shared" si="3"/>
        <v>92.607324</v>
      </c>
    </row>
    <row r="57" spans="1:6" ht="12.75">
      <c r="A57" s="127">
        <v>312</v>
      </c>
      <c r="B57" s="8" t="s">
        <v>105</v>
      </c>
      <c r="C57" s="184">
        <f>280000+4800+4000</f>
        <v>288800</v>
      </c>
      <c r="D57" s="310">
        <f>290583+6300+5085</f>
        <v>301968</v>
      </c>
      <c r="E57" s="325">
        <f>152602-990</f>
        <v>151612</v>
      </c>
      <c r="F57" s="270">
        <f t="shared" si="3"/>
        <v>9097.087968</v>
      </c>
    </row>
    <row r="58" spans="1:6" ht="12.75">
      <c r="A58" s="127">
        <v>312</v>
      </c>
      <c r="B58" s="221" t="s">
        <v>196</v>
      </c>
      <c r="C58" s="198">
        <v>1700</v>
      </c>
      <c r="D58" s="304">
        <v>1978</v>
      </c>
      <c r="E58" s="324">
        <v>990</v>
      </c>
      <c r="F58" s="270">
        <f t="shared" si="3"/>
        <v>59.589228000000006</v>
      </c>
    </row>
    <row r="59" spans="1:6" ht="12.75">
      <c r="A59" s="127">
        <v>312</v>
      </c>
      <c r="B59" s="6" t="s">
        <v>221</v>
      </c>
      <c r="C59" s="157">
        <v>0</v>
      </c>
      <c r="D59" s="298">
        <v>2700</v>
      </c>
      <c r="E59" s="322">
        <v>2700</v>
      </c>
      <c r="F59" s="270">
        <f t="shared" si="3"/>
        <v>81.3402</v>
      </c>
    </row>
    <row r="60" spans="1:6" ht="12.75">
      <c r="A60" s="127">
        <v>312</v>
      </c>
      <c r="B60" s="221" t="s">
        <v>213</v>
      </c>
      <c r="C60" s="198">
        <v>0</v>
      </c>
      <c r="D60" s="304">
        <v>276</v>
      </c>
      <c r="E60" s="324">
        <v>276</v>
      </c>
      <c r="F60" s="270">
        <f t="shared" si="3"/>
        <v>8.314776</v>
      </c>
    </row>
    <row r="61" spans="1:6" ht="12.75">
      <c r="A61" s="127">
        <v>312</v>
      </c>
      <c r="B61" s="5" t="s">
        <v>229</v>
      </c>
      <c r="C61" s="198">
        <v>0</v>
      </c>
      <c r="D61" s="304">
        <v>18171</v>
      </c>
      <c r="E61" s="324">
        <v>18171</v>
      </c>
      <c r="F61" s="270">
        <f t="shared" si="3"/>
        <v>547.419546</v>
      </c>
    </row>
    <row r="62" spans="1:6" ht="12.75">
      <c r="A62" s="127">
        <v>312</v>
      </c>
      <c r="B62" s="6" t="s">
        <v>191</v>
      </c>
      <c r="C62" s="157">
        <v>4900</v>
      </c>
      <c r="D62" s="140">
        <v>4900</v>
      </c>
      <c r="E62" s="322">
        <v>4360</v>
      </c>
      <c r="F62" s="270">
        <f t="shared" si="3"/>
        <v>147.6174</v>
      </c>
    </row>
    <row r="63" spans="1:6" ht="12.75">
      <c r="A63" s="127">
        <v>312</v>
      </c>
      <c r="B63" s="6" t="s">
        <v>22</v>
      </c>
      <c r="C63" s="157">
        <v>1300</v>
      </c>
      <c r="D63" s="140">
        <v>1300</v>
      </c>
      <c r="E63" s="322">
        <v>370</v>
      </c>
      <c r="F63" s="270">
        <f t="shared" si="3"/>
        <v>39.1638</v>
      </c>
    </row>
    <row r="64" spans="1:6" ht="12.75">
      <c r="A64" s="127">
        <v>312</v>
      </c>
      <c r="B64" s="221" t="s">
        <v>214</v>
      </c>
      <c r="C64" s="198">
        <v>0</v>
      </c>
      <c r="D64" s="304">
        <v>20</v>
      </c>
      <c r="E64" s="324">
        <v>10</v>
      </c>
      <c r="F64" s="270">
        <f t="shared" si="3"/>
        <v>0.60252</v>
      </c>
    </row>
    <row r="65" spans="1:6" ht="12.75">
      <c r="A65" s="127">
        <v>312</v>
      </c>
      <c r="B65" s="9" t="s">
        <v>230</v>
      </c>
      <c r="C65" s="163">
        <v>2500</v>
      </c>
      <c r="D65" s="311">
        <f>3600</f>
        <v>3600</v>
      </c>
      <c r="E65" s="322">
        <v>932</v>
      </c>
      <c r="F65" s="270">
        <f t="shared" si="3"/>
        <v>108.45360000000001</v>
      </c>
    </row>
    <row r="66" spans="1:6" ht="12.75">
      <c r="A66" s="127">
        <v>312</v>
      </c>
      <c r="B66" s="9" t="s">
        <v>158</v>
      </c>
      <c r="C66" s="163">
        <v>8620</v>
      </c>
      <c r="D66" s="138">
        <v>8620</v>
      </c>
      <c r="E66" s="322">
        <v>4491</v>
      </c>
      <c r="F66" s="270">
        <f t="shared" si="3"/>
        <v>259.68612</v>
      </c>
    </row>
    <row r="67" spans="1:6" ht="12.75">
      <c r="A67" s="127">
        <v>312</v>
      </c>
      <c r="B67" s="9" t="s">
        <v>159</v>
      </c>
      <c r="C67" s="163">
        <v>13120</v>
      </c>
      <c r="D67" s="311">
        <v>15230</v>
      </c>
      <c r="E67" s="322">
        <v>7615</v>
      </c>
      <c r="F67" s="270">
        <f t="shared" si="3"/>
        <v>458.81898000000007</v>
      </c>
    </row>
    <row r="68" spans="1:6" ht="13.5" thickBot="1">
      <c r="A68" s="130">
        <v>312</v>
      </c>
      <c r="B68" s="37" t="s">
        <v>160</v>
      </c>
      <c r="C68" s="174">
        <v>0</v>
      </c>
      <c r="D68" s="282">
        <v>0</v>
      </c>
      <c r="E68" s="361">
        <v>0</v>
      </c>
      <c r="F68" s="274">
        <f t="shared" si="3"/>
        <v>0</v>
      </c>
    </row>
    <row r="69" spans="1:6" ht="16.5" thickBot="1">
      <c r="A69" s="60" t="s">
        <v>107</v>
      </c>
      <c r="B69" s="216"/>
      <c r="C69" s="217">
        <f>SUM(C10+C19+C38+C40+C53)</f>
        <v>1049725</v>
      </c>
      <c r="D69" s="217">
        <f>SUM(D10+D19+D38+D40+D53)</f>
        <v>1118336</v>
      </c>
      <c r="E69" s="217">
        <f>SUM(E10+E19+E38+E40+E53)</f>
        <v>530571</v>
      </c>
      <c r="F69" s="217">
        <f>SUM(F10+F19+F38+F40+F53)</f>
        <v>33690.990336</v>
      </c>
    </row>
    <row r="70" spans="1:6" ht="16.5" thickBot="1">
      <c r="A70" s="213">
        <v>236</v>
      </c>
      <c r="B70" s="214" t="s">
        <v>108</v>
      </c>
      <c r="C70" s="215">
        <v>1674</v>
      </c>
      <c r="D70" s="283">
        <v>1674</v>
      </c>
      <c r="E70" s="283">
        <v>2266</v>
      </c>
      <c r="F70" s="273">
        <f>D70*$E$6/1000</f>
        <v>50.430924</v>
      </c>
    </row>
    <row r="71" spans="1:6" ht="16.5" thickBot="1">
      <c r="A71" s="60" t="s">
        <v>23</v>
      </c>
      <c r="B71" s="58"/>
      <c r="C71" s="185">
        <f>SUM(C69:C70)</f>
        <v>1051399</v>
      </c>
      <c r="D71" s="185">
        <f>SUM(D69:D70)</f>
        <v>1120010</v>
      </c>
      <c r="E71" s="185">
        <f>SUM(E69:E70)</f>
        <v>532837</v>
      </c>
      <c r="F71" s="185">
        <f>SUM(F69:F70)</f>
        <v>33741.42126</v>
      </c>
    </row>
    <row r="72" spans="1:5" ht="15.75">
      <c r="A72" s="10"/>
      <c r="B72" s="16"/>
      <c r="C72" s="16"/>
      <c r="D72" s="16"/>
      <c r="E72" s="89"/>
    </row>
    <row r="73" spans="1:5" ht="18.75" thickBot="1">
      <c r="A73" s="418" t="s">
        <v>24</v>
      </c>
      <c r="B73" s="419"/>
      <c r="C73" s="419"/>
      <c r="D73" s="419"/>
      <c r="E73" s="419"/>
    </row>
    <row r="74" spans="1:7" ht="12.75" customHeight="1">
      <c r="A74" s="397" t="s">
        <v>1</v>
      </c>
      <c r="B74" s="398"/>
      <c r="C74" s="389" t="s">
        <v>190</v>
      </c>
      <c r="D74" s="429" t="s">
        <v>226</v>
      </c>
      <c r="E74" s="429" t="s">
        <v>249</v>
      </c>
      <c r="F74" s="389" t="s">
        <v>194</v>
      </c>
      <c r="G74" s="3"/>
    </row>
    <row r="75" spans="1:6" ht="13.5" thickBot="1">
      <c r="A75" s="420"/>
      <c r="B75" s="421"/>
      <c r="C75" s="401"/>
      <c r="D75" s="430"/>
      <c r="E75" s="430"/>
      <c r="F75" s="401"/>
    </row>
    <row r="76" spans="1:6" ht="13.5" thickBot="1">
      <c r="A76" s="35" t="s">
        <v>25</v>
      </c>
      <c r="B76" s="36"/>
      <c r="C76" s="158">
        <f>SUM(C77:C80)</f>
        <v>164600</v>
      </c>
      <c r="D76" s="158">
        <f>SUM(D77:D80)</f>
        <v>167320</v>
      </c>
      <c r="E76" s="158">
        <f>SUM(E77:E80)</f>
        <v>83508</v>
      </c>
      <c r="F76" s="158">
        <f>SUM(F77:F80)</f>
        <v>5040.68232</v>
      </c>
    </row>
    <row r="77" spans="1:6" ht="12.75">
      <c r="A77" s="49" t="s">
        <v>26</v>
      </c>
      <c r="B77" s="34" t="s">
        <v>109</v>
      </c>
      <c r="C77" s="160">
        <v>145000</v>
      </c>
      <c r="D77" s="137">
        <v>145000</v>
      </c>
      <c r="E77" s="137">
        <v>68649</v>
      </c>
      <c r="F77" s="270">
        <f>D77*$E$6/1000</f>
        <v>4368.27</v>
      </c>
    </row>
    <row r="78" spans="1:6" ht="12.75">
      <c r="A78" s="50" t="s">
        <v>27</v>
      </c>
      <c r="B78" s="9" t="s">
        <v>28</v>
      </c>
      <c r="C78" s="163">
        <v>16000</v>
      </c>
      <c r="D78" s="138">
        <v>16000</v>
      </c>
      <c r="E78" s="138">
        <v>10700</v>
      </c>
      <c r="F78" s="270">
        <f>D78*$E$6/1000</f>
        <v>482.016</v>
      </c>
    </row>
    <row r="79" spans="1:6" ht="12.75">
      <c r="A79" s="95" t="s">
        <v>29</v>
      </c>
      <c r="B79" s="9" t="s">
        <v>218</v>
      </c>
      <c r="C79" s="163">
        <v>3600</v>
      </c>
      <c r="D79" s="311">
        <v>3620</v>
      </c>
      <c r="E79" s="138">
        <v>2204</v>
      </c>
      <c r="F79" s="270">
        <f>D79*$E$6/1000</f>
        <v>109.05612</v>
      </c>
    </row>
    <row r="80" spans="1:6" ht="13.5" thickBot="1">
      <c r="A80" s="312" t="s">
        <v>219</v>
      </c>
      <c r="B80" s="313" t="s">
        <v>250</v>
      </c>
      <c r="C80" s="228">
        <v>0</v>
      </c>
      <c r="D80" s="314">
        <v>2700</v>
      </c>
      <c r="E80" s="296">
        <v>1955</v>
      </c>
      <c r="F80" s="270">
        <f>D80*$E$6/1000</f>
        <v>81.3402</v>
      </c>
    </row>
    <row r="81" spans="1:6" ht="13.5" thickBot="1">
      <c r="A81" s="414" t="s">
        <v>30</v>
      </c>
      <c r="B81" s="415"/>
      <c r="C81" s="158">
        <f>SUM(C82)</f>
        <v>140</v>
      </c>
      <c r="D81" s="159">
        <f>SUM(D82)</f>
        <v>140</v>
      </c>
      <c r="E81" s="159">
        <f>SUM(E82)</f>
        <v>70</v>
      </c>
      <c r="F81" s="284">
        <f>F82</f>
        <v>4.21764</v>
      </c>
    </row>
    <row r="82" spans="1:6" ht="13.5" thickBot="1">
      <c r="A82" s="62" t="s">
        <v>31</v>
      </c>
      <c r="B82" s="16" t="s">
        <v>111</v>
      </c>
      <c r="C82" s="180">
        <v>140</v>
      </c>
      <c r="D82" s="289">
        <v>140</v>
      </c>
      <c r="E82" s="289">
        <v>70</v>
      </c>
      <c r="F82" s="270">
        <f>D82*$E$6/1000</f>
        <v>4.21764</v>
      </c>
    </row>
    <row r="83" spans="1:6" ht="13.5" thickBot="1">
      <c r="A83" s="414" t="s">
        <v>32</v>
      </c>
      <c r="B83" s="415"/>
      <c r="C83" s="177">
        <f>SUM(C84)</f>
        <v>4500</v>
      </c>
      <c r="D83" s="159">
        <f>SUM(D84)</f>
        <v>4500</v>
      </c>
      <c r="E83" s="159">
        <f>SUM(E84)</f>
        <v>2187</v>
      </c>
      <c r="F83" s="284">
        <f>F84</f>
        <v>135.567</v>
      </c>
    </row>
    <row r="84" spans="1:6" ht="13.5" thickBot="1">
      <c r="A84" s="113" t="s">
        <v>33</v>
      </c>
      <c r="B84" s="38" t="s">
        <v>115</v>
      </c>
      <c r="C84" s="181">
        <v>4500</v>
      </c>
      <c r="D84" s="207">
        <v>4500</v>
      </c>
      <c r="E84" s="207">
        <v>2187</v>
      </c>
      <c r="F84" s="270">
        <f>D84*$E$6/1000</f>
        <v>135.567</v>
      </c>
    </row>
    <row r="85" spans="1:6" ht="13.5" thickBot="1">
      <c r="A85" s="35" t="s">
        <v>34</v>
      </c>
      <c r="B85" s="39"/>
      <c r="C85" s="158">
        <f>SUM(C86:C89)</f>
        <v>126500</v>
      </c>
      <c r="D85" s="159">
        <f>SUM(D86:D89)</f>
        <v>124700</v>
      </c>
      <c r="E85" s="159">
        <f>SUM(E86:E89)</f>
        <v>45210</v>
      </c>
      <c r="F85" s="284">
        <f>SUM(F86:F89)</f>
        <v>3756.7122000000004</v>
      </c>
    </row>
    <row r="86" spans="1:6" ht="12.75">
      <c r="A86" s="114" t="s">
        <v>35</v>
      </c>
      <c r="B86" s="31" t="s">
        <v>112</v>
      </c>
      <c r="C86" s="162">
        <v>2200</v>
      </c>
      <c r="D86" s="211">
        <v>2200</v>
      </c>
      <c r="E86" s="211">
        <v>1199</v>
      </c>
      <c r="F86" s="270">
        <f>D86*$E$6/1000</f>
        <v>66.2772</v>
      </c>
    </row>
    <row r="87" spans="1:6" ht="12.75">
      <c r="A87" s="95" t="s">
        <v>36</v>
      </c>
      <c r="B87" s="9" t="s">
        <v>110</v>
      </c>
      <c r="C87" s="163">
        <v>5000</v>
      </c>
      <c r="D87" s="138">
        <v>5000</v>
      </c>
      <c r="E87" s="138">
        <f>1427-288</f>
        <v>1139</v>
      </c>
      <c r="F87" s="270">
        <f>D87*$E$6/1000</f>
        <v>150.63</v>
      </c>
    </row>
    <row r="88" spans="1:6" ht="12.75">
      <c r="A88" s="95" t="s">
        <v>37</v>
      </c>
      <c r="B88" s="9" t="s">
        <v>116</v>
      </c>
      <c r="C88" s="193">
        <v>4300</v>
      </c>
      <c r="D88" s="141">
        <v>4300</v>
      </c>
      <c r="E88" s="141">
        <v>1621</v>
      </c>
      <c r="F88" s="270">
        <f>D88*$E$6/1000</f>
        <v>129.5418</v>
      </c>
    </row>
    <row r="89" spans="1:6" ht="13.5" thickBot="1">
      <c r="A89" s="111" t="s">
        <v>38</v>
      </c>
      <c r="B89" s="37" t="s">
        <v>117</v>
      </c>
      <c r="C89" s="230">
        <v>115000</v>
      </c>
      <c r="D89" s="316">
        <v>113200</v>
      </c>
      <c r="E89" s="333">
        <v>41251</v>
      </c>
      <c r="F89" s="270">
        <f>D89*$E$6/1000</f>
        <v>3410.2632000000003</v>
      </c>
    </row>
    <row r="90" spans="1:6" ht="13.5" thickBot="1">
      <c r="A90" s="35" t="s">
        <v>39</v>
      </c>
      <c r="B90" s="36"/>
      <c r="C90" s="158">
        <f>SUM(C91:C92)</f>
        <v>25000</v>
      </c>
      <c r="D90" s="159">
        <f>SUM(D91:D92)</f>
        <v>25000</v>
      </c>
      <c r="E90" s="159">
        <f>SUM(E91:E92)</f>
        <v>9661</v>
      </c>
      <c r="F90" s="284">
        <f>SUM(F91:F92)</f>
        <v>753.15</v>
      </c>
    </row>
    <row r="91" spans="1:6" ht="12.75">
      <c r="A91" s="112" t="s">
        <v>40</v>
      </c>
      <c r="B91" s="44" t="s">
        <v>41</v>
      </c>
      <c r="C91" s="175">
        <v>20500</v>
      </c>
      <c r="D91" s="290">
        <v>20500</v>
      </c>
      <c r="E91" s="290">
        <v>8021</v>
      </c>
      <c r="F91" s="270">
        <f>D91*$E$6/1000</f>
        <v>617.583</v>
      </c>
    </row>
    <row r="92" spans="1:6" ht="13.5" thickBot="1">
      <c r="A92" s="82" t="s">
        <v>42</v>
      </c>
      <c r="B92" s="42" t="s">
        <v>113</v>
      </c>
      <c r="C92" s="165">
        <v>4500</v>
      </c>
      <c r="D92" s="291">
        <v>4500</v>
      </c>
      <c r="E92" s="291">
        <v>1640</v>
      </c>
      <c r="F92" s="270">
        <f>D92*$E$6/1000</f>
        <v>135.567</v>
      </c>
    </row>
    <row r="93" spans="1:6" ht="13.5" thickBot="1">
      <c r="A93" s="35" t="s">
        <v>43</v>
      </c>
      <c r="B93" s="39"/>
      <c r="C93" s="158">
        <f>SUM(C94)</f>
        <v>15000</v>
      </c>
      <c r="D93" s="159">
        <f>SUM(D94)</f>
        <v>15000</v>
      </c>
      <c r="E93" s="159">
        <f>SUM(E94)</f>
        <v>7496</v>
      </c>
      <c r="F93" s="285">
        <f>SUM(F94)</f>
        <v>451.89</v>
      </c>
    </row>
    <row r="94" spans="1:6" ht="13.5" thickBot="1">
      <c r="A94" s="226" t="s">
        <v>44</v>
      </c>
      <c r="B94" s="37" t="s">
        <v>45</v>
      </c>
      <c r="C94" s="174">
        <v>15000</v>
      </c>
      <c r="D94" s="282">
        <v>15000</v>
      </c>
      <c r="E94" s="282">
        <v>7496</v>
      </c>
      <c r="F94" s="270">
        <f>D94*$E$6/1000</f>
        <v>451.89</v>
      </c>
    </row>
    <row r="95" spans="1:6" ht="13.5" thickBot="1">
      <c r="A95" s="43" t="s">
        <v>46</v>
      </c>
      <c r="B95" s="36"/>
      <c r="C95" s="158">
        <f>SUM(C96:C108)</f>
        <v>59200</v>
      </c>
      <c r="D95" s="159">
        <f>SUM(D96:D108)</f>
        <v>80820</v>
      </c>
      <c r="E95" s="159">
        <f>SUM(E96:E108)</f>
        <v>54942</v>
      </c>
      <c r="F95" s="285">
        <f>SUM(F96:F108)</f>
        <v>2434.78332</v>
      </c>
    </row>
    <row r="96" spans="1:6" ht="12.75">
      <c r="A96" s="53" t="s">
        <v>47</v>
      </c>
      <c r="B96" s="34" t="s">
        <v>118</v>
      </c>
      <c r="C96" s="160">
        <v>5000</v>
      </c>
      <c r="D96" s="137">
        <v>5000</v>
      </c>
      <c r="E96" s="137">
        <v>1577</v>
      </c>
      <c r="F96" s="270">
        <f aca="true" t="shared" si="4" ref="F96:F108">D96*$E$6/1000</f>
        <v>150.63</v>
      </c>
    </row>
    <row r="97" spans="1:6" ht="13.5" thickBot="1">
      <c r="A97" s="82" t="s">
        <v>47</v>
      </c>
      <c r="B97" s="42" t="s">
        <v>119</v>
      </c>
      <c r="C97" s="165">
        <v>3000</v>
      </c>
      <c r="D97" s="291">
        <v>3000</v>
      </c>
      <c r="E97" s="291">
        <v>2499</v>
      </c>
      <c r="F97" s="271">
        <f t="shared" si="4"/>
        <v>90.378</v>
      </c>
    </row>
    <row r="98" spans="1:6" ht="12.75">
      <c r="A98" s="53" t="s">
        <v>48</v>
      </c>
      <c r="B98" s="41" t="s">
        <v>120</v>
      </c>
      <c r="C98" s="172">
        <v>16000</v>
      </c>
      <c r="D98" s="292">
        <v>18420</v>
      </c>
      <c r="E98" s="334">
        <v>10020</v>
      </c>
      <c r="F98" s="273">
        <f t="shared" si="4"/>
        <v>554.92092</v>
      </c>
    </row>
    <row r="99" spans="1:6" ht="12.75">
      <c r="A99" s="95" t="s">
        <v>50</v>
      </c>
      <c r="B99" s="40" t="s">
        <v>121</v>
      </c>
      <c r="C99" s="173">
        <v>700</v>
      </c>
      <c r="D99" s="311">
        <v>10700</v>
      </c>
      <c r="E99" s="138">
        <v>2865</v>
      </c>
      <c r="F99" s="270">
        <f t="shared" si="4"/>
        <v>322.3482</v>
      </c>
    </row>
    <row r="100" spans="1:6" ht="13.5" thickBot="1">
      <c r="A100" s="82" t="s">
        <v>51</v>
      </c>
      <c r="B100" s="42" t="s">
        <v>122</v>
      </c>
      <c r="C100" s="165">
        <v>2000</v>
      </c>
      <c r="D100" s="343">
        <v>3000</v>
      </c>
      <c r="E100" s="291">
        <v>2008</v>
      </c>
      <c r="F100" s="271">
        <f t="shared" si="4"/>
        <v>90.378</v>
      </c>
    </row>
    <row r="101" spans="1:6" ht="12.75">
      <c r="A101" s="95" t="s">
        <v>52</v>
      </c>
      <c r="B101" s="9" t="s">
        <v>187</v>
      </c>
      <c r="C101" s="163">
        <v>1600</v>
      </c>
      <c r="D101" s="311">
        <f>1600+700</f>
        <v>2300</v>
      </c>
      <c r="E101" s="138">
        <v>1201</v>
      </c>
      <c r="F101" s="273">
        <f t="shared" si="4"/>
        <v>69.2898</v>
      </c>
    </row>
    <row r="102" spans="1:6" ht="12.75">
      <c r="A102" s="95" t="s">
        <v>52</v>
      </c>
      <c r="B102" s="9" t="s">
        <v>152</v>
      </c>
      <c r="C102" s="163">
        <v>2000</v>
      </c>
      <c r="D102" s="311">
        <v>3300</v>
      </c>
      <c r="E102" s="138">
        <v>3359</v>
      </c>
      <c r="F102" s="270">
        <f t="shared" si="4"/>
        <v>99.4158</v>
      </c>
    </row>
    <row r="103" spans="1:6" ht="12.75">
      <c r="A103" s="95" t="s">
        <v>52</v>
      </c>
      <c r="B103" s="9" t="s">
        <v>49</v>
      </c>
      <c r="C103" s="163">
        <v>7000</v>
      </c>
      <c r="D103" s="311">
        <v>13000</v>
      </c>
      <c r="E103" s="138">
        <v>9261</v>
      </c>
      <c r="F103" s="270">
        <f t="shared" si="4"/>
        <v>391.638</v>
      </c>
    </row>
    <row r="104" spans="1:6" ht="12.75">
      <c r="A104" s="111" t="s">
        <v>52</v>
      </c>
      <c r="B104" s="37" t="s">
        <v>175</v>
      </c>
      <c r="C104" s="174">
        <v>0</v>
      </c>
      <c r="D104" s="345">
        <v>0</v>
      </c>
      <c r="E104" s="282">
        <v>0</v>
      </c>
      <c r="F104" s="270">
        <f t="shared" si="4"/>
        <v>0</v>
      </c>
    </row>
    <row r="105" spans="1:6" ht="13.5" thickBot="1">
      <c r="A105" s="82" t="s">
        <v>52</v>
      </c>
      <c r="B105" s="42" t="s">
        <v>123</v>
      </c>
      <c r="C105" s="165">
        <v>10000</v>
      </c>
      <c r="D105" s="291">
        <v>10000</v>
      </c>
      <c r="E105" s="291">
        <v>14606</v>
      </c>
      <c r="F105" s="271">
        <f t="shared" si="4"/>
        <v>301.26</v>
      </c>
    </row>
    <row r="106" spans="1:6" ht="12.75">
      <c r="A106" s="112" t="s">
        <v>53</v>
      </c>
      <c r="B106" s="44" t="s">
        <v>155</v>
      </c>
      <c r="C106" s="175">
        <v>1600</v>
      </c>
      <c r="D106" s="290">
        <v>1600</v>
      </c>
      <c r="E106" s="290">
        <v>1019</v>
      </c>
      <c r="F106" s="273">
        <f t="shared" si="4"/>
        <v>48.2016</v>
      </c>
    </row>
    <row r="107" spans="1:6" ht="12.75">
      <c r="A107" s="53" t="s">
        <v>54</v>
      </c>
      <c r="B107" s="34" t="s">
        <v>124</v>
      </c>
      <c r="C107" s="160">
        <v>7300</v>
      </c>
      <c r="D107" s="137">
        <v>7300</v>
      </c>
      <c r="E107" s="137">
        <v>4993</v>
      </c>
      <c r="F107" s="270">
        <f t="shared" si="4"/>
        <v>219.9198</v>
      </c>
    </row>
    <row r="108" spans="1:6" ht="13.5" thickBot="1">
      <c r="A108" s="111" t="s">
        <v>55</v>
      </c>
      <c r="B108" s="37" t="s">
        <v>125</v>
      </c>
      <c r="C108" s="174">
        <v>3000</v>
      </c>
      <c r="D108" s="345">
        <v>3200</v>
      </c>
      <c r="E108" s="282">
        <v>1534</v>
      </c>
      <c r="F108" s="270">
        <f t="shared" si="4"/>
        <v>96.4032</v>
      </c>
    </row>
    <row r="109" spans="1:6" ht="13.5" thickBot="1">
      <c r="A109" s="414" t="s">
        <v>56</v>
      </c>
      <c r="B109" s="415"/>
      <c r="C109" s="177">
        <f>SUM(C110:C114)</f>
        <v>251198</v>
      </c>
      <c r="D109" s="159">
        <f>SUM(D110:D114)</f>
        <v>253308</v>
      </c>
      <c r="E109" s="159">
        <f>SUM(E110:E114)</f>
        <v>125797</v>
      </c>
      <c r="F109" s="284">
        <f>SUM(F110:F114)</f>
        <v>7631.156808</v>
      </c>
    </row>
    <row r="110" spans="1:6" ht="12.75">
      <c r="A110" s="222" t="s">
        <v>57</v>
      </c>
      <c r="B110" s="223" t="s">
        <v>147</v>
      </c>
      <c r="C110" s="224">
        <v>85000</v>
      </c>
      <c r="D110" s="218">
        <v>85000</v>
      </c>
      <c r="E110" s="218">
        <v>42367</v>
      </c>
      <c r="F110" s="270">
        <f>D110*$E$6/1000</f>
        <v>2560.71</v>
      </c>
    </row>
    <row r="111" spans="1:6" ht="12.75">
      <c r="A111" s="84" t="s">
        <v>58</v>
      </c>
      <c r="B111" s="7" t="s">
        <v>223</v>
      </c>
      <c r="C111" s="178">
        <v>78</v>
      </c>
      <c r="D111" s="153">
        <v>78</v>
      </c>
      <c r="E111" s="153">
        <v>36</v>
      </c>
      <c r="F111" s="270">
        <f>D111*$E$6/1000</f>
        <v>2.349828</v>
      </c>
    </row>
    <row r="112" spans="1:6" ht="12.75">
      <c r="A112" s="84" t="s">
        <v>59</v>
      </c>
      <c r="B112" s="7" t="s">
        <v>60</v>
      </c>
      <c r="C112" s="178">
        <v>95000</v>
      </c>
      <c r="D112" s="153">
        <v>95000</v>
      </c>
      <c r="E112" s="153">
        <v>52771</v>
      </c>
      <c r="F112" s="270">
        <f>D112*$E$6/1000</f>
        <v>2861.97</v>
      </c>
    </row>
    <row r="113" spans="1:6" ht="12.75">
      <c r="A113" s="84" t="s">
        <v>76</v>
      </c>
      <c r="B113" s="7" t="s">
        <v>153</v>
      </c>
      <c r="C113" s="178">
        <v>58000</v>
      </c>
      <c r="D113" s="153">
        <v>58000</v>
      </c>
      <c r="E113" s="153">
        <v>24153</v>
      </c>
      <c r="F113" s="270">
        <f>D113*$E$6/1000</f>
        <v>1747.308</v>
      </c>
    </row>
    <row r="114" spans="1:6" ht="13.5" thickBot="1">
      <c r="A114" s="111" t="s">
        <v>61</v>
      </c>
      <c r="B114" s="37" t="s">
        <v>127</v>
      </c>
      <c r="C114" s="179">
        <v>13120</v>
      </c>
      <c r="D114" s="320">
        <v>15230</v>
      </c>
      <c r="E114" s="335">
        <v>6470</v>
      </c>
      <c r="F114" s="270">
        <f>D114*$E$6/1000</f>
        <v>458.81898000000007</v>
      </c>
    </row>
    <row r="115" spans="1:6" ht="13.5" thickBot="1">
      <c r="A115" s="35" t="s">
        <v>62</v>
      </c>
      <c r="B115" s="36"/>
      <c r="C115" s="158">
        <f>SUM(C116:C124)</f>
        <v>96500</v>
      </c>
      <c r="D115" s="159">
        <f>SUM(D116:D124)</f>
        <v>112500</v>
      </c>
      <c r="E115" s="159">
        <f>SUM(E116:E124)</f>
        <v>46054</v>
      </c>
      <c r="F115" s="284">
        <f>SUM(F116:F124)</f>
        <v>3389.1749999999997</v>
      </c>
    </row>
    <row r="116" spans="1:6" ht="12.75">
      <c r="A116" s="53" t="s">
        <v>63</v>
      </c>
      <c r="B116" s="34" t="s">
        <v>128</v>
      </c>
      <c r="C116" s="160">
        <v>74000</v>
      </c>
      <c r="D116" s="137">
        <v>74000</v>
      </c>
      <c r="E116" s="137">
        <v>32964</v>
      </c>
      <c r="F116" s="270">
        <f aca="true" t="shared" si="5" ref="F116:F124">D116*$E$6/1000</f>
        <v>2229.324</v>
      </c>
    </row>
    <row r="117" spans="1:6" ht="12.75">
      <c r="A117" s="95" t="s">
        <v>64</v>
      </c>
      <c r="B117" s="9" t="s">
        <v>129</v>
      </c>
      <c r="C117" s="163">
        <v>11000</v>
      </c>
      <c r="D117" s="138">
        <v>11000</v>
      </c>
      <c r="E117" s="138">
        <v>5658</v>
      </c>
      <c r="F117" s="270">
        <f t="shared" si="5"/>
        <v>331.386</v>
      </c>
    </row>
    <row r="118" spans="1:6" ht="13.5" thickBot="1">
      <c r="A118" s="82" t="s">
        <v>64</v>
      </c>
      <c r="B118" s="42" t="s">
        <v>130</v>
      </c>
      <c r="C118" s="165">
        <v>1500</v>
      </c>
      <c r="D118" s="291">
        <v>1500</v>
      </c>
      <c r="E118" s="291">
        <v>0</v>
      </c>
      <c r="F118" s="271">
        <f t="shared" si="5"/>
        <v>45.189</v>
      </c>
    </row>
    <row r="119" spans="1:6" ht="12.75">
      <c r="A119" s="53" t="s">
        <v>65</v>
      </c>
      <c r="B119" s="34" t="s">
        <v>131</v>
      </c>
      <c r="C119" s="160">
        <v>200</v>
      </c>
      <c r="D119" s="137">
        <v>200</v>
      </c>
      <c r="E119" s="137">
        <v>0</v>
      </c>
      <c r="F119" s="273">
        <f t="shared" si="5"/>
        <v>6.0252</v>
      </c>
    </row>
    <row r="120" spans="1:6" ht="12.75">
      <c r="A120" s="95" t="s">
        <v>66</v>
      </c>
      <c r="B120" s="9" t="s">
        <v>251</v>
      </c>
      <c r="C120" s="163">
        <v>3000</v>
      </c>
      <c r="D120" s="311">
        <f>4000+12000+3000</f>
        <v>19000</v>
      </c>
      <c r="E120" s="138">
        <v>3656</v>
      </c>
      <c r="F120" s="270">
        <f t="shared" si="5"/>
        <v>572.394</v>
      </c>
    </row>
    <row r="121" spans="1:6" ht="12.75">
      <c r="A121" s="95" t="s">
        <v>68</v>
      </c>
      <c r="B121" s="9" t="s">
        <v>132</v>
      </c>
      <c r="C121" s="163">
        <v>1300</v>
      </c>
      <c r="D121" s="138">
        <v>1300</v>
      </c>
      <c r="E121" s="138">
        <v>349</v>
      </c>
      <c r="F121" s="270">
        <f t="shared" si="5"/>
        <v>39.1638</v>
      </c>
    </row>
    <row r="122" spans="1:6" ht="12.75">
      <c r="A122" s="95" t="s">
        <v>68</v>
      </c>
      <c r="B122" s="9" t="s">
        <v>133</v>
      </c>
      <c r="C122" s="163">
        <v>4900</v>
      </c>
      <c r="D122" s="138">
        <v>4900</v>
      </c>
      <c r="E122" s="138">
        <v>3427</v>
      </c>
      <c r="F122" s="270">
        <f t="shared" si="5"/>
        <v>147.6174</v>
      </c>
    </row>
    <row r="123" spans="1:6" ht="12.75">
      <c r="A123" s="95" t="s">
        <v>69</v>
      </c>
      <c r="B123" s="9" t="s">
        <v>70</v>
      </c>
      <c r="C123" s="163">
        <v>300</v>
      </c>
      <c r="D123" s="138">
        <v>300</v>
      </c>
      <c r="E123" s="138">
        <v>0</v>
      </c>
      <c r="F123" s="270">
        <f t="shared" si="5"/>
        <v>9.0378</v>
      </c>
    </row>
    <row r="124" spans="1:6" ht="12.75">
      <c r="A124" s="95" t="s">
        <v>71</v>
      </c>
      <c r="B124" s="9" t="s">
        <v>72</v>
      </c>
      <c r="C124" s="163">
        <v>300</v>
      </c>
      <c r="D124" s="138">
        <v>300</v>
      </c>
      <c r="E124" s="138">
        <v>0</v>
      </c>
      <c r="F124" s="270">
        <f t="shared" si="5"/>
        <v>9.0378</v>
      </c>
    </row>
    <row r="125" spans="1:6" ht="16.5" thickBot="1">
      <c r="A125" s="225" t="s">
        <v>134</v>
      </c>
      <c r="B125" s="63"/>
      <c r="C125" s="167">
        <f>SUM(C76+C81+C83+C85+C90+C93+C95+C109+C115)</f>
        <v>742638</v>
      </c>
      <c r="D125" s="293">
        <f>SUM(D76+D81+D83+D85+D90+D93+D95+D109+D115)</f>
        <v>783288</v>
      </c>
      <c r="E125" s="293">
        <f>SUM(E76+E81+E83+E85+E90+E93+E95+E109+E115)</f>
        <v>374925</v>
      </c>
      <c r="F125" s="286">
        <f>SUM(F76+F81+F83+F85+F90+F93+F95+F109+F115)</f>
        <v>23597.334288</v>
      </c>
    </row>
    <row r="126" spans="1:6" ht="12.75">
      <c r="A126" s="93" t="s">
        <v>58</v>
      </c>
      <c r="B126" s="92" t="s">
        <v>73</v>
      </c>
      <c r="C126" s="168">
        <f>C57+C70-78</f>
        <v>290396</v>
      </c>
      <c r="D126" s="308">
        <f>D57+D70-78</f>
        <v>303564</v>
      </c>
      <c r="E126" s="308">
        <f>E57+E70</f>
        <v>153878</v>
      </c>
      <c r="F126" s="270">
        <f>D126*$E$6/1000</f>
        <v>9145.169064000002</v>
      </c>
    </row>
    <row r="127" spans="1:6" ht="12.75">
      <c r="A127" s="94" t="s">
        <v>74</v>
      </c>
      <c r="B127" s="8" t="s">
        <v>75</v>
      </c>
      <c r="C127" s="169">
        <v>17000</v>
      </c>
      <c r="D127" s="294">
        <v>17000</v>
      </c>
      <c r="E127" s="294">
        <f>4250*2</f>
        <v>8500</v>
      </c>
      <c r="F127" s="270">
        <f>D127*$E$6/1000</f>
        <v>512.142</v>
      </c>
    </row>
    <row r="128" spans="1:6" ht="13.5" thickBot="1">
      <c r="A128" s="416" t="s">
        <v>156</v>
      </c>
      <c r="B128" s="417"/>
      <c r="C128" s="170">
        <f>SUM(C126:C127)</f>
        <v>307396</v>
      </c>
      <c r="D128" s="170">
        <f>SUM(D126:D127)</f>
        <v>320564</v>
      </c>
      <c r="E128" s="170">
        <f>SUM(E126:E127)</f>
        <v>162378</v>
      </c>
      <c r="F128" s="287">
        <f>SUM(F126:F127)</f>
        <v>9657.311064000001</v>
      </c>
    </row>
    <row r="129" spans="1:6" ht="16.5" thickBot="1">
      <c r="A129" s="61" t="s">
        <v>77</v>
      </c>
      <c r="B129" s="39"/>
      <c r="C129" s="171">
        <f>C125+C128</f>
        <v>1050034</v>
      </c>
      <c r="D129" s="171">
        <f>D125+D128</f>
        <v>1103852</v>
      </c>
      <c r="E129" s="171">
        <f>E125+E128</f>
        <v>537303</v>
      </c>
      <c r="F129" s="288">
        <f>F125+F128</f>
        <v>33254.645352</v>
      </c>
    </row>
    <row r="130" ht="12.75">
      <c r="E130" s="80"/>
    </row>
    <row r="131" spans="1:5" ht="12.75">
      <c r="A131" s="11"/>
      <c r="B131" s="17"/>
      <c r="C131" s="17"/>
      <c r="D131" s="17"/>
      <c r="E131" s="18"/>
    </row>
    <row r="132" spans="1:6" ht="18.75" thickBot="1">
      <c r="A132" s="410" t="s">
        <v>78</v>
      </c>
      <c r="B132" s="411"/>
      <c r="C132" s="411"/>
      <c r="D132" s="411"/>
      <c r="E132" s="411"/>
      <c r="F132" s="363"/>
    </row>
    <row r="133" spans="1:6" ht="12.75" customHeight="1">
      <c r="A133" s="397" t="s">
        <v>1</v>
      </c>
      <c r="B133" s="398"/>
      <c r="C133" s="389" t="s">
        <v>190</v>
      </c>
      <c r="D133" s="429" t="s">
        <v>226</v>
      </c>
      <c r="E133" s="429" t="s">
        <v>249</v>
      </c>
      <c r="F133" s="389" t="s">
        <v>195</v>
      </c>
    </row>
    <row r="134" spans="1:7" ht="13.5" thickBot="1">
      <c r="A134" s="412"/>
      <c r="B134" s="413"/>
      <c r="C134" s="390"/>
      <c r="D134" s="430"/>
      <c r="E134" s="430"/>
      <c r="F134" s="390"/>
      <c r="G134" s="80"/>
    </row>
    <row r="135" spans="1:7" ht="15.75" thickBot="1">
      <c r="A135" s="402" t="s">
        <v>139</v>
      </c>
      <c r="B135" s="403"/>
      <c r="C135" s="146">
        <f>SUM(C136:C138)</f>
        <v>0</v>
      </c>
      <c r="D135" s="229">
        <f>SUM(D136:D138)</f>
        <v>28195</v>
      </c>
      <c r="E135" s="146">
        <f>SUM(E136:E138)</f>
        <v>28195</v>
      </c>
      <c r="F135" s="229">
        <f>SUM(F136:F138)</f>
        <v>849.4025700000001</v>
      </c>
      <c r="G135" s="18"/>
    </row>
    <row r="136" spans="1:6" ht="12.75">
      <c r="A136" s="69">
        <v>230</v>
      </c>
      <c r="B136" s="44" t="s">
        <v>97</v>
      </c>
      <c r="C136" s="147">
        <v>0</v>
      </c>
      <c r="D136" s="295">
        <v>1195</v>
      </c>
      <c r="E136" s="290">
        <v>1195</v>
      </c>
      <c r="F136" s="270">
        <f>D136*$E$6/1000</f>
        <v>36.000569999999996</v>
      </c>
    </row>
    <row r="137" spans="1:6" ht="12.75">
      <c r="A137" s="127">
        <v>322</v>
      </c>
      <c r="B137" s="227" t="s">
        <v>201</v>
      </c>
      <c r="C137" s="228">
        <v>0</v>
      </c>
      <c r="D137" s="296">
        <v>0</v>
      </c>
      <c r="E137" s="296">
        <v>0</v>
      </c>
      <c r="F137" s="270">
        <f>D137*$E$6/1000</f>
        <v>0</v>
      </c>
    </row>
    <row r="138" spans="1:6" ht="13.5" thickBot="1">
      <c r="A138" s="68">
        <v>321</v>
      </c>
      <c r="B138" s="42" t="s">
        <v>167</v>
      </c>
      <c r="C138" s="145">
        <v>0</v>
      </c>
      <c r="D138" s="343">
        <v>27000</v>
      </c>
      <c r="E138" s="291">
        <v>27000</v>
      </c>
      <c r="F138" s="271">
        <f>D138*$E$6/1000</f>
        <v>813.402</v>
      </c>
    </row>
    <row r="139" spans="1:6" ht="18.75" thickBot="1">
      <c r="A139" s="52"/>
      <c r="B139" s="3"/>
      <c r="C139" s="148"/>
      <c r="D139" s="297"/>
      <c r="E139" s="297"/>
      <c r="F139" s="149"/>
    </row>
    <row r="140" spans="1:6" ht="16.5" thickBot="1">
      <c r="A140" s="402" t="s">
        <v>140</v>
      </c>
      <c r="B140" s="403"/>
      <c r="C140" s="150">
        <f>SUM(C141:C157)</f>
        <v>200666</v>
      </c>
      <c r="D140" s="150">
        <f>SUM(D141:D157)</f>
        <v>385686</v>
      </c>
      <c r="E140" s="150">
        <f>SUM(E141:E157)</f>
        <v>129780</v>
      </c>
      <c r="F140" s="150">
        <f>SUM(F141:F157)</f>
        <v>11619.176436000002</v>
      </c>
    </row>
    <row r="141" spans="1:6" ht="12.75">
      <c r="A141" s="95" t="s">
        <v>36</v>
      </c>
      <c r="B141" s="6" t="s">
        <v>171</v>
      </c>
      <c r="C141" s="151">
        <v>0</v>
      </c>
      <c r="D141" s="298">
        <f>3870+553+2600</f>
        <v>7023</v>
      </c>
      <c r="E141" s="322">
        <v>6453</v>
      </c>
      <c r="F141" s="270">
        <f aca="true" t="shared" si="6" ref="F141:F157">D141*$E$6/1000</f>
        <v>211.57489800000002</v>
      </c>
    </row>
    <row r="142" spans="1:6" ht="12.75">
      <c r="A142" s="266" t="s">
        <v>36</v>
      </c>
      <c r="B142" s="6" t="s">
        <v>231</v>
      </c>
      <c r="C142" s="267">
        <v>0</v>
      </c>
      <c r="D142" s="298">
        <v>35000</v>
      </c>
      <c r="E142" s="322">
        <v>35000</v>
      </c>
      <c r="F142" s="270">
        <f t="shared" si="6"/>
        <v>1054.41</v>
      </c>
    </row>
    <row r="143" spans="1:6" ht="13.5" thickBot="1">
      <c r="A143" s="64" t="s">
        <v>36</v>
      </c>
      <c r="B143" s="83" t="s">
        <v>199</v>
      </c>
      <c r="C143" s="152">
        <v>0</v>
      </c>
      <c r="D143" s="299">
        <f>1339+38759+426+4201+2800+2800+9664+10820+2380</f>
        <v>73189</v>
      </c>
      <c r="E143" s="336">
        <v>52168</v>
      </c>
      <c r="F143" s="268">
        <f t="shared" si="6"/>
        <v>2204.891814</v>
      </c>
    </row>
    <row r="144" spans="1:6" ht="12.75">
      <c r="A144" s="135" t="s">
        <v>38</v>
      </c>
      <c r="B144" s="136" t="s">
        <v>222</v>
      </c>
      <c r="C144" s="155">
        <v>0</v>
      </c>
      <c r="D144" s="315">
        <v>800</v>
      </c>
      <c r="E144" s="337">
        <v>772</v>
      </c>
      <c r="F144" s="273">
        <f t="shared" si="6"/>
        <v>24.1008</v>
      </c>
    </row>
    <row r="145" spans="1:6" ht="12.75">
      <c r="A145" s="70" t="s">
        <v>38</v>
      </c>
      <c r="B145" s="28" t="s">
        <v>217</v>
      </c>
      <c r="C145" s="156">
        <v>0</v>
      </c>
      <c r="D145" s="300">
        <f>19520+8000</f>
        <v>27520</v>
      </c>
      <c r="E145" s="321">
        <v>27441</v>
      </c>
      <c r="F145" s="270">
        <f t="shared" si="6"/>
        <v>829.0675200000001</v>
      </c>
    </row>
    <row r="146" spans="1:6" ht="12.75">
      <c r="A146" s="49" t="s">
        <v>40</v>
      </c>
      <c r="B146" s="28" t="s">
        <v>182</v>
      </c>
      <c r="C146" s="156">
        <v>38706</v>
      </c>
      <c r="D146" s="276">
        <v>38706</v>
      </c>
      <c r="E146" s="321">
        <v>286</v>
      </c>
      <c r="F146" s="270">
        <f t="shared" si="6"/>
        <v>1166.056956</v>
      </c>
    </row>
    <row r="147" spans="1:6" ht="12.75">
      <c r="A147" s="84" t="s">
        <v>184</v>
      </c>
      <c r="B147" s="85" t="s">
        <v>79</v>
      </c>
      <c r="C147" s="151">
        <v>0</v>
      </c>
      <c r="D147" s="140">
        <v>0</v>
      </c>
      <c r="E147" s="322">
        <v>0</v>
      </c>
      <c r="F147" s="270">
        <f t="shared" si="6"/>
        <v>0</v>
      </c>
    </row>
    <row r="148" spans="1:6" ht="12.75">
      <c r="A148" s="95" t="s">
        <v>184</v>
      </c>
      <c r="B148" s="6" t="s">
        <v>185</v>
      </c>
      <c r="C148" s="157">
        <v>73550</v>
      </c>
      <c r="D148" s="140">
        <v>73550</v>
      </c>
      <c r="E148" s="322">
        <v>0</v>
      </c>
      <c r="F148" s="270">
        <f t="shared" si="6"/>
        <v>2215.7673000000004</v>
      </c>
    </row>
    <row r="149" spans="1:6" ht="12.75">
      <c r="A149" s="84" t="s">
        <v>186</v>
      </c>
      <c r="B149" s="6" t="s">
        <v>168</v>
      </c>
      <c r="C149" s="151">
        <v>0</v>
      </c>
      <c r="D149" s="140">
        <v>0</v>
      </c>
      <c r="E149" s="322">
        <v>0</v>
      </c>
      <c r="F149" s="270">
        <f t="shared" si="6"/>
        <v>0</v>
      </c>
    </row>
    <row r="150" spans="1:6" ht="12.75">
      <c r="A150" s="70" t="s">
        <v>186</v>
      </c>
      <c r="B150" s="28" t="s">
        <v>200</v>
      </c>
      <c r="C150" s="156">
        <v>49247</v>
      </c>
      <c r="D150" s="276">
        <v>49247</v>
      </c>
      <c r="E150" s="321">
        <v>0</v>
      </c>
      <c r="F150" s="270">
        <f t="shared" si="6"/>
        <v>1483.615122</v>
      </c>
    </row>
    <row r="151" spans="1:6" ht="12.75">
      <c r="A151" s="70" t="s">
        <v>44</v>
      </c>
      <c r="B151" s="28" t="s">
        <v>233</v>
      </c>
      <c r="C151" s="156">
        <v>0</v>
      </c>
      <c r="D151" s="300">
        <v>9494</v>
      </c>
      <c r="E151" s="321">
        <v>0</v>
      </c>
      <c r="F151" s="270">
        <f t="shared" si="6"/>
        <v>286.01624400000003</v>
      </c>
    </row>
    <row r="152" spans="1:6" ht="12.75">
      <c r="A152" s="49" t="s">
        <v>50</v>
      </c>
      <c r="B152" s="28" t="s">
        <v>151</v>
      </c>
      <c r="C152" s="156">
        <v>0</v>
      </c>
      <c r="D152" s="300">
        <v>0</v>
      </c>
      <c r="E152" s="321">
        <v>0</v>
      </c>
      <c r="F152" s="270">
        <f t="shared" si="6"/>
        <v>0</v>
      </c>
    </row>
    <row r="153" spans="1:6" ht="12.75">
      <c r="A153" s="49" t="s">
        <v>54</v>
      </c>
      <c r="B153" s="28" t="s">
        <v>232</v>
      </c>
      <c r="C153" s="156"/>
      <c r="D153" s="300">
        <v>24620</v>
      </c>
      <c r="E153" s="321"/>
      <c r="F153" s="270">
        <f t="shared" si="6"/>
        <v>741.70212</v>
      </c>
    </row>
    <row r="154" spans="1:6" ht="12.75">
      <c r="A154" s="50" t="s">
        <v>58</v>
      </c>
      <c r="B154" s="6" t="s">
        <v>170</v>
      </c>
      <c r="C154" s="151">
        <v>8984</v>
      </c>
      <c r="D154" s="140">
        <v>8984</v>
      </c>
      <c r="E154" s="322">
        <v>0</v>
      </c>
      <c r="F154" s="270">
        <f t="shared" si="6"/>
        <v>270.65198399999997</v>
      </c>
    </row>
    <row r="155" spans="1:6" ht="12.75">
      <c r="A155" s="50" t="s">
        <v>58</v>
      </c>
      <c r="B155" s="6" t="s">
        <v>198</v>
      </c>
      <c r="C155" s="151">
        <v>30179</v>
      </c>
      <c r="D155" s="140">
        <v>30179</v>
      </c>
      <c r="E155" s="322">
        <v>286</v>
      </c>
      <c r="F155" s="270">
        <f t="shared" si="6"/>
        <v>909.172554</v>
      </c>
    </row>
    <row r="156" spans="1:6" ht="12.75">
      <c r="A156" s="50" t="s">
        <v>58</v>
      </c>
      <c r="B156" s="6" t="s">
        <v>216</v>
      </c>
      <c r="C156" s="151">
        <v>0</v>
      </c>
      <c r="D156" s="298">
        <v>7374</v>
      </c>
      <c r="E156" s="322">
        <v>7374</v>
      </c>
      <c r="F156" s="270">
        <f t="shared" si="6"/>
        <v>222.149124</v>
      </c>
    </row>
    <row r="157" spans="1:6" ht="13.5" thickBot="1">
      <c r="A157" s="51" t="s">
        <v>76</v>
      </c>
      <c r="B157" s="32" t="s">
        <v>174</v>
      </c>
      <c r="C157" s="154">
        <v>0</v>
      </c>
      <c r="D157" s="279">
        <v>0</v>
      </c>
      <c r="E157" s="279">
        <v>0</v>
      </c>
      <c r="F157" s="271">
        <f t="shared" si="6"/>
        <v>0</v>
      </c>
    </row>
    <row r="159" spans="1:6" ht="12.75" customHeight="1">
      <c r="A159" s="20"/>
      <c r="B159" s="21"/>
      <c r="C159" s="21"/>
      <c r="D159" s="21"/>
      <c r="E159" s="86"/>
      <c r="F159" s="87"/>
    </row>
    <row r="160" spans="1:6" ht="12.75">
      <c r="A160" s="21"/>
      <c r="B160" s="17"/>
      <c r="C160" s="17"/>
      <c r="D160" s="17"/>
      <c r="E160" s="22"/>
      <c r="F160" s="22"/>
    </row>
    <row r="161" spans="1:5" ht="18.75" thickBot="1">
      <c r="A161" s="404" t="s">
        <v>80</v>
      </c>
      <c r="B161" s="405"/>
      <c r="C161" s="405"/>
      <c r="D161" s="405"/>
      <c r="E161" s="405"/>
    </row>
    <row r="162" spans="1:6" ht="12.75">
      <c r="A162" s="397" t="s">
        <v>1</v>
      </c>
      <c r="B162" s="398"/>
      <c r="C162" s="389" t="s">
        <v>190</v>
      </c>
      <c r="D162" s="429" t="s">
        <v>226</v>
      </c>
      <c r="E162" s="429" t="s">
        <v>249</v>
      </c>
      <c r="F162" s="433" t="s">
        <v>194</v>
      </c>
    </row>
    <row r="163" spans="1:6" ht="13.5" thickBot="1">
      <c r="A163" s="412"/>
      <c r="B163" s="413"/>
      <c r="C163" s="390"/>
      <c r="D163" s="430"/>
      <c r="E163" s="430"/>
      <c r="F163" s="434"/>
    </row>
    <row r="164" spans="1:6" ht="16.5" thickBot="1">
      <c r="A164" s="435" t="s">
        <v>141</v>
      </c>
      <c r="B164" s="436"/>
      <c r="C164" s="208">
        <f>SUM(C165:C167)</f>
        <v>202266</v>
      </c>
      <c r="D164" s="208">
        <f>SUM(D165:D167)</f>
        <v>344347</v>
      </c>
      <c r="E164" s="208">
        <f>SUM(E165:E167)</f>
        <v>132898</v>
      </c>
      <c r="F164" s="208">
        <f>SUM(F165:F167)</f>
        <v>10373.797722</v>
      </c>
    </row>
    <row r="165" spans="1:6" ht="12.75">
      <c r="A165" s="209">
        <v>411</v>
      </c>
      <c r="B165" s="212" t="s">
        <v>193</v>
      </c>
      <c r="C165" s="210">
        <v>1600</v>
      </c>
      <c r="D165" s="303">
        <v>1600</v>
      </c>
      <c r="E165" s="303">
        <v>562</v>
      </c>
      <c r="F165" s="273">
        <f>D165*$E$6/1000</f>
        <v>48.2016</v>
      </c>
    </row>
    <row r="166" spans="1:6" ht="14.25" customHeight="1">
      <c r="A166" s="47">
        <v>454</v>
      </c>
      <c r="B166" s="5" t="s">
        <v>173</v>
      </c>
      <c r="C166" s="144">
        <v>0</v>
      </c>
      <c r="D166" s="304">
        <f>63515+78566</f>
        <v>142081</v>
      </c>
      <c r="E166" s="324">
        <v>132336</v>
      </c>
      <c r="F166" s="270">
        <f>D166*$E$6/1000</f>
        <v>4280.332206</v>
      </c>
    </row>
    <row r="167" spans="1:7" ht="14.25" customHeight="1" thickBot="1">
      <c r="A167" s="201">
        <v>513</v>
      </c>
      <c r="B167" s="202" t="s">
        <v>183</v>
      </c>
      <c r="C167" s="203">
        <v>200666</v>
      </c>
      <c r="D167" s="309">
        <f>200666</f>
        <v>200666</v>
      </c>
      <c r="E167" s="329">
        <v>0</v>
      </c>
      <c r="F167" s="274">
        <f>D167*$E$6/1000</f>
        <v>6045.263916</v>
      </c>
      <c r="G167" s="25"/>
    </row>
    <row r="168" spans="1:6" ht="16.5" thickBot="1">
      <c r="A168" s="435" t="s">
        <v>142</v>
      </c>
      <c r="B168" s="436"/>
      <c r="C168" s="208">
        <f>SUM(C169:C170)</f>
        <v>2965</v>
      </c>
      <c r="D168" s="302">
        <f>SUM(D169:D170)</f>
        <v>3014</v>
      </c>
      <c r="E168" s="330">
        <f>SUM(E169:E170)</f>
        <v>486</v>
      </c>
      <c r="F168" s="301">
        <f>SUM(F169:F170)</f>
        <v>90.79976400000001</v>
      </c>
    </row>
    <row r="169" spans="1:6" ht="12.75">
      <c r="A169" s="231">
        <v>821</v>
      </c>
      <c r="B169" s="212" t="s">
        <v>202</v>
      </c>
      <c r="C169" s="232">
        <v>2434</v>
      </c>
      <c r="D169" s="305">
        <v>2434</v>
      </c>
      <c r="E169" s="305">
        <v>0</v>
      </c>
      <c r="F169" s="269">
        <f>D169*$E$6/1000</f>
        <v>73.32668400000001</v>
      </c>
    </row>
    <row r="170" spans="1:6" ht="13.5" thickBot="1">
      <c r="A170" s="205">
        <v>821</v>
      </c>
      <c r="B170" s="206" t="s">
        <v>135</v>
      </c>
      <c r="C170" s="196">
        <v>531</v>
      </c>
      <c r="D170" s="306">
        <v>580</v>
      </c>
      <c r="E170" s="362">
        <v>486</v>
      </c>
      <c r="F170" s="268">
        <f>D170*$E$6/1000</f>
        <v>17.473080000000003</v>
      </c>
    </row>
    <row r="171" spans="1:6" ht="15.75">
      <c r="A171" s="10"/>
      <c r="B171" s="11"/>
      <c r="C171" s="11"/>
      <c r="D171" s="11"/>
      <c r="E171" s="12"/>
      <c r="F171" s="12"/>
    </row>
    <row r="172" spans="1:6" ht="15.75">
      <c r="A172" s="10"/>
      <c r="B172" s="11"/>
      <c r="C172" s="11"/>
      <c r="D172" s="11"/>
      <c r="E172" s="12"/>
      <c r="F172" s="23"/>
    </row>
    <row r="173" spans="1:5" ht="12.75" customHeight="1">
      <c r="A173" s="10"/>
      <c r="B173" s="11"/>
      <c r="C173" s="11"/>
      <c r="D173" s="11"/>
      <c r="E173" s="12"/>
    </row>
    <row r="174" spans="2:5" ht="12.75">
      <c r="B174" s="17"/>
      <c r="C174" s="17"/>
      <c r="D174" s="17"/>
      <c r="E174" s="23"/>
    </row>
    <row r="175" spans="1:5" ht="18.75" thickBot="1">
      <c r="A175" s="395" t="s">
        <v>143</v>
      </c>
      <c r="B175" s="396"/>
      <c r="C175" s="396"/>
      <c r="D175" s="396"/>
      <c r="E175" s="396"/>
    </row>
    <row r="176" spans="1:6" ht="12.75">
      <c r="A176" s="397" t="s">
        <v>1</v>
      </c>
      <c r="B176" s="398"/>
      <c r="C176" s="431" t="s">
        <v>190</v>
      </c>
      <c r="D176" s="429" t="s">
        <v>226</v>
      </c>
      <c r="E176" s="429" t="s">
        <v>249</v>
      </c>
      <c r="F176" s="431" t="s">
        <v>195</v>
      </c>
    </row>
    <row r="177" spans="1:6" ht="13.5" thickBot="1">
      <c r="A177" s="399"/>
      <c r="B177" s="400"/>
      <c r="C177" s="432"/>
      <c r="D177" s="430"/>
      <c r="E177" s="430"/>
      <c r="F177" s="432"/>
    </row>
    <row r="178" spans="1:6" ht="15">
      <c r="A178" s="307" t="s">
        <v>81</v>
      </c>
      <c r="B178" s="45"/>
      <c r="C178" s="290">
        <f>C71</f>
        <v>1051399</v>
      </c>
      <c r="D178" s="290">
        <f>D71</f>
        <v>1120010</v>
      </c>
      <c r="E178" s="290">
        <f>E71</f>
        <v>532837</v>
      </c>
      <c r="F178" s="137">
        <f>F71</f>
        <v>33741.42126</v>
      </c>
    </row>
    <row r="179" spans="1:6" ht="15">
      <c r="A179" s="54" t="s">
        <v>82</v>
      </c>
      <c r="B179" s="6"/>
      <c r="C179" s="138">
        <f>C129</f>
        <v>1050034</v>
      </c>
      <c r="D179" s="138">
        <f>D129</f>
        <v>1103852</v>
      </c>
      <c r="E179" s="138">
        <f>E129</f>
        <v>537303</v>
      </c>
      <c r="F179" s="138">
        <f>F129</f>
        <v>33254.645352</v>
      </c>
    </row>
    <row r="180" spans="1:6" ht="15.75">
      <c r="A180" s="46"/>
      <c r="B180" s="24" t="s">
        <v>83</v>
      </c>
      <c r="C180" s="139">
        <f>C178-C179</f>
        <v>1365</v>
      </c>
      <c r="D180" s="139">
        <f>D178-D179</f>
        <v>16158</v>
      </c>
      <c r="E180" s="139">
        <f>E178-E179</f>
        <v>-4466</v>
      </c>
      <c r="F180" s="139">
        <f>F178-F179</f>
        <v>486.77590800000326</v>
      </c>
    </row>
    <row r="181" spans="1:6" ht="15">
      <c r="A181" s="54" t="s">
        <v>84</v>
      </c>
      <c r="B181" s="6"/>
      <c r="C181" s="138">
        <f>C135</f>
        <v>0</v>
      </c>
      <c r="D181" s="138">
        <f>D135</f>
        <v>28195</v>
      </c>
      <c r="E181" s="138">
        <f>E135</f>
        <v>28195</v>
      </c>
      <c r="F181" s="138">
        <f>F135</f>
        <v>849.4025700000001</v>
      </c>
    </row>
    <row r="182" spans="1:6" ht="15">
      <c r="A182" s="54" t="s">
        <v>85</v>
      </c>
      <c r="B182" s="6"/>
      <c r="C182" s="140">
        <f>C140</f>
        <v>200666</v>
      </c>
      <c r="D182" s="140">
        <f>D140</f>
        <v>385686</v>
      </c>
      <c r="E182" s="140">
        <f>E140</f>
        <v>129780</v>
      </c>
      <c r="F182" s="140">
        <f>F140</f>
        <v>11619.176436000002</v>
      </c>
    </row>
    <row r="183" spans="1:6" ht="15.75">
      <c r="A183" s="46"/>
      <c r="B183" s="26" t="s">
        <v>86</v>
      </c>
      <c r="C183" s="139">
        <f>C181-C182</f>
        <v>-200666</v>
      </c>
      <c r="D183" s="139">
        <f>D181-D182</f>
        <v>-357491</v>
      </c>
      <c r="E183" s="139">
        <f>E181-E182</f>
        <v>-101585</v>
      </c>
      <c r="F183" s="139">
        <f>F181-F182</f>
        <v>-10769.773866000001</v>
      </c>
    </row>
    <row r="184" spans="1:6" ht="15">
      <c r="A184" s="383" t="s">
        <v>137</v>
      </c>
      <c r="B184" s="384"/>
      <c r="C184" s="141">
        <f>C164</f>
        <v>202266</v>
      </c>
      <c r="D184" s="141">
        <f>D164</f>
        <v>344347</v>
      </c>
      <c r="E184" s="141">
        <f>E164</f>
        <v>132898</v>
      </c>
      <c r="F184" s="141">
        <f>F164</f>
        <v>10373.797722</v>
      </c>
    </row>
    <row r="185" spans="1:6" ht="15">
      <c r="A185" s="383" t="s">
        <v>136</v>
      </c>
      <c r="B185" s="384"/>
      <c r="C185" s="141">
        <f>C168</f>
        <v>2965</v>
      </c>
      <c r="D185" s="141">
        <f>D168</f>
        <v>3014</v>
      </c>
      <c r="E185" s="141">
        <f>E168</f>
        <v>486</v>
      </c>
      <c r="F185" s="141">
        <f>F168</f>
        <v>90.79976400000001</v>
      </c>
    </row>
    <row r="186" spans="1:6" ht="16.5" thickBot="1">
      <c r="A186" s="55"/>
      <c r="B186" s="56" t="s">
        <v>138</v>
      </c>
      <c r="C186" s="142">
        <f>C184-C185</f>
        <v>199301</v>
      </c>
      <c r="D186" s="142">
        <f>D184-D185</f>
        <v>341333</v>
      </c>
      <c r="E186" s="142">
        <f>E184-E185</f>
        <v>132412</v>
      </c>
      <c r="F186" s="142">
        <f>F184-F185</f>
        <v>10282.997958</v>
      </c>
    </row>
    <row r="187" spans="1:6" ht="16.5" thickBot="1">
      <c r="A187" s="385" t="s">
        <v>87</v>
      </c>
      <c r="B187" s="386"/>
      <c r="C187" s="143">
        <f>C180+C183+C186</f>
        <v>0</v>
      </c>
      <c r="D187" s="143">
        <f>D180+D183+D186</f>
        <v>0</v>
      </c>
      <c r="E187" s="143">
        <f>E180+E183+E186</f>
        <v>26361</v>
      </c>
      <c r="F187" s="143">
        <f>F180+F183+F186</f>
        <v>0</v>
      </c>
    </row>
    <row r="188" ht="12.75">
      <c r="F188" s="71"/>
    </row>
    <row r="189" spans="2:6" ht="12.75">
      <c r="B189" s="27" t="s">
        <v>88</v>
      </c>
      <c r="C189" s="71">
        <f aca="true" t="shared" si="7" ref="C189:F190">C178+C181+C184</f>
        <v>1253665</v>
      </c>
      <c r="D189" s="71">
        <f t="shared" si="7"/>
        <v>1492552</v>
      </c>
      <c r="E189" s="71">
        <f t="shared" si="7"/>
        <v>693930</v>
      </c>
      <c r="F189" s="71">
        <f t="shared" si="7"/>
        <v>44964.621552</v>
      </c>
    </row>
    <row r="190" spans="2:6" ht="12.75">
      <c r="B190" s="27" t="s">
        <v>89</v>
      </c>
      <c r="C190" s="71">
        <f t="shared" si="7"/>
        <v>1253665</v>
      </c>
      <c r="D190" s="71">
        <f t="shared" si="7"/>
        <v>1492552</v>
      </c>
      <c r="E190" s="71">
        <f t="shared" si="7"/>
        <v>667569</v>
      </c>
      <c r="F190" s="71">
        <f t="shared" si="7"/>
        <v>44964.621552000004</v>
      </c>
    </row>
    <row r="191" spans="2:6" ht="12.75">
      <c r="B191" s="27"/>
      <c r="C191" s="71"/>
      <c r="D191" s="71"/>
      <c r="E191" s="71"/>
      <c r="F191" s="71"/>
    </row>
    <row r="192" spans="2:6" ht="12.75">
      <c r="B192" s="27" t="s">
        <v>150</v>
      </c>
      <c r="C192" s="71">
        <f>C189-C70</f>
        <v>1251991</v>
      </c>
      <c r="D192" s="71">
        <f>D189-D70</f>
        <v>1490878</v>
      </c>
      <c r="E192" s="71">
        <f>E189-E70</f>
        <v>691664</v>
      </c>
      <c r="F192" s="71">
        <f>F189-F70</f>
        <v>44914.190628</v>
      </c>
    </row>
    <row r="193" spans="2:6" ht="12.75">
      <c r="B193" s="27" t="s">
        <v>154</v>
      </c>
      <c r="C193" s="71">
        <f>C190-C128</f>
        <v>946269</v>
      </c>
      <c r="D193" s="71">
        <f>D190-D128</f>
        <v>1171988</v>
      </c>
      <c r="E193" s="71">
        <f>E190-E128</f>
        <v>505191</v>
      </c>
      <c r="F193" s="71">
        <f>F190-F128</f>
        <v>35307.310488</v>
      </c>
    </row>
  </sheetData>
  <sheetProtection/>
  <mergeCells count="47">
    <mergeCell ref="A1:E1"/>
    <mergeCell ref="A2:E2"/>
    <mergeCell ref="A7:E7"/>
    <mergeCell ref="A8:B9"/>
    <mergeCell ref="C8:C9"/>
    <mergeCell ref="D8:D9"/>
    <mergeCell ref="E8:E9"/>
    <mergeCell ref="A40:B40"/>
    <mergeCell ref="A73:E73"/>
    <mergeCell ref="A74:B75"/>
    <mergeCell ref="C74:C75"/>
    <mergeCell ref="F8:F9"/>
    <mergeCell ref="A10:B10"/>
    <mergeCell ref="A19:B19"/>
    <mergeCell ref="A38:B38"/>
    <mergeCell ref="F133:F134"/>
    <mergeCell ref="A140:B140"/>
    <mergeCell ref="F74:F75"/>
    <mergeCell ref="A81:B81"/>
    <mergeCell ref="A132:E132"/>
    <mergeCell ref="A133:B134"/>
    <mergeCell ref="C133:C134"/>
    <mergeCell ref="D133:D134"/>
    <mergeCell ref="D74:D75"/>
    <mergeCell ref="E74:E75"/>
    <mergeCell ref="A162:B163"/>
    <mergeCell ref="C162:C163"/>
    <mergeCell ref="D162:D163"/>
    <mergeCell ref="E162:E163"/>
    <mergeCell ref="A135:B135"/>
    <mergeCell ref="A83:B83"/>
    <mergeCell ref="A109:B109"/>
    <mergeCell ref="A128:B128"/>
    <mergeCell ref="A161:E161"/>
    <mergeCell ref="E133:E134"/>
    <mergeCell ref="F176:F177"/>
    <mergeCell ref="A184:B184"/>
    <mergeCell ref="D176:D177"/>
    <mergeCell ref="E176:E177"/>
    <mergeCell ref="A164:B164"/>
    <mergeCell ref="A168:B168"/>
    <mergeCell ref="A175:E175"/>
    <mergeCell ref="F162:F163"/>
    <mergeCell ref="A185:B185"/>
    <mergeCell ref="A187:B187"/>
    <mergeCell ref="A176:B177"/>
    <mergeCell ref="C176:C177"/>
  </mergeCells>
  <printOptions/>
  <pageMargins left="0.6" right="0.29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171">
      <selection activeCell="F21" sqref="F21"/>
    </sheetView>
  </sheetViews>
  <sheetFormatPr defaultColWidth="9.00390625" defaultRowHeight="12.75"/>
  <cols>
    <col min="1" max="1" width="6.625" style="0" customWidth="1"/>
    <col min="2" max="2" width="41.00390625" style="0" customWidth="1"/>
    <col min="3" max="3" width="12.375" style="0" customWidth="1"/>
    <col min="4" max="4" width="11.75390625" style="0" customWidth="1"/>
    <col min="5" max="5" width="12.75390625" style="0" bestFit="1" customWidth="1"/>
  </cols>
  <sheetData>
    <row r="1" spans="1:6" ht="20.25">
      <c r="A1" s="426" t="s">
        <v>189</v>
      </c>
      <c r="B1" s="426"/>
      <c r="C1" s="426"/>
      <c r="D1" s="426"/>
      <c r="E1" s="426"/>
      <c r="F1" s="1"/>
    </row>
    <row r="2" spans="1:6" ht="15.75">
      <c r="A2" s="437"/>
      <c r="B2" s="437"/>
      <c r="C2" s="437"/>
      <c r="D2" s="437"/>
      <c r="E2" s="437"/>
      <c r="F2" s="2"/>
    </row>
    <row r="3" spans="1:6" ht="12.75">
      <c r="A3" t="s">
        <v>211</v>
      </c>
      <c r="F3" s="81"/>
    </row>
    <row r="4" spans="1:6" ht="12.75">
      <c r="A4" t="s">
        <v>235</v>
      </c>
      <c r="B4" s="91"/>
      <c r="C4" s="91"/>
      <c r="D4" s="91"/>
      <c r="E4" s="91"/>
      <c r="F4" s="81"/>
    </row>
    <row r="5" spans="1:6" ht="12.75">
      <c r="A5" s="81" t="s">
        <v>164</v>
      </c>
      <c r="B5" s="81"/>
      <c r="C5" s="81"/>
      <c r="D5" s="81"/>
      <c r="E5" s="81"/>
      <c r="F5" s="81"/>
    </row>
    <row r="6" spans="5:6" ht="12.75">
      <c r="E6" s="220">
        <v>30.126</v>
      </c>
      <c r="F6" s="15"/>
    </row>
    <row r="7" spans="1:6" ht="18.75" thickBot="1">
      <c r="A7" s="424" t="s">
        <v>0</v>
      </c>
      <c r="B7" s="425"/>
      <c r="C7" s="425"/>
      <c r="D7" s="425"/>
      <c r="E7" s="425"/>
      <c r="F7" s="67"/>
    </row>
    <row r="8" spans="1:6" ht="12.75">
      <c r="A8" s="397" t="s">
        <v>1</v>
      </c>
      <c r="B8" s="398"/>
      <c r="C8" s="389" t="s">
        <v>190</v>
      </c>
      <c r="D8" s="429" t="s">
        <v>226</v>
      </c>
      <c r="E8" s="429" t="s">
        <v>225</v>
      </c>
      <c r="F8" s="433" t="s">
        <v>194</v>
      </c>
    </row>
    <row r="9" spans="1:6" ht="13.5" thickBot="1">
      <c r="A9" s="420"/>
      <c r="B9" s="421"/>
      <c r="C9" s="401"/>
      <c r="D9" s="430"/>
      <c r="E9" s="430"/>
      <c r="F9" s="438"/>
    </row>
    <row r="10" spans="1:6" ht="13.5" thickBot="1">
      <c r="A10" s="422" t="s">
        <v>2</v>
      </c>
      <c r="B10" s="423"/>
      <c r="C10" s="186">
        <f>SUM(C11:C18)</f>
        <v>620562</v>
      </c>
      <c r="D10" s="186">
        <f>SUM(D11:D18)</f>
        <v>620592</v>
      </c>
      <c r="E10" s="186">
        <f>SUM(E11:E18)</f>
        <v>257157</v>
      </c>
      <c r="F10" s="186">
        <f>SUM(F11:F18)</f>
        <v>18695.954592000002</v>
      </c>
    </row>
    <row r="11" spans="1:6" ht="13.5" thickBot="1">
      <c r="A11" s="65">
        <v>111</v>
      </c>
      <c r="B11" s="33" t="s">
        <v>3</v>
      </c>
      <c r="C11" s="192">
        <v>580000</v>
      </c>
      <c r="D11" s="275">
        <v>580000</v>
      </c>
      <c r="E11" s="275">
        <v>233509</v>
      </c>
      <c r="F11" s="268">
        <f>D11*$E$6/1000</f>
        <v>17473.08</v>
      </c>
    </row>
    <row r="12" spans="1:6" ht="12.75">
      <c r="A12" s="116">
        <v>121</v>
      </c>
      <c r="B12" s="28" t="s">
        <v>90</v>
      </c>
      <c r="C12" s="161">
        <v>13200</v>
      </c>
      <c r="D12" s="276">
        <v>13200</v>
      </c>
      <c r="E12" s="276">
        <v>5596</v>
      </c>
      <c r="F12" s="269">
        <f aca="true" t="shared" si="0" ref="F12:F70">D12*$E$6/1000</f>
        <v>397.6632</v>
      </c>
    </row>
    <row r="13" spans="1:6" ht="12.75">
      <c r="A13" s="117">
        <v>121</v>
      </c>
      <c r="B13" s="6" t="s">
        <v>91</v>
      </c>
      <c r="C13" s="157">
        <v>12900</v>
      </c>
      <c r="D13" s="140">
        <v>12900</v>
      </c>
      <c r="E13" s="140">
        <v>8456</v>
      </c>
      <c r="F13" s="270">
        <f t="shared" si="0"/>
        <v>388.6254</v>
      </c>
    </row>
    <row r="14" spans="1:7" ht="13.5" thickBot="1">
      <c r="A14" s="118">
        <v>121</v>
      </c>
      <c r="B14" s="29" t="s">
        <v>4</v>
      </c>
      <c r="C14" s="166">
        <v>72</v>
      </c>
      <c r="D14" s="277">
        <v>72</v>
      </c>
      <c r="E14" s="277">
        <v>68</v>
      </c>
      <c r="F14" s="268">
        <f t="shared" si="0"/>
        <v>2.1690720000000003</v>
      </c>
      <c r="G14" s="195">
        <f>SUM(D12:D14)</f>
        <v>26172</v>
      </c>
    </row>
    <row r="15" spans="1:6" ht="12.75">
      <c r="A15" s="116">
        <v>133</v>
      </c>
      <c r="B15" s="28" t="s">
        <v>5</v>
      </c>
      <c r="C15" s="161">
        <v>480</v>
      </c>
      <c r="D15" s="276">
        <v>480</v>
      </c>
      <c r="E15" s="276">
        <v>475</v>
      </c>
      <c r="F15" s="269">
        <f t="shared" si="0"/>
        <v>14.460480000000002</v>
      </c>
    </row>
    <row r="16" spans="1:6" ht="12.75">
      <c r="A16" s="117">
        <v>133</v>
      </c>
      <c r="B16" s="6" t="s">
        <v>6</v>
      </c>
      <c r="C16" s="157">
        <v>210</v>
      </c>
      <c r="D16" s="298">
        <v>240</v>
      </c>
      <c r="E16" s="140">
        <v>231</v>
      </c>
      <c r="F16" s="270">
        <f t="shared" si="0"/>
        <v>7.230240000000001</v>
      </c>
    </row>
    <row r="17" spans="1:6" ht="12.75">
      <c r="A17" s="117">
        <v>133</v>
      </c>
      <c r="B17" s="6" t="s">
        <v>7</v>
      </c>
      <c r="C17" s="157">
        <v>1700</v>
      </c>
      <c r="D17" s="140">
        <v>1700</v>
      </c>
      <c r="E17" s="140">
        <v>520</v>
      </c>
      <c r="F17" s="270">
        <f t="shared" si="0"/>
        <v>51.214200000000005</v>
      </c>
    </row>
    <row r="18" spans="1:7" ht="13.5" thickBot="1">
      <c r="A18" s="118">
        <v>133</v>
      </c>
      <c r="B18" s="29" t="s">
        <v>8</v>
      </c>
      <c r="C18" s="166">
        <v>12000</v>
      </c>
      <c r="D18" s="277">
        <v>12000</v>
      </c>
      <c r="E18" s="277">
        <v>8302</v>
      </c>
      <c r="F18" s="268">
        <f t="shared" si="0"/>
        <v>361.512</v>
      </c>
      <c r="G18" s="195">
        <f>SUM(D15:D18)</f>
        <v>14420</v>
      </c>
    </row>
    <row r="19" spans="1:6" ht="13.5" thickBot="1">
      <c r="A19" s="422" t="s">
        <v>9</v>
      </c>
      <c r="B19" s="423"/>
      <c r="C19" s="186">
        <f>SUM(C20:C37)</f>
        <v>78883</v>
      </c>
      <c r="D19" s="186">
        <f>SUM(D20:D37)</f>
        <v>82683</v>
      </c>
      <c r="E19" s="186">
        <f>SUM(E20:E37)</f>
        <v>25812</v>
      </c>
      <c r="F19" s="186">
        <f>SUM(F20:F37)</f>
        <v>2490.9080580000004</v>
      </c>
    </row>
    <row r="20" spans="1:6" ht="12.75">
      <c r="A20" s="119">
        <v>212</v>
      </c>
      <c r="B20" s="45" t="s">
        <v>10</v>
      </c>
      <c r="C20" s="176">
        <v>477</v>
      </c>
      <c r="D20" s="278">
        <v>477</v>
      </c>
      <c r="E20" s="278">
        <v>276</v>
      </c>
      <c r="F20" s="270">
        <f t="shared" si="0"/>
        <v>14.370102000000001</v>
      </c>
    </row>
    <row r="21" spans="1:6" ht="12.75">
      <c r="A21" s="116">
        <v>212</v>
      </c>
      <c r="B21" s="28" t="s">
        <v>144</v>
      </c>
      <c r="C21" s="161">
        <v>100</v>
      </c>
      <c r="D21" s="300">
        <v>900</v>
      </c>
      <c r="E21" s="321">
        <v>581</v>
      </c>
      <c r="F21" s="270">
        <f t="shared" si="0"/>
        <v>27.113400000000002</v>
      </c>
    </row>
    <row r="22" spans="1:6" ht="12.75">
      <c r="A22" s="117">
        <v>212</v>
      </c>
      <c r="B22" s="6" t="s">
        <v>11</v>
      </c>
      <c r="C22" s="157">
        <v>3684</v>
      </c>
      <c r="D22" s="140">
        <v>3684</v>
      </c>
      <c r="E22" s="140">
        <v>1483</v>
      </c>
      <c r="F22" s="270">
        <f t="shared" si="0"/>
        <v>110.98418400000001</v>
      </c>
    </row>
    <row r="23" spans="1:7" ht="12.75">
      <c r="A23" s="117">
        <v>212</v>
      </c>
      <c r="B23" s="6" t="s">
        <v>12</v>
      </c>
      <c r="C23" s="157">
        <v>9942</v>
      </c>
      <c r="D23" s="338">
        <v>10042</v>
      </c>
      <c r="E23" s="140">
        <v>4098</v>
      </c>
      <c r="F23" s="270">
        <f t="shared" si="0"/>
        <v>302.52529200000004</v>
      </c>
      <c r="G23" s="66"/>
    </row>
    <row r="24" spans="1:7" ht="13.5" thickBot="1">
      <c r="A24" s="120">
        <v>212</v>
      </c>
      <c r="B24" s="32" t="s">
        <v>163</v>
      </c>
      <c r="C24" s="188">
        <v>20</v>
      </c>
      <c r="D24" s="279">
        <v>20</v>
      </c>
      <c r="E24" s="279">
        <v>0</v>
      </c>
      <c r="F24" s="271">
        <f t="shared" si="0"/>
        <v>0.60252</v>
      </c>
      <c r="G24" s="195">
        <f>SUM(D20:D24)</f>
        <v>15123</v>
      </c>
    </row>
    <row r="25" spans="1:6" ht="13.5" thickBot="1">
      <c r="A25" s="121">
        <v>221</v>
      </c>
      <c r="B25" s="30" t="s">
        <v>13</v>
      </c>
      <c r="C25" s="191">
        <v>9900</v>
      </c>
      <c r="D25" s="280">
        <v>9900</v>
      </c>
      <c r="E25" s="280">
        <v>1000</v>
      </c>
      <c r="F25" s="272">
        <f t="shared" si="0"/>
        <v>298.2474</v>
      </c>
    </row>
    <row r="26" spans="1:6" ht="13.5" thickBot="1">
      <c r="A26" s="121">
        <v>222</v>
      </c>
      <c r="B26" s="30" t="s">
        <v>145</v>
      </c>
      <c r="C26" s="191">
        <v>100</v>
      </c>
      <c r="D26" s="280">
        <v>100</v>
      </c>
      <c r="E26" s="280">
        <v>100</v>
      </c>
      <c r="F26" s="272">
        <f t="shared" si="0"/>
        <v>3.0126</v>
      </c>
    </row>
    <row r="27" spans="1:6" ht="12.75">
      <c r="A27" s="116">
        <v>223</v>
      </c>
      <c r="B27" s="28" t="s">
        <v>227</v>
      </c>
      <c r="C27" s="161">
        <v>500</v>
      </c>
      <c r="D27" s="276">
        <v>500</v>
      </c>
      <c r="E27" s="276">
        <v>392</v>
      </c>
      <c r="F27" s="273">
        <f t="shared" si="0"/>
        <v>15.063</v>
      </c>
    </row>
    <row r="28" spans="1:6" ht="12.75">
      <c r="A28" s="117">
        <v>223</v>
      </c>
      <c r="B28" s="6" t="s">
        <v>92</v>
      </c>
      <c r="C28" s="157">
        <v>810</v>
      </c>
      <c r="D28" s="140">
        <v>810</v>
      </c>
      <c r="E28" s="140">
        <v>150</v>
      </c>
      <c r="F28" s="270">
        <f t="shared" si="0"/>
        <v>24.402060000000002</v>
      </c>
    </row>
    <row r="29" spans="1:6" ht="12.75">
      <c r="A29" s="117">
        <v>223</v>
      </c>
      <c r="B29" s="6" t="s">
        <v>16</v>
      </c>
      <c r="C29" s="157">
        <v>5000</v>
      </c>
      <c r="D29" s="140">
        <v>5000</v>
      </c>
      <c r="E29" s="140">
        <v>3080</v>
      </c>
      <c r="F29" s="270">
        <f t="shared" si="0"/>
        <v>150.63</v>
      </c>
    </row>
    <row r="30" spans="1:6" ht="12.75">
      <c r="A30" s="117">
        <v>223</v>
      </c>
      <c r="B30" s="6" t="s">
        <v>161</v>
      </c>
      <c r="C30" s="157">
        <v>10100</v>
      </c>
      <c r="D30" s="338">
        <v>11000</v>
      </c>
      <c r="E30" s="140">
        <v>567</v>
      </c>
      <c r="F30" s="270">
        <f t="shared" si="0"/>
        <v>331.386</v>
      </c>
    </row>
    <row r="31" spans="1:6" ht="12.75">
      <c r="A31" s="117">
        <v>223</v>
      </c>
      <c r="B31" s="6" t="s">
        <v>93</v>
      </c>
      <c r="C31" s="157">
        <v>1500</v>
      </c>
      <c r="D31" s="140">
        <v>1500</v>
      </c>
      <c r="E31" s="140">
        <v>608</v>
      </c>
      <c r="F31" s="270">
        <f t="shared" si="0"/>
        <v>45.189</v>
      </c>
    </row>
    <row r="32" spans="1:6" ht="12.75">
      <c r="A32" s="117">
        <v>223</v>
      </c>
      <c r="B32" s="6" t="s">
        <v>15</v>
      </c>
      <c r="C32" s="157">
        <v>650</v>
      </c>
      <c r="D32" s="140">
        <v>650</v>
      </c>
      <c r="E32" s="140">
        <v>265</v>
      </c>
      <c r="F32" s="270">
        <f t="shared" si="0"/>
        <v>19.5819</v>
      </c>
    </row>
    <row r="33" spans="1:6" ht="12.75">
      <c r="A33" s="117">
        <v>223</v>
      </c>
      <c r="B33" s="6" t="s">
        <v>176</v>
      </c>
      <c r="C33" s="157">
        <v>17400</v>
      </c>
      <c r="D33" s="298">
        <v>19400</v>
      </c>
      <c r="E33" s="322">
        <v>8207</v>
      </c>
      <c r="F33" s="270">
        <f t="shared" si="0"/>
        <v>584.4444</v>
      </c>
    </row>
    <row r="34" spans="1:6" ht="12.75">
      <c r="A34" s="117">
        <v>223</v>
      </c>
      <c r="B34" s="6" t="s">
        <v>94</v>
      </c>
      <c r="C34" s="157">
        <v>6600</v>
      </c>
      <c r="D34" s="140">
        <v>6600</v>
      </c>
      <c r="E34" s="140">
        <v>2614</v>
      </c>
      <c r="F34" s="270">
        <f t="shared" si="0"/>
        <v>198.8316</v>
      </c>
    </row>
    <row r="35" spans="1:6" ht="12.75">
      <c r="A35" s="117">
        <v>223</v>
      </c>
      <c r="B35" s="6" t="s">
        <v>95</v>
      </c>
      <c r="C35" s="157">
        <v>1000</v>
      </c>
      <c r="D35" s="140">
        <v>1000</v>
      </c>
      <c r="E35" s="140">
        <v>453</v>
      </c>
      <c r="F35" s="270">
        <f t="shared" si="0"/>
        <v>30.126</v>
      </c>
    </row>
    <row r="36" spans="1:6" ht="12.75">
      <c r="A36" s="117">
        <v>223</v>
      </c>
      <c r="B36" s="6" t="s">
        <v>228</v>
      </c>
      <c r="C36" s="157">
        <v>11000</v>
      </c>
      <c r="D36" s="140">
        <v>11000</v>
      </c>
      <c r="E36" s="140">
        <v>1938</v>
      </c>
      <c r="F36" s="270">
        <f>D36*$E$6/1000</f>
        <v>331.386</v>
      </c>
    </row>
    <row r="37" spans="1:6" ht="13.5" thickBot="1">
      <c r="A37" s="118">
        <v>223</v>
      </c>
      <c r="B37" s="29" t="s">
        <v>17</v>
      </c>
      <c r="C37" s="166">
        <v>100</v>
      </c>
      <c r="D37" s="277">
        <v>100</v>
      </c>
      <c r="E37" s="277">
        <v>0</v>
      </c>
      <c r="F37" s="270">
        <f t="shared" si="0"/>
        <v>3.0126</v>
      </c>
    </row>
    <row r="38" spans="1:7" ht="13.5" thickBot="1">
      <c r="A38" s="422" t="s">
        <v>18</v>
      </c>
      <c r="B38" s="423"/>
      <c r="C38" s="186">
        <f>SUM(C39)</f>
        <v>1100</v>
      </c>
      <c r="D38" s="186">
        <f>SUM(D39)</f>
        <v>1100</v>
      </c>
      <c r="E38" s="186">
        <f>SUM(E39)</f>
        <v>623</v>
      </c>
      <c r="F38" s="186">
        <f>SUM(F39)</f>
        <v>33.1386</v>
      </c>
      <c r="G38" s="195">
        <f>SUM(D27:D37)</f>
        <v>57560</v>
      </c>
    </row>
    <row r="39" spans="1:6" ht="13.5" thickBot="1">
      <c r="A39" s="205">
        <v>240</v>
      </c>
      <c r="B39" s="32" t="s">
        <v>19</v>
      </c>
      <c r="C39" s="188">
        <v>1100</v>
      </c>
      <c r="D39" s="279">
        <v>1100</v>
      </c>
      <c r="E39" s="279">
        <v>623</v>
      </c>
      <c r="F39" s="270">
        <f t="shared" si="0"/>
        <v>33.1386</v>
      </c>
    </row>
    <row r="40" spans="1:6" ht="13.5" thickBot="1">
      <c r="A40" s="422" t="s">
        <v>14</v>
      </c>
      <c r="B40" s="423"/>
      <c r="C40" s="186">
        <f>SUM(C41:C52)</f>
        <v>21640</v>
      </c>
      <c r="D40" s="186">
        <f>SUM(D41:D52)</f>
        <v>35004</v>
      </c>
      <c r="E40" s="186">
        <f>SUM(E41:E52)</f>
        <v>4757</v>
      </c>
      <c r="F40" s="186">
        <f>SUM(F41:F52)</f>
        <v>1054.530504</v>
      </c>
    </row>
    <row r="41" spans="1:6" ht="12.75">
      <c r="A41" s="123">
        <v>292</v>
      </c>
      <c r="B41" s="31" t="s">
        <v>157</v>
      </c>
      <c r="C41" s="162">
        <v>0</v>
      </c>
      <c r="D41" s="317">
        <v>200</v>
      </c>
      <c r="E41" s="211">
        <v>142</v>
      </c>
      <c r="F41" s="270">
        <f t="shared" si="0"/>
        <v>6.0252</v>
      </c>
    </row>
    <row r="42" spans="1:7" ht="12.75">
      <c r="A42" s="123">
        <v>292</v>
      </c>
      <c r="B42" s="31" t="s">
        <v>101</v>
      </c>
      <c r="C42" s="162">
        <v>400</v>
      </c>
      <c r="D42" s="211">
        <v>400</v>
      </c>
      <c r="E42" s="211">
        <v>82</v>
      </c>
      <c r="F42" s="270">
        <f t="shared" si="0"/>
        <v>12.0504</v>
      </c>
      <c r="G42" s="15"/>
    </row>
    <row r="43" spans="1:6" ht="12.75">
      <c r="A43" s="124">
        <v>292</v>
      </c>
      <c r="B43" s="7" t="s">
        <v>162</v>
      </c>
      <c r="C43" s="178">
        <v>0</v>
      </c>
      <c r="D43" s="318">
        <f>106+1008</f>
        <v>1114</v>
      </c>
      <c r="E43" s="153">
        <f>106+1008</f>
        <v>1114</v>
      </c>
      <c r="F43" s="270">
        <f t="shared" si="0"/>
        <v>33.560364</v>
      </c>
    </row>
    <row r="44" spans="1:6" ht="12.75">
      <c r="A44" s="124">
        <v>292</v>
      </c>
      <c r="B44" s="6" t="s">
        <v>98</v>
      </c>
      <c r="C44" s="189">
        <v>140</v>
      </c>
      <c r="D44" s="281">
        <v>140</v>
      </c>
      <c r="E44" s="281">
        <v>0</v>
      </c>
      <c r="F44" s="270">
        <f t="shared" si="0"/>
        <v>4.21764</v>
      </c>
    </row>
    <row r="45" spans="1:6" ht="12.75">
      <c r="A45" s="124">
        <v>292</v>
      </c>
      <c r="B45" s="7" t="s">
        <v>165</v>
      </c>
      <c r="C45" s="178">
        <v>6800</v>
      </c>
      <c r="D45" s="153">
        <v>6800</v>
      </c>
      <c r="E45" s="153">
        <f>971+451</f>
        <v>1422</v>
      </c>
      <c r="F45" s="270">
        <f t="shared" si="0"/>
        <v>204.85680000000002</v>
      </c>
    </row>
    <row r="46" spans="1:6" ht="12.75">
      <c r="A46" s="124">
        <v>292</v>
      </c>
      <c r="B46" s="7" t="s">
        <v>146</v>
      </c>
      <c r="C46" s="178">
        <v>200</v>
      </c>
      <c r="D46" s="153">
        <v>200</v>
      </c>
      <c r="E46" s="153">
        <v>0</v>
      </c>
      <c r="F46" s="270">
        <f t="shared" si="0"/>
        <v>6.0252</v>
      </c>
    </row>
    <row r="47" spans="1:6" ht="12.75">
      <c r="A47" s="124">
        <v>292</v>
      </c>
      <c r="B47" s="7" t="s">
        <v>148</v>
      </c>
      <c r="C47" s="178">
        <v>0</v>
      </c>
      <c r="D47" s="153">
        <v>0</v>
      </c>
      <c r="E47" s="153">
        <v>0</v>
      </c>
      <c r="F47" s="270">
        <f t="shared" si="0"/>
        <v>0</v>
      </c>
    </row>
    <row r="48" spans="1:6" ht="12.75">
      <c r="A48" s="124">
        <v>292</v>
      </c>
      <c r="B48" s="7" t="s">
        <v>234</v>
      </c>
      <c r="C48" s="178">
        <v>0</v>
      </c>
      <c r="D48" s="318">
        <v>12000</v>
      </c>
      <c r="E48" s="153"/>
      <c r="F48" s="270">
        <f t="shared" si="0"/>
        <v>361.512</v>
      </c>
    </row>
    <row r="49" spans="1:6" ht="12.75">
      <c r="A49" s="124">
        <v>292</v>
      </c>
      <c r="B49" s="6" t="s">
        <v>102</v>
      </c>
      <c r="C49" s="189">
        <v>12000</v>
      </c>
      <c r="D49" s="281">
        <v>12000</v>
      </c>
      <c r="E49" s="281">
        <v>1557</v>
      </c>
      <c r="F49" s="270">
        <f t="shared" si="0"/>
        <v>361.512</v>
      </c>
    </row>
    <row r="50" spans="1:6" ht="12.75">
      <c r="A50" s="124">
        <v>292</v>
      </c>
      <c r="B50" s="6" t="s">
        <v>99</v>
      </c>
      <c r="C50" s="189">
        <v>2000</v>
      </c>
      <c r="D50" s="281">
        <v>2000</v>
      </c>
      <c r="E50" s="281">
        <f>378+35</f>
        <v>413</v>
      </c>
      <c r="F50" s="270">
        <f t="shared" si="0"/>
        <v>60.252</v>
      </c>
    </row>
    <row r="51" spans="1:6" ht="12.75">
      <c r="A51" s="124">
        <v>292</v>
      </c>
      <c r="B51" s="6" t="s">
        <v>100</v>
      </c>
      <c r="C51" s="189">
        <v>100</v>
      </c>
      <c r="D51" s="281">
        <v>100</v>
      </c>
      <c r="E51" s="281">
        <v>20</v>
      </c>
      <c r="F51" s="270">
        <f t="shared" si="0"/>
        <v>3.0126</v>
      </c>
    </row>
    <row r="52" spans="1:6" ht="13.5" thickBot="1">
      <c r="A52" s="125">
        <v>292</v>
      </c>
      <c r="B52" s="32" t="s">
        <v>149</v>
      </c>
      <c r="C52" s="190">
        <v>0</v>
      </c>
      <c r="D52" s="319">
        <v>50</v>
      </c>
      <c r="E52" s="323">
        <v>7</v>
      </c>
      <c r="F52" s="270">
        <f t="shared" si="0"/>
        <v>1.5063</v>
      </c>
    </row>
    <row r="53" spans="1:6" ht="13.5" thickBot="1">
      <c r="A53" s="57" t="s">
        <v>20</v>
      </c>
      <c r="B53" s="58"/>
      <c r="C53" s="182">
        <f>SUM(C54:C68)</f>
        <v>327540</v>
      </c>
      <c r="D53" s="182">
        <f>SUM(D54:D68)</f>
        <v>378957</v>
      </c>
      <c r="E53" s="182">
        <f>SUM(E54:E68)</f>
        <v>171739</v>
      </c>
      <c r="F53" s="182">
        <f>SUM(F54:F68)</f>
        <v>11416.458582000001</v>
      </c>
    </row>
    <row r="54" spans="1:6" ht="12.75">
      <c r="A54" s="126">
        <v>311</v>
      </c>
      <c r="B54" s="28" t="s">
        <v>103</v>
      </c>
      <c r="C54" s="161">
        <v>0</v>
      </c>
      <c r="D54" s="339">
        <v>13500</v>
      </c>
      <c r="E54" s="321">
        <v>3000</v>
      </c>
      <c r="F54" s="270">
        <f t="shared" si="0"/>
        <v>406.701</v>
      </c>
    </row>
    <row r="55" spans="1:6" ht="12.75">
      <c r="A55" s="127">
        <v>312</v>
      </c>
      <c r="B55" s="6" t="s">
        <v>192</v>
      </c>
      <c r="C55" s="157">
        <v>3600</v>
      </c>
      <c r="D55" s="298">
        <v>3620</v>
      </c>
      <c r="E55" s="322">
        <v>1141</v>
      </c>
      <c r="F55" s="270">
        <f t="shared" si="0"/>
        <v>109.05612</v>
      </c>
    </row>
    <row r="56" spans="1:6" ht="12.75">
      <c r="A56" s="127">
        <v>312</v>
      </c>
      <c r="B56" s="5" t="s">
        <v>21</v>
      </c>
      <c r="C56" s="164">
        <v>3000</v>
      </c>
      <c r="D56" s="304">
        <v>3074</v>
      </c>
      <c r="E56" s="324">
        <v>797</v>
      </c>
      <c r="F56" s="270">
        <f t="shared" si="0"/>
        <v>92.607324</v>
      </c>
    </row>
    <row r="57" spans="1:6" ht="12.75">
      <c r="A57" s="127">
        <v>312</v>
      </c>
      <c r="B57" s="8" t="s">
        <v>105</v>
      </c>
      <c r="C57" s="184">
        <f>280000+4800+4000</f>
        <v>288800</v>
      </c>
      <c r="D57" s="310">
        <f>290583+6300+5085</f>
        <v>301968</v>
      </c>
      <c r="E57" s="325">
        <f>128387-990</f>
        <v>127397</v>
      </c>
      <c r="F57" s="270">
        <f t="shared" si="0"/>
        <v>9097.087968</v>
      </c>
    </row>
    <row r="58" spans="1:6" ht="12.75">
      <c r="A58" s="127">
        <v>312</v>
      </c>
      <c r="B58" s="221" t="s">
        <v>196</v>
      </c>
      <c r="C58" s="198">
        <v>1700</v>
      </c>
      <c r="D58" s="304">
        <v>1978</v>
      </c>
      <c r="E58" s="326">
        <v>990</v>
      </c>
      <c r="F58" s="270">
        <f t="shared" si="0"/>
        <v>59.589228000000006</v>
      </c>
    </row>
    <row r="59" spans="1:6" ht="12.75">
      <c r="A59" s="127">
        <v>312</v>
      </c>
      <c r="B59" s="6" t="s">
        <v>221</v>
      </c>
      <c r="C59" s="157">
        <v>0</v>
      </c>
      <c r="D59" s="298">
        <v>2700</v>
      </c>
      <c r="E59" s="327">
        <v>2700</v>
      </c>
      <c r="F59" s="270">
        <f>D59*$E$6/1000</f>
        <v>81.3402</v>
      </c>
    </row>
    <row r="60" spans="1:6" ht="12.75">
      <c r="A60" s="127">
        <v>312</v>
      </c>
      <c r="B60" s="221" t="s">
        <v>213</v>
      </c>
      <c r="C60" s="198">
        <v>0</v>
      </c>
      <c r="D60" s="304">
        <v>276</v>
      </c>
      <c r="E60" s="326">
        <v>276</v>
      </c>
      <c r="F60" s="270">
        <f>D60*$E$6/1000</f>
        <v>8.314776</v>
      </c>
    </row>
    <row r="61" spans="1:6" ht="12.75">
      <c r="A61" s="127">
        <v>312</v>
      </c>
      <c r="B61" s="5" t="s">
        <v>229</v>
      </c>
      <c r="C61" s="198">
        <v>0</v>
      </c>
      <c r="D61" s="304">
        <v>18171</v>
      </c>
      <c r="E61" s="326">
        <v>18171</v>
      </c>
      <c r="F61" s="270">
        <f t="shared" si="0"/>
        <v>547.419546</v>
      </c>
    </row>
    <row r="62" spans="1:6" ht="12.75">
      <c r="A62" s="127">
        <v>312</v>
      </c>
      <c r="B62" s="6" t="s">
        <v>191</v>
      </c>
      <c r="C62" s="157">
        <v>4900</v>
      </c>
      <c r="D62" s="140">
        <v>4900</v>
      </c>
      <c r="E62" s="327">
        <v>4360</v>
      </c>
      <c r="F62" s="270">
        <f t="shared" si="0"/>
        <v>147.6174</v>
      </c>
    </row>
    <row r="63" spans="1:6" ht="12.75">
      <c r="A63" s="127">
        <v>312</v>
      </c>
      <c r="B63" s="6" t="s">
        <v>22</v>
      </c>
      <c r="C63" s="157">
        <v>1300</v>
      </c>
      <c r="D63" s="140">
        <v>1300</v>
      </c>
      <c r="E63" s="327">
        <v>327</v>
      </c>
      <c r="F63" s="270">
        <f t="shared" si="0"/>
        <v>39.1638</v>
      </c>
    </row>
    <row r="64" spans="1:6" ht="12.75">
      <c r="A64" s="127">
        <v>312</v>
      </c>
      <c r="B64" s="221" t="s">
        <v>214</v>
      </c>
      <c r="C64" s="198">
        <v>0</v>
      </c>
      <c r="D64" s="304">
        <v>20</v>
      </c>
      <c r="E64" s="326">
        <v>8</v>
      </c>
      <c r="F64" s="270">
        <f>D64*$E$6/1000</f>
        <v>0.60252</v>
      </c>
    </row>
    <row r="65" spans="1:6" ht="12.75">
      <c r="A65" s="127">
        <v>312</v>
      </c>
      <c r="B65" s="9" t="s">
        <v>230</v>
      </c>
      <c r="C65" s="163">
        <v>2500</v>
      </c>
      <c r="D65" s="311">
        <f>3600</f>
        <v>3600</v>
      </c>
      <c r="E65" s="327">
        <v>466</v>
      </c>
      <c r="F65" s="270">
        <f t="shared" si="0"/>
        <v>108.45360000000001</v>
      </c>
    </row>
    <row r="66" spans="1:6" ht="12.75">
      <c r="A66" s="127">
        <v>312</v>
      </c>
      <c r="B66" s="9" t="s">
        <v>158</v>
      </c>
      <c r="C66" s="163">
        <v>8620</v>
      </c>
      <c r="D66" s="138">
        <v>8620</v>
      </c>
      <c r="E66" s="327">
        <v>4491</v>
      </c>
      <c r="F66" s="270">
        <f t="shared" si="0"/>
        <v>259.68612</v>
      </c>
    </row>
    <row r="67" spans="1:6" ht="12.75">
      <c r="A67" s="127">
        <v>312</v>
      </c>
      <c r="B67" s="9" t="s">
        <v>159</v>
      </c>
      <c r="C67" s="163">
        <v>13120</v>
      </c>
      <c r="D67" s="311">
        <v>15230</v>
      </c>
      <c r="E67" s="327">
        <v>7615</v>
      </c>
      <c r="F67" s="270">
        <f>D67*$E$6/1000</f>
        <v>458.81898000000007</v>
      </c>
    </row>
    <row r="68" spans="1:6" ht="13.5" thickBot="1">
      <c r="A68" s="130">
        <v>312</v>
      </c>
      <c r="B68" s="37" t="s">
        <v>160</v>
      </c>
      <c r="C68" s="174">
        <v>0</v>
      </c>
      <c r="D68" s="282">
        <v>0</v>
      </c>
      <c r="E68" s="328">
        <v>0</v>
      </c>
      <c r="F68" s="274">
        <f t="shared" si="0"/>
        <v>0</v>
      </c>
    </row>
    <row r="69" spans="1:6" ht="16.5" thickBot="1">
      <c r="A69" s="60" t="s">
        <v>107</v>
      </c>
      <c r="B69" s="216"/>
      <c r="C69" s="217">
        <f>SUM(C10+C19+C38+C40+C53)</f>
        <v>1049725</v>
      </c>
      <c r="D69" s="217">
        <f>SUM(D10+D19+D38+D40+D53)</f>
        <v>1118336</v>
      </c>
      <c r="E69" s="217">
        <f>SUM(E10+E19+E38+E40+E53)</f>
        <v>460088</v>
      </c>
      <c r="F69" s="217">
        <f>SUM(F10+F19+F38+F40+F53)</f>
        <v>33690.990336</v>
      </c>
    </row>
    <row r="70" spans="1:6" ht="16.5" thickBot="1">
      <c r="A70" s="213">
        <v>236</v>
      </c>
      <c r="B70" s="214" t="s">
        <v>108</v>
      </c>
      <c r="C70" s="215">
        <v>1674</v>
      </c>
      <c r="D70" s="283">
        <v>1674</v>
      </c>
      <c r="E70" s="283">
        <v>0</v>
      </c>
      <c r="F70" s="273">
        <f t="shared" si="0"/>
        <v>50.430924</v>
      </c>
    </row>
    <row r="71" spans="1:6" ht="16.5" thickBot="1">
      <c r="A71" s="60" t="s">
        <v>23</v>
      </c>
      <c r="B71" s="58"/>
      <c r="C71" s="185">
        <f>SUM(C69:C70)</f>
        <v>1051399</v>
      </c>
      <c r="D71" s="185">
        <f>SUM(D69:D70)</f>
        <v>1120010</v>
      </c>
      <c r="E71" s="185">
        <f>SUM(E69:E70)</f>
        <v>460088</v>
      </c>
      <c r="F71" s="185">
        <f>SUM(F69:F70)</f>
        <v>33741.42126</v>
      </c>
    </row>
    <row r="72" spans="1:5" ht="15.75">
      <c r="A72" s="10"/>
      <c r="B72" s="16"/>
      <c r="C72" s="16"/>
      <c r="D72" s="16"/>
      <c r="E72" s="89"/>
    </row>
    <row r="73" spans="1:5" ht="18.75" thickBot="1">
      <c r="A73" s="418" t="s">
        <v>24</v>
      </c>
      <c r="B73" s="419"/>
      <c r="C73" s="419"/>
      <c r="D73" s="419"/>
      <c r="E73" s="419"/>
    </row>
    <row r="74" spans="1:7" ht="12.75" customHeight="1">
      <c r="A74" s="397" t="s">
        <v>1</v>
      </c>
      <c r="B74" s="398"/>
      <c r="C74" s="389" t="s">
        <v>190</v>
      </c>
      <c r="D74" s="429" t="s">
        <v>226</v>
      </c>
      <c r="E74" s="429" t="s">
        <v>225</v>
      </c>
      <c r="F74" s="389" t="s">
        <v>194</v>
      </c>
      <c r="G74" s="3"/>
    </row>
    <row r="75" spans="1:6" ht="13.5" thickBot="1">
      <c r="A75" s="420"/>
      <c r="B75" s="421"/>
      <c r="C75" s="401"/>
      <c r="D75" s="430"/>
      <c r="E75" s="430"/>
      <c r="F75" s="401"/>
    </row>
    <row r="76" spans="1:6" ht="13.5" thickBot="1">
      <c r="A76" s="35" t="s">
        <v>25</v>
      </c>
      <c r="B76" s="36"/>
      <c r="C76" s="158">
        <f>SUM(C77:C80)</f>
        <v>164600</v>
      </c>
      <c r="D76" s="158">
        <f>SUM(D77:D80)</f>
        <v>167320</v>
      </c>
      <c r="E76" s="158">
        <f>SUM(E77:E80)</f>
        <v>70230</v>
      </c>
      <c r="F76" s="158">
        <f>SUM(F77:F80)</f>
        <v>5040.68232</v>
      </c>
    </row>
    <row r="77" spans="1:6" ht="12.75">
      <c r="A77" s="49" t="s">
        <v>26</v>
      </c>
      <c r="B77" s="34" t="s">
        <v>109</v>
      </c>
      <c r="C77" s="160">
        <v>145000</v>
      </c>
      <c r="D77" s="137">
        <v>145000</v>
      </c>
      <c r="E77" s="137">
        <v>59025</v>
      </c>
      <c r="F77" s="270">
        <f aca="true" t="shared" si="1" ref="F77:F89">D77*$E$6/1000</f>
        <v>4368.27</v>
      </c>
    </row>
    <row r="78" spans="1:6" ht="12.75">
      <c r="A78" s="50" t="s">
        <v>27</v>
      </c>
      <c r="B78" s="9" t="s">
        <v>28</v>
      </c>
      <c r="C78" s="163">
        <v>16000</v>
      </c>
      <c r="D78" s="138">
        <v>16000</v>
      </c>
      <c r="E78" s="138">
        <v>9649</v>
      </c>
      <c r="F78" s="270">
        <f t="shared" si="1"/>
        <v>482.016</v>
      </c>
    </row>
    <row r="79" spans="1:6" ht="12.75">
      <c r="A79" s="95" t="s">
        <v>29</v>
      </c>
      <c r="B79" s="9" t="s">
        <v>218</v>
      </c>
      <c r="C79" s="163">
        <v>3600</v>
      </c>
      <c r="D79" s="311">
        <v>3620</v>
      </c>
      <c r="E79" s="138">
        <v>1312</v>
      </c>
      <c r="F79" s="270">
        <f t="shared" si="1"/>
        <v>109.05612</v>
      </c>
    </row>
    <row r="80" spans="1:6" ht="13.5" thickBot="1">
      <c r="A80" s="312" t="s">
        <v>219</v>
      </c>
      <c r="B80" s="313" t="s">
        <v>220</v>
      </c>
      <c r="C80" s="228">
        <v>0</v>
      </c>
      <c r="D80" s="314">
        <v>2700</v>
      </c>
      <c r="E80" s="296">
        <v>244</v>
      </c>
      <c r="F80" s="270">
        <f t="shared" si="1"/>
        <v>81.3402</v>
      </c>
    </row>
    <row r="81" spans="1:6" ht="13.5" thickBot="1">
      <c r="A81" s="414" t="s">
        <v>30</v>
      </c>
      <c r="B81" s="415"/>
      <c r="C81" s="158">
        <f>SUM(C82)</f>
        <v>140</v>
      </c>
      <c r="D81" s="159">
        <f>SUM(D82)</f>
        <v>140</v>
      </c>
      <c r="E81" s="159">
        <f>SUM(E82)</f>
        <v>0</v>
      </c>
      <c r="F81" s="284">
        <f>F82</f>
        <v>4.21764</v>
      </c>
    </row>
    <row r="82" spans="1:6" ht="13.5" thickBot="1">
      <c r="A82" s="62" t="s">
        <v>31</v>
      </c>
      <c r="B82" s="16" t="s">
        <v>111</v>
      </c>
      <c r="C82" s="180">
        <v>140</v>
      </c>
      <c r="D82" s="289">
        <v>140</v>
      </c>
      <c r="E82" s="289">
        <v>0</v>
      </c>
      <c r="F82" s="270">
        <f t="shared" si="1"/>
        <v>4.21764</v>
      </c>
    </row>
    <row r="83" spans="1:6" ht="13.5" thickBot="1">
      <c r="A83" s="414" t="s">
        <v>32</v>
      </c>
      <c r="B83" s="415"/>
      <c r="C83" s="177">
        <f>SUM(C84)</f>
        <v>4500</v>
      </c>
      <c r="D83" s="159">
        <f>SUM(D84)</f>
        <v>4500</v>
      </c>
      <c r="E83" s="159">
        <f>SUM(E84)</f>
        <v>1903</v>
      </c>
      <c r="F83" s="284">
        <f>F84</f>
        <v>135.567</v>
      </c>
    </row>
    <row r="84" spans="1:6" ht="13.5" thickBot="1">
      <c r="A84" s="113" t="s">
        <v>33</v>
      </c>
      <c r="B84" s="38" t="s">
        <v>115</v>
      </c>
      <c r="C84" s="181">
        <v>4500</v>
      </c>
      <c r="D84" s="207">
        <v>4500</v>
      </c>
      <c r="E84" s="207">
        <v>1903</v>
      </c>
      <c r="F84" s="270">
        <f t="shared" si="1"/>
        <v>135.567</v>
      </c>
    </row>
    <row r="85" spans="1:6" ht="13.5" thickBot="1">
      <c r="A85" s="35" t="s">
        <v>34</v>
      </c>
      <c r="B85" s="39"/>
      <c r="C85" s="158">
        <f>SUM(C86:C89)</f>
        <v>126500</v>
      </c>
      <c r="D85" s="159">
        <f>SUM(D86:D89)</f>
        <v>124700</v>
      </c>
      <c r="E85" s="159">
        <f>SUM(E86:E89)</f>
        <v>37756</v>
      </c>
      <c r="F85" s="284">
        <f>SUM(F86:F89)</f>
        <v>3756.7122000000004</v>
      </c>
    </row>
    <row r="86" spans="1:6" ht="12.75">
      <c r="A86" s="114" t="s">
        <v>35</v>
      </c>
      <c r="B86" s="31" t="s">
        <v>112</v>
      </c>
      <c r="C86" s="162">
        <v>2200</v>
      </c>
      <c r="D86" s="211">
        <v>2200</v>
      </c>
      <c r="E86" s="211">
        <v>451</v>
      </c>
      <c r="F86" s="270">
        <f t="shared" si="1"/>
        <v>66.2772</v>
      </c>
    </row>
    <row r="87" spans="1:6" ht="12.75">
      <c r="A87" s="95" t="s">
        <v>36</v>
      </c>
      <c r="B87" s="9" t="s">
        <v>110</v>
      </c>
      <c r="C87" s="163">
        <v>5000</v>
      </c>
      <c r="D87" s="138">
        <v>5000</v>
      </c>
      <c r="E87" s="138">
        <v>1391</v>
      </c>
      <c r="F87" s="270">
        <f t="shared" si="1"/>
        <v>150.63</v>
      </c>
    </row>
    <row r="88" spans="1:6" ht="12.75">
      <c r="A88" s="95" t="s">
        <v>37</v>
      </c>
      <c r="B88" s="9" t="s">
        <v>116</v>
      </c>
      <c r="C88" s="193">
        <v>4300</v>
      </c>
      <c r="D88" s="141">
        <v>4300</v>
      </c>
      <c r="E88" s="141">
        <v>1621</v>
      </c>
      <c r="F88" s="270">
        <f t="shared" si="1"/>
        <v>129.5418</v>
      </c>
    </row>
    <row r="89" spans="1:6" ht="13.5" thickBot="1">
      <c r="A89" s="111" t="s">
        <v>38</v>
      </c>
      <c r="B89" s="37" t="s">
        <v>117</v>
      </c>
      <c r="C89" s="230">
        <v>115000</v>
      </c>
      <c r="D89" s="316">
        <v>113200</v>
      </c>
      <c r="E89" s="333">
        <v>34293</v>
      </c>
      <c r="F89" s="270">
        <f t="shared" si="1"/>
        <v>3410.2632000000003</v>
      </c>
    </row>
    <row r="90" spans="1:6" ht="13.5" thickBot="1">
      <c r="A90" s="35" t="s">
        <v>39</v>
      </c>
      <c r="B90" s="36"/>
      <c r="C90" s="158">
        <f>SUM(C91:C92)</f>
        <v>25000</v>
      </c>
      <c r="D90" s="159">
        <f>SUM(D91:D92)</f>
        <v>25000</v>
      </c>
      <c r="E90" s="159">
        <f>SUM(E91:E92)</f>
        <v>7678</v>
      </c>
      <c r="F90" s="284">
        <f>SUM(F91:F92)</f>
        <v>753.15</v>
      </c>
    </row>
    <row r="91" spans="1:6" ht="12.75">
      <c r="A91" s="112" t="s">
        <v>40</v>
      </c>
      <c r="B91" s="44" t="s">
        <v>41</v>
      </c>
      <c r="C91" s="175">
        <v>20500</v>
      </c>
      <c r="D91" s="290">
        <v>20500</v>
      </c>
      <c r="E91" s="290">
        <v>6311</v>
      </c>
      <c r="F91" s="270">
        <f>D91*$E$6/1000</f>
        <v>617.583</v>
      </c>
    </row>
    <row r="92" spans="1:6" ht="13.5" thickBot="1">
      <c r="A92" s="82" t="s">
        <v>42</v>
      </c>
      <c r="B92" s="42" t="s">
        <v>113</v>
      </c>
      <c r="C92" s="165">
        <v>4500</v>
      </c>
      <c r="D92" s="291">
        <v>4500</v>
      </c>
      <c r="E92" s="291">
        <v>1367</v>
      </c>
      <c r="F92" s="270">
        <f>D92*$E$6/1000</f>
        <v>135.567</v>
      </c>
    </row>
    <row r="93" spans="1:6" ht="13.5" thickBot="1">
      <c r="A93" s="35" t="s">
        <v>43</v>
      </c>
      <c r="B93" s="39"/>
      <c r="C93" s="158">
        <f>SUM(C94)</f>
        <v>15000</v>
      </c>
      <c r="D93" s="159">
        <f>SUM(D94)</f>
        <v>15000</v>
      </c>
      <c r="E93" s="159">
        <f>SUM(E94)</f>
        <v>6473</v>
      </c>
      <c r="F93" s="285">
        <f>SUM(F94)</f>
        <v>451.89</v>
      </c>
    </row>
    <row r="94" spans="1:6" ht="13.5" thickBot="1">
      <c r="A94" s="226" t="s">
        <v>44</v>
      </c>
      <c r="B94" s="37" t="s">
        <v>45</v>
      </c>
      <c r="C94" s="174">
        <v>15000</v>
      </c>
      <c r="D94" s="282">
        <v>15000</v>
      </c>
      <c r="E94" s="282">
        <v>6473</v>
      </c>
      <c r="F94" s="270">
        <f>D94*$E$6/1000</f>
        <v>451.89</v>
      </c>
    </row>
    <row r="95" spans="1:6" ht="13.5" thickBot="1">
      <c r="A95" s="43" t="s">
        <v>46</v>
      </c>
      <c r="B95" s="36"/>
      <c r="C95" s="158">
        <f>SUM(C96:C108)</f>
        <v>59200</v>
      </c>
      <c r="D95" s="159">
        <f>SUM(D96:D108)</f>
        <v>80820</v>
      </c>
      <c r="E95" s="159">
        <f>SUM(E96:E108)</f>
        <v>23934</v>
      </c>
      <c r="F95" s="285">
        <f>SUM(F96:F108)</f>
        <v>2434.78332</v>
      </c>
    </row>
    <row r="96" spans="1:6" ht="12.75">
      <c r="A96" s="53" t="s">
        <v>47</v>
      </c>
      <c r="B96" s="34" t="s">
        <v>118</v>
      </c>
      <c r="C96" s="160">
        <v>5000</v>
      </c>
      <c r="D96" s="137">
        <v>5000</v>
      </c>
      <c r="E96" s="137">
        <v>2499</v>
      </c>
      <c r="F96" s="270">
        <f aca="true" t="shared" si="2" ref="F96:F108">D96*$E$6/1000</f>
        <v>150.63</v>
      </c>
    </row>
    <row r="97" spans="1:6" ht="13.5" thickBot="1">
      <c r="A97" s="82" t="s">
        <v>47</v>
      </c>
      <c r="B97" s="42" t="s">
        <v>119</v>
      </c>
      <c r="C97" s="165">
        <v>3000</v>
      </c>
      <c r="D97" s="291">
        <v>3000</v>
      </c>
      <c r="E97" s="291">
        <v>1261</v>
      </c>
      <c r="F97" s="271">
        <f t="shared" si="2"/>
        <v>90.378</v>
      </c>
    </row>
    <row r="98" spans="1:6" ht="12.75">
      <c r="A98" s="53" t="s">
        <v>48</v>
      </c>
      <c r="B98" s="41" t="s">
        <v>120</v>
      </c>
      <c r="C98" s="172">
        <v>16000</v>
      </c>
      <c r="D98" s="292">
        <v>18420</v>
      </c>
      <c r="E98" s="334">
        <v>6468</v>
      </c>
      <c r="F98" s="273">
        <f t="shared" si="2"/>
        <v>554.92092</v>
      </c>
    </row>
    <row r="99" spans="1:6" ht="12.75">
      <c r="A99" s="95" t="s">
        <v>50</v>
      </c>
      <c r="B99" s="40" t="s">
        <v>121</v>
      </c>
      <c r="C99" s="173">
        <v>700</v>
      </c>
      <c r="D99" s="311">
        <v>10700</v>
      </c>
      <c r="E99" s="138">
        <v>194</v>
      </c>
      <c r="F99" s="270">
        <f t="shared" si="2"/>
        <v>322.3482</v>
      </c>
    </row>
    <row r="100" spans="1:6" ht="13.5" thickBot="1">
      <c r="A100" s="82" t="s">
        <v>51</v>
      </c>
      <c r="B100" s="42" t="s">
        <v>122</v>
      </c>
      <c r="C100" s="165">
        <v>2000</v>
      </c>
      <c r="D100" s="343">
        <v>3000</v>
      </c>
      <c r="E100" s="291">
        <v>1976</v>
      </c>
      <c r="F100" s="271">
        <f t="shared" si="2"/>
        <v>90.378</v>
      </c>
    </row>
    <row r="101" spans="1:6" ht="12.75">
      <c r="A101" s="95" t="s">
        <v>52</v>
      </c>
      <c r="B101" s="9" t="s">
        <v>187</v>
      </c>
      <c r="C101" s="163">
        <v>1600</v>
      </c>
      <c r="D101" s="311">
        <f>1600+700</f>
        <v>2300</v>
      </c>
      <c r="E101" s="138">
        <v>1201</v>
      </c>
      <c r="F101" s="273">
        <f t="shared" si="2"/>
        <v>69.2898</v>
      </c>
    </row>
    <row r="102" spans="1:6" ht="12.75">
      <c r="A102" s="95" t="s">
        <v>52</v>
      </c>
      <c r="B102" s="9" t="s">
        <v>152</v>
      </c>
      <c r="C102" s="163">
        <v>2000</v>
      </c>
      <c r="D102" s="341">
        <v>3300</v>
      </c>
      <c r="E102" s="138">
        <v>3240</v>
      </c>
      <c r="F102" s="270">
        <f t="shared" si="2"/>
        <v>99.4158</v>
      </c>
    </row>
    <row r="103" spans="1:6" ht="12.75">
      <c r="A103" s="95" t="s">
        <v>52</v>
      </c>
      <c r="B103" s="9" t="s">
        <v>49</v>
      </c>
      <c r="C103" s="163">
        <v>7000</v>
      </c>
      <c r="D103" s="341">
        <v>13000</v>
      </c>
      <c r="E103" s="138">
        <v>0</v>
      </c>
      <c r="F103" s="270">
        <f t="shared" si="2"/>
        <v>391.638</v>
      </c>
    </row>
    <row r="104" spans="1:6" ht="12.75">
      <c r="A104" s="111" t="s">
        <v>52</v>
      </c>
      <c r="B104" s="37" t="s">
        <v>175</v>
      </c>
      <c r="C104" s="174">
        <v>0</v>
      </c>
      <c r="D104" s="342">
        <v>0</v>
      </c>
      <c r="E104" s="282">
        <v>0</v>
      </c>
      <c r="F104" s="270">
        <f t="shared" si="2"/>
        <v>0</v>
      </c>
    </row>
    <row r="105" spans="1:6" ht="13.5" thickBot="1">
      <c r="A105" s="82" t="s">
        <v>52</v>
      </c>
      <c r="B105" s="42" t="s">
        <v>123</v>
      </c>
      <c r="C105" s="165">
        <v>10000</v>
      </c>
      <c r="D105" s="291">
        <v>10000</v>
      </c>
      <c r="E105" s="291">
        <v>0</v>
      </c>
      <c r="F105" s="271">
        <f t="shared" si="2"/>
        <v>301.26</v>
      </c>
    </row>
    <row r="106" spans="1:6" ht="12.75">
      <c r="A106" s="112" t="s">
        <v>53</v>
      </c>
      <c r="B106" s="44" t="s">
        <v>155</v>
      </c>
      <c r="C106" s="175">
        <v>1600</v>
      </c>
      <c r="D106" s="290">
        <v>1600</v>
      </c>
      <c r="E106" s="290">
        <v>1019</v>
      </c>
      <c r="F106" s="273">
        <f t="shared" si="2"/>
        <v>48.2016</v>
      </c>
    </row>
    <row r="107" spans="1:6" ht="12.75">
      <c r="A107" s="53" t="s">
        <v>54</v>
      </c>
      <c r="B107" s="34" t="s">
        <v>124</v>
      </c>
      <c r="C107" s="160">
        <v>7300</v>
      </c>
      <c r="D107" s="137">
        <v>7300</v>
      </c>
      <c r="E107" s="137">
        <v>4772</v>
      </c>
      <c r="F107" s="270">
        <f t="shared" si="2"/>
        <v>219.9198</v>
      </c>
    </row>
    <row r="108" spans="1:6" ht="13.5" thickBot="1">
      <c r="A108" s="111" t="s">
        <v>55</v>
      </c>
      <c r="B108" s="37" t="s">
        <v>125</v>
      </c>
      <c r="C108" s="174">
        <v>3000</v>
      </c>
      <c r="D108" s="342">
        <v>3200</v>
      </c>
      <c r="E108" s="282">
        <v>1304</v>
      </c>
      <c r="F108" s="270">
        <f t="shared" si="2"/>
        <v>96.4032</v>
      </c>
    </row>
    <row r="109" spans="1:6" ht="13.5" thickBot="1">
      <c r="A109" s="414" t="s">
        <v>56</v>
      </c>
      <c r="B109" s="415"/>
      <c r="C109" s="177">
        <f>SUM(C110:C114)</f>
        <v>251198</v>
      </c>
      <c r="D109" s="159">
        <f>SUM(D110:D114)</f>
        <v>253308</v>
      </c>
      <c r="E109" s="159">
        <f>SUM(E110:E114)</f>
        <v>107737</v>
      </c>
      <c r="F109" s="284">
        <f>SUM(F110:F114)</f>
        <v>7631.156808</v>
      </c>
    </row>
    <row r="110" spans="1:6" ht="12.75">
      <c r="A110" s="222" t="s">
        <v>57</v>
      </c>
      <c r="B110" s="223" t="s">
        <v>147</v>
      </c>
      <c r="C110" s="224">
        <v>85000</v>
      </c>
      <c r="D110" s="218">
        <v>85000</v>
      </c>
      <c r="E110" s="218">
        <v>36940</v>
      </c>
      <c r="F110" s="270">
        <f>D110*$E$6/1000</f>
        <v>2560.71</v>
      </c>
    </row>
    <row r="111" spans="1:6" ht="12.75">
      <c r="A111" s="84" t="s">
        <v>58</v>
      </c>
      <c r="B111" s="7" t="s">
        <v>223</v>
      </c>
      <c r="C111" s="178">
        <v>78</v>
      </c>
      <c r="D111" s="153">
        <v>78</v>
      </c>
      <c r="E111" s="153">
        <v>0</v>
      </c>
      <c r="F111" s="270">
        <f>D111*$E$6/1000</f>
        <v>2.349828</v>
      </c>
    </row>
    <row r="112" spans="1:6" ht="12.75">
      <c r="A112" s="84" t="s">
        <v>59</v>
      </c>
      <c r="B112" s="7" t="s">
        <v>60</v>
      </c>
      <c r="C112" s="178">
        <v>95000</v>
      </c>
      <c r="D112" s="153">
        <v>95000</v>
      </c>
      <c r="E112" s="153">
        <v>45083</v>
      </c>
      <c r="F112" s="270">
        <f>D112*$E$6/1000</f>
        <v>2861.97</v>
      </c>
    </row>
    <row r="113" spans="1:6" ht="12.75">
      <c r="A113" s="84" t="s">
        <v>76</v>
      </c>
      <c r="B113" s="7" t="s">
        <v>153</v>
      </c>
      <c r="C113" s="178">
        <v>58000</v>
      </c>
      <c r="D113" s="153">
        <v>58000</v>
      </c>
      <c r="E113" s="153">
        <v>20284</v>
      </c>
      <c r="F113" s="270">
        <f>D113*$E$6/1000</f>
        <v>1747.308</v>
      </c>
    </row>
    <row r="114" spans="1:6" ht="13.5" thickBot="1">
      <c r="A114" s="111" t="s">
        <v>61</v>
      </c>
      <c r="B114" s="37" t="s">
        <v>127</v>
      </c>
      <c r="C114" s="179">
        <v>13120</v>
      </c>
      <c r="D114" s="320">
        <v>15230</v>
      </c>
      <c r="E114" s="335">
        <v>5430</v>
      </c>
      <c r="F114" s="270">
        <f>D114*$E$6/1000</f>
        <v>458.81898000000007</v>
      </c>
    </row>
    <row r="115" spans="1:6" ht="13.5" thickBot="1">
      <c r="A115" s="35" t="s">
        <v>62</v>
      </c>
      <c r="B115" s="36"/>
      <c r="C115" s="158">
        <f>SUM(C116:C124)</f>
        <v>96500</v>
      </c>
      <c r="D115" s="159">
        <f>SUM(D116:D124)</f>
        <v>112500</v>
      </c>
      <c r="E115" s="159">
        <f>SUM(E116:E124)</f>
        <v>36788</v>
      </c>
      <c r="F115" s="284">
        <f>SUM(F116:F124)</f>
        <v>3389.1749999999997</v>
      </c>
    </row>
    <row r="116" spans="1:6" ht="12.75">
      <c r="A116" s="53" t="s">
        <v>63</v>
      </c>
      <c r="B116" s="34" t="s">
        <v>128</v>
      </c>
      <c r="C116" s="160">
        <v>74000</v>
      </c>
      <c r="D116" s="137">
        <v>74000</v>
      </c>
      <c r="E116" s="137">
        <v>27156</v>
      </c>
      <c r="F116" s="270">
        <f aca="true" t="shared" si="3" ref="F116:F127">D116*$E$6/1000</f>
        <v>2229.324</v>
      </c>
    </row>
    <row r="117" spans="1:6" ht="12.75">
      <c r="A117" s="95" t="s">
        <v>64</v>
      </c>
      <c r="B117" s="9" t="s">
        <v>129</v>
      </c>
      <c r="C117" s="163">
        <v>11000</v>
      </c>
      <c r="D117" s="138">
        <v>11000</v>
      </c>
      <c r="E117" s="138">
        <v>4711</v>
      </c>
      <c r="F117" s="270">
        <f t="shared" si="3"/>
        <v>331.386</v>
      </c>
    </row>
    <row r="118" spans="1:6" ht="13.5" thickBot="1">
      <c r="A118" s="82" t="s">
        <v>64</v>
      </c>
      <c r="B118" s="42" t="s">
        <v>130</v>
      </c>
      <c r="C118" s="165">
        <v>1500</v>
      </c>
      <c r="D118" s="291">
        <v>1500</v>
      </c>
      <c r="E118" s="291">
        <v>0</v>
      </c>
      <c r="F118" s="271">
        <f t="shared" si="3"/>
        <v>45.189</v>
      </c>
    </row>
    <row r="119" spans="1:6" ht="12.75">
      <c r="A119" s="53" t="s">
        <v>65</v>
      </c>
      <c r="B119" s="34" t="s">
        <v>131</v>
      </c>
      <c r="C119" s="160">
        <v>200</v>
      </c>
      <c r="D119" s="137">
        <v>200</v>
      </c>
      <c r="E119" s="137">
        <v>0</v>
      </c>
      <c r="F119" s="273">
        <f t="shared" si="3"/>
        <v>6.0252</v>
      </c>
    </row>
    <row r="120" spans="1:6" ht="12.75">
      <c r="A120" s="95" t="s">
        <v>66</v>
      </c>
      <c r="B120" s="9" t="s">
        <v>67</v>
      </c>
      <c r="C120" s="163">
        <v>3000</v>
      </c>
      <c r="D120" s="311">
        <f>4000+12000+3000</f>
        <v>19000</v>
      </c>
      <c r="E120" s="138">
        <v>1846</v>
      </c>
      <c r="F120" s="270">
        <f t="shared" si="3"/>
        <v>572.394</v>
      </c>
    </row>
    <row r="121" spans="1:6" ht="12.75">
      <c r="A121" s="95" t="s">
        <v>68</v>
      </c>
      <c r="B121" s="9" t="s">
        <v>132</v>
      </c>
      <c r="C121" s="163">
        <v>1300</v>
      </c>
      <c r="D121" s="138">
        <v>1300</v>
      </c>
      <c r="E121" s="138">
        <v>305</v>
      </c>
      <c r="F121" s="270">
        <f t="shared" si="3"/>
        <v>39.1638</v>
      </c>
    </row>
    <row r="122" spans="1:6" ht="12.75">
      <c r="A122" s="95" t="s">
        <v>68</v>
      </c>
      <c r="B122" s="9" t="s">
        <v>133</v>
      </c>
      <c r="C122" s="163">
        <v>4900</v>
      </c>
      <c r="D122" s="138">
        <v>4900</v>
      </c>
      <c r="E122" s="138">
        <v>2770</v>
      </c>
      <c r="F122" s="270">
        <f t="shared" si="3"/>
        <v>147.6174</v>
      </c>
    </row>
    <row r="123" spans="1:6" ht="12.75">
      <c r="A123" s="95" t="s">
        <v>69</v>
      </c>
      <c r="B123" s="9" t="s">
        <v>70</v>
      </c>
      <c r="C123" s="163">
        <v>300</v>
      </c>
      <c r="D123" s="138">
        <v>300</v>
      </c>
      <c r="E123" s="138">
        <v>0</v>
      </c>
      <c r="F123" s="270">
        <f t="shared" si="3"/>
        <v>9.0378</v>
      </c>
    </row>
    <row r="124" spans="1:6" ht="12.75">
      <c r="A124" s="95" t="s">
        <v>71</v>
      </c>
      <c r="B124" s="9" t="s">
        <v>72</v>
      </c>
      <c r="C124" s="163">
        <v>300</v>
      </c>
      <c r="D124" s="138">
        <v>300</v>
      </c>
      <c r="E124" s="138">
        <v>0</v>
      </c>
      <c r="F124" s="270">
        <f t="shared" si="3"/>
        <v>9.0378</v>
      </c>
    </row>
    <row r="125" spans="1:6" ht="16.5" thickBot="1">
      <c r="A125" s="225" t="s">
        <v>134</v>
      </c>
      <c r="B125" s="63"/>
      <c r="C125" s="167">
        <f>SUM(C76+C81+C83+C85+C90+C93+C95+C109+C115)</f>
        <v>742638</v>
      </c>
      <c r="D125" s="293">
        <f>SUM(D76+D81+D83+D85+D90+D93+D95+D109+D115)</f>
        <v>783288</v>
      </c>
      <c r="E125" s="293">
        <f>SUM(E76+E81+E83+E85+E90+E93+E95+E109+E115)</f>
        <v>292499</v>
      </c>
      <c r="F125" s="286">
        <f>SUM(F76+F81+F83+F85+F90+F93+F95+F109+F115)</f>
        <v>23597.334288</v>
      </c>
    </row>
    <row r="126" spans="1:6" ht="12.75">
      <c r="A126" s="93" t="s">
        <v>58</v>
      </c>
      <c r="B126" s="92" t="s">
        <v>73</v>
      </c>
      <c r="C126" s="168">
        <f>C57+C70-78</f>
        <v>290396</v>
      </c>
      <c r="D126" s="308">
        <f>D57+D70-78</f>
        <v>303564</v>
      </c>
      <c r="E126" s="308">
        <f>E57+E70</f>
        <v>127397</v>
      </c>
      <c r="F126" s="270">
        <f t="shared" si="3"/>
        <v>9145.169064000002</v>
      </c>
    </row>
    <row r="127" spans="1:6" ht="12.75">
      <c r="A127" s="94" t="s">
        <v>74</v>
      </c>
      <c r="B127" s="8" t="s">
        <v>75</v>
      </c>
      <c r="C127" s="169">
        <v>17000</v>
      </c>
      <c r="D127" s="294">
        <v>17000</v>
      </c>
      <c r="E127" s="294">
        <f>4250*2</f>
        <v>8500</v>
      </c>
      <c r="F127" s="270">
        <f t="shared" si="3"/>
        <v>512.142</v>
      </c>
    </row>
    <row r="128" spans="1:6" ht="13.5" thickBot="1">
      <c r="A128" s="416" t="s">
        <v>156</v>
      </c>
      <c r="B128" s="417"/>
      <c r="C128" s="170">
        <f>SUM(C126:C127)</f>
        <v>307396</v>
      </c>
      <c r="D128" s="170">
        <f>SUM(D126:D127)</f>
        <v>320564</v>
      </c>
      <c r="E128" s="170">
        <f>SUM(E126:E127)</f>
        <v>135897</v>
      </c>
      <c r="F128" s="287">
        <f>SUM(F126:F127)</f>
        <v>9657.311064000001</v>
      </c>
    </row>
    <row r="129" spans="1:6" ht="16.5" thickBot="1">
      <c r="A129" s="61" t="s">
        <v>77</v>
      </c>
      <c r="B129" s="39"/>
      <c r="C129" s="171">
        <f>C125+C128</f>
        <v>1050034</v>
      </c>
      <c r="D129" s="171">
        <f>D125+D128</f>
        <v>1103852</v>
      </c>
      <c r="E129" s="171">
        <f>E125+E128</f>
        <v>428396</v>
      </c>
      <c r="F129" s="288">
        <f>F125+F128</f>
        <v>33254.645352</v>
      </c>
    </row>
    <row r="130" ht="12.75">
      <c r="E130" s="80"/>
    </row>
    <row r="131" spans="1:5" ht="12.75">
      <c r="A131" s="11"/>
      <c r="B131" s="17"/>
      <c r="C131" s="17"/>
      <c r="D131" s="17"/>
      <c r="E131" s="18"/>
    </row>
    <row r="132" spans="1:5" ht="18.75" thickBot="1">
      <c r="A132" s="410" t="s">
        <v>78</v>
      </c>
      <c r="B132" s="411"/>
      <c r="C132" s="411"/>
      <c r="D132" s="411"/>
      <c r="E132" s="411"/>
    </row>
    <row r="133" spans="1:6" ht="12.75" customHeight="1">
      <c r="A133" s="397" t="s">
        <v>1</v>
      </c>
      <c r="B133" s="398"/>
      <c r="C133" s="389" t="s">
        <v>190</v>
      </c>
      <c r="D133" s="429" t="s">
        <v>226</v>
      </c>
      <c r="E133" s="429" t="s">
        <v>225</v>
      </c>
      <c r="F133" s="389" t="s">
        <v>195</v>
      </c>
    </row>
    <row r="134" spans="1:7" ht="13.5" thickBot="1">
      <c r="A134" s="412"/>
      <c r="B134" s="413"/>
      <c r="C134" s="390"/>
      <c r="D134" s="430"/>
      <c r="E134" s="430"/>
      <c r="F134" s="390"/>
      <c r="G134" s="80"/>
    </row>
    <row r="135" spans="1:7" ht="15.75" thickBot="1">
      <c r="A135" s="402" t="s">
        <v>139</v>
      </c>
      <c r="B135" s="403"/>
      <c r="C135" s="146">
        <f>SUM(C136:C138)</f>
        <v>0</v>
      </c>
      <c r="D135" s="229">
        <f>SUM(D136:D138)</f>
        <v>28195</v>
      </c>
      <c r="E135" s="146">
        <f>SUM(E136:E138)</f>
        <v>38195</v>
      </c>
      <c r="F135" s="229">
        <f>SUM(F136:F138)</f>
        <v>849.4025700000001</v>
      </c>
      <c r="G135" s="18"/>
    </row>
    <row r="136" spans="1:6" ht="12.75">
      <c r="A136" s="69">
        <v>230</v>
      </c>
      <c r="B136" s="44" t="s">
        <v>97</v>
      </c>
      <c r="C136" s="147">
        <v>0</v>
      </c>
      <c r="D136" s="295">
        <v>1195</v>
      </c>
      <c r="E136" s="290">
        <v>1195</v>
      </c>
      <c r="F136" s="270">
        <f>D136*$E$6/1000</f>
        <v>36.000569999999996</v>
      </c>
    </row>
    <row r="137" spans="1:6" ht="12.75">
      <c r="A137" s="127">
        <v>322</v>
      </c>
      <c r="B137" s="227" t="s">
        <v>201</v>
      </c>
      <c r="C137" s="228">
        <v>0</v>
      </c>
      <c r="D137" s="296">
        <v>0</v>
      </c>
      <c r="E137" s="296">
        <v>0</v>
      </c>
      <c r="F137" s="270">
        <f>D137*$E$6/1000</f>
        <v>0</v>
      </c>
    </row>
    <row r="138" spans="1:6" ht="13.5" thickBot="1">
      <c r="A138" s="68">
        <v>321</v>
      </c>
      <c r="B138" s="42" t="s">
        <v>167</v>
      </c>
      <c r="C138" s="145">
        <v>0</v>
      </c>
      <c r="D138" s="340">
        <v>27000</v>
      </c>
      <c r="E138" s="291">
        <v>37000</v>
      </c>
      <c r="F138" s="271">
        <f>D138*$E$6/1000</f>
        <v>813.402</v>
      </c>
    </row>
    <row r="139" spans="1:6" ht="18.75" thickBot="1">
      <c r="A139" s="52"/>
      <c r="B139" s="3"/>
      <c r="C139" s="148"/>
      <c r="D139" s="297"/>
      <c r="E139" s="297"/>
      <c r="F139" s="149"/>
    </row>
    <row r="140" spans="1:6" ht="16.5" thickBot="1">
      <c r="A140" s="402" t="s">
        <v>140</v>
      </c>
      <c r="B140" s="403"/>
      <c r="C140" s="150">
        <f>SUM(C141:C157)</f>
        <v>200666</v>
      </c>
      <c r="D140" s="150">
        <f>SUM(D141:D157)</f>
        <v>385686</v>
      </c>
      <c r="E140" s="150">
        <f>SUM(E141:E157)</f>
        <v>118799</v>
      </c>
      <c r="F140" s="150">
        <f>SUM(F141:F157)</f>
        <v>11619.176436000002</v>
      </c>
    </row>
    <row r="141" spans="1:6" ht="12.75">
      <c r="A141" s="95" t="s">
        <v>36</v>
      </c>
      <c r="B141" s="6" t="s">
        <v>171</v>
      </c>
      <c r="C141" s="151">
        <v>0</v>
      </c>
      <c r="D141" s="298">
        <f>3870+553+2600</f>
        <v>7023</v>
      </c>
      <c r="E141" s="322">
        <v>3869</v>
      </c>
      <c r="F141" s="270">
        <f aca="true" t="shared" si="4" ref="F141:F157">D141*$E$6/1000</f>
        <v>211.57489800000002</v>
      </c>
    </row>
    <row r="142" spans="1:6" ht="12.75">
      <c r="A142" s="266" t="s">
        <v>36</v>
      </c>
      <c r="B142" s="6" t="s">
        <v>231</v>
      </c>
      <c r="C142" s="267">
        <v>0</v>
      </c>
      <c r="D142" s="298">
        <v>35000</v>
      </c>
      <c r="E142" s="322">
        <v>35000</v>
      </c>
      <c r="F142" s="270">
        <f t="shared" si="4"/>
        <v>1054.41</v>
      </c>
    </row>
    <row r="143" spans="1:6" ht="13.5" thickBot="1">
      <c r="A143" s="64" t="s">
        <v>36</v>
      </c>
      <c r="B143" s="83" t="s">
        <v>199</v>
      </c>
      <c r="C143" s="152">
        <v>0</v>
      </c>
      <c r="D143" s="299">
        <f>1339+38759+426+4201+2800+2800+9664+10820+2380</f>
        <v>73189</v>
      </c>
      <c r="E143" s="336">
        <v>49193</v>
      </c>
      <c r="F143" s="268">
        <f t="shared" si="4"/>
        <v>2204.891814</v>
      </c>
    </row>
    <row r="144" spans="1:6" ht="12.75">
      <c r="A144" s="135" t="s">
        <v>38</v>
      </c>
      <c r="B144" s="136" t="s">
        <v>222</v>
      </c>
      <c r="C144" s="155">
        <v>0</v>
      </c>
      <c r="D144" s="315">
        <v>800</v>
      </c>
      <c r="E144" s="337">
        <v>772</v>
      </c>
      <c r="F144" s="273">
        <f t="shared" si="4"/>
        <v>24.1008</v>
      </c>
    </row>
    <row r="145" spans="1:6" ht="12.75">
      <c r="A145" s="70" t="s">
        <v>38</v>
      </c>
      <c r="B145" s="28" t="s">
        <v>217</v>
      </c>
      <c r="C145" s="156">
        <v>0</v>
      </c>
      <c r="D145" s="300">
        <f>19520+8000</f>
        <v>27520</v>
      </c>
      <c r="E145" s="321">
        <v>22591</v>
      </c>
      <c r="F145" s="270">
        <f>D145*$E$6/1000</f>
        <v>829.0675200000001</v>
      </c>
    </row>
    <row r="146" spans="1:6" ht="12.75">
      <c r="A146" s="49" t="s">
        <v>40</v>
      </c>
      <c r="B146" s="28" t="s">
        <v>182</v>
      </c>
      <c r="C146" s="156">
        <v>38706</v>
      </c>
      <c r="D146" s="276">
        <v>38706</v>
      </c>
      <c r="E146" s="321">
        <v>0</v>
      </c>
      <c r="F146" s="270">
        <f t="shared" si="4"/>
        <v>1166.056956</v>
      </c>
    </row>
    <row r="147" spans="1:6" ht="12.75">
      <c r="A147" s="84" t="s">
        <v>184</v>
      </c>
      <c r="B147" s="85" t="s">
        <v>79</v>
      </c>
      <c r="C147" s="151">
        <v>0</v>
      </c>
      <c r="D147" s="140">
        <v>0</v>
      </c>
      <c r="E147" s="322">
        <v>0</v>
      </c>
      <c r="F147" s="270">
        <f t="shared" si="4"/>
        <v>0</v>
      </c>
    </row>
    <row r="148" spans="1:6" ht="12.75">
      <c r="A148" s="95" t="s">
        <v>184</v>
      </c>
      <c r="B148" s="6" t="s">
        <v>185</v>
      </c>
      <c r="C148" s="157">
        <v>73550</v>
      </c>
      <c r="D148" s="140">
        <v>73550</v>
      </c>
      <c r="E148" s="322">
        <v>0</v>
      </c>
      <c r="F148" s="270">
        <f t="shared" si="4"/>
        <v>2215.7673000000004</v>
      </c>
    </row>
    <row r="149" spans="1:6" ht="12.75">
      <c r="A149" s="84" t="s">
        <v>186</v>
      </c>
      <c r="B149" s="6" t="s">
        <v>168</v>
      </c>
      <c r="C149" s="151">
        <v>0</v>
      </c>
      <c r="D149" s="140">
        <v>0</v>
      </c>
      <c r="E149" s="322">
        <v>0</v>
      </c>
      <c r="F149" s="270">
        <f t="shared" si="4"/>
        <v>0</v>
      </c>
    </row>
    <row r="150" spans="1:6" ht="12.75">
      <c r="A150" s="70" t="s">
        <v>186</v>
      </c>
      <c r="B150" s="28" t="s">
        <v>200</v>
      </c>
      <c r="C150" s="156">
        <v>49247</v>
      </c>
      <c r="D150" s="276">
        <v>49247</v>
      </c>
      <c r="E150" s="321">
        <v>0</v>
      </c>
      <c r="F150" s="270">
        <f t="shared" si="4"/>
        <v>1483.615122</v>
      </c>
    </row>
    <row r="151" spans="1:6" ht="12.75">
      <c r="A151" s="70" t="s">
        <v>44</v>
      </c>
      <c r="B151" s="28" t="s">
        <v>233</v>
      </c>
      <c r="C151" s="156">
        <v>0</v>
      </c>
      <c r="D151" s="300">
        <v>9494</v>
      </c>
      <c r="E151" s="321">
        <v>0</v>
      </c>
      <c r="F151" s="270">
        <f t="shared" si="4"/>
        <v>286.01624400000003</v>
      </c>
    </row>
    <row r="152" spans="1:6" ht="12.75">
      <c r="A152" s="49" t="s">
        <v>50</v>
      </c>
      <c r="B152" s="28" t="s">
        <v>151</v>
      </c>
      <c r="C152" s="156">
        <v>0</v>
      </c>
      <c r="D152" s="339">
        <v>0</v>
      </c>
      <c r="E152" s="321">
        <v>0</v>
      </c>
      <c r="F152" s="270">
        <f t="shared" si="4"/>
        <v>0</v>
      </c>
    </row>
    <row r="153" spans="1:6" ht="12.75">
      <c r="A153" s="49" t="s">
        <v>54</v>
      </c>
      <c r="B153" s="28" t="s">
        <v>232</v>
      </c>
      <c r="C153" s="156"/>
      <c r="D153" s="339">
        <v>24620</v>
      </c>
      <c r="E153" s="321"/>
      <c r="F153" s="270">
        <f t="shared" si="4"/>
        <v>741.70212</v>
      </c>
    </row>
    <row r="154" spans="1:6" ht="12.75">
      <c r="A154" s="50" t="s">
        <v>58</v>
      </c>
      <c r="B154" s="6" t="s">
        <v>170</v>
      </c>
      <c r="C154" s="151">
        <v>8984</v>
      </c>
      <c r="D154" s="140">
        <v>8984</v>
      </c>
      <c r="E154" s="322">
        <v>0</v>
      </c>
      <c r="F154" s="270">
        <f t="shared" si="4"/>
        <v>270.65198399999997</v>
      </c>
    </row>
    <row r="155" spans="1:6" ht="12.75">
      <c r="A155" s="50" t="s">
        <v>58</v>
      </c>
      <c r="B155" s="6" t="s">
        <v>198</v>
      </c>
      <c r="C155" s="151">
        <v>30179</v>
      </c>
      <c r="D155" s="140">
        <v>30179</v>
      </c>
      <c r="E155" s="322">
        <v>0</v>
      </c>
      <c r="F155" s="270">
        <f t="shared" si="4"/>
        <v>909.172554</v>
      </c>
    </row>
    <row r="156" spans="1:6" ht="12.75">
      <c r="A156" s="50" t="s">
        <v>58</v>
      </c>
      <c r="B156" s="6" t="s">
        <v>216</v>
      </c>
      <c r="C156" s="151">
        <v>0</v>
      </c>
      <c r="D156" s="298">
        <v>7374</v>
      </c>
      <c r="E156" s="322">
        <v>7374</v>
      </c>
      <c r="F156" s="270">
        <f t="shared" si="4"/>
        <v>222.149124</v>
      </c>
    </row>
    <row r="157" spans="1:6" ht="13.5" thickBot="1">
      <c r="A157" s="51" t="s">
        <v>76</v>
      </c>
      <c r="B157" s="32" t="s">
        <v>174</v>
      </c>
      <c r="C157" s="154">
        <v>0</v>
      </c>
      <c r="D157" s="279">
        <v>0</v>
      </c>
      <c r="E157" s="279">
        <v>0</v>
      </c>
      <c r="F157" s="271">
        <f t="shared" si="4"/>
        <v>0</v>
      </c>
    </row>
    <row r="159" spans="1:6" ht="12.75" customHeight="1">
      <c r="A159" s="20"/>
      <c r="B159" s="21"/>
      <c r="C159" s="21"/>
      <c r="D159" s="21"/>
      <c r="E159" s="86"/>
      <c r="F159" s="87"/>
    </row>
    <row r="160" spans="1:6" ht="12.75">
      <c r="A160" s="21"/>
      <c r="B160" s="17"/>
      <c r="C160" s="17"/>
      <c r="D160" s="17"/>
      <c r="E160" s="22"/>
      <c r="F160" s="22"/>
    </row>
    <row r="161" spans="1:5" ht="18.75" thickBot="1">
      <c r="A161" s="404" t="s">
        <v>80</v>
      </c>
      <c r="B161" s="405"/>
      <c r="C161" s="405"/>
      <c r="D161" s="405"/>
      <c r="E161" s="405"/>
    </row>
    <row r="162" spans="1:6" ht="12.75">
      <c r="A162" s="397" t="s">
        <v>1</v>
      </c>
      <c r="B162" s="398"/>
      <c r="C162" s="389" t="s">
        <v>190</v>
      </c>
      <c r="D162" s="429" t="s">
        <v>226</v>
      </c>
      <c r="E162" s="429" t="s">
        <v>225</v>
      </c>
      <c r="F162" s="433" t="s">
        <v>194</v>
      </c>
    </row>
    <row r="163" spans="1:6" ht="13.5" thickBot="1">
      <c r="A163" s="412"/>
      <c r="B163" s="413"/>
      <c r="C163" s="390"/>
      <c r="D163" s="430"/>
      <c r="E163" s="430"/>
      <c r="F163" s="434"/>
    </row>
    <row r="164" spans="1:6" ht="16.5" thickBot="1">
      <c r="A164" s="435" t="s">
        <v>141</v>
      </c>
      <c r="B164" s="436"/>
      <c r="C164" s="208">
        <f>SUM(C165:C167)</f>
        <v>202266</v>
      </c>
      <c r="D164" s="208">
        <f>SUM(D165:D167)</f>
        <v>344347</v>
      </c>
      <c r="E164" s="208">
        <f>SUM(E165:E167)</f>
        <v>63957</v>
      </c>
      <c r="F164" s="208">
        <f>SUM(F165:F167)</f>
        <v>10373.797722</v>
      </c>
    </row>
    <row r="165" spans="1:6" ht="12.75">
      <c r="A165" s="209">
        <v>411</v>
      </c>
      <c r="B165" s="212" t="s">
        <v>193</v>
      </c>
      <c r="C165" s="210">
        <v>1600</v>
      </c>
      <c r="D165" s="303">
        <v>1600</v>
      </c>
      <c r="E165" s="303">
        <v>442</v>
      </c>
      <c r="F165" s="273">
        <f>D165*$E$6/1000</f>
        <v>48.2016</v>
      </c>
    </row>
    <row r="166" spans="1:6" ht="14.25" customHeight="1">
      <c r="A166" s="47">
        <v>454</v>
      </c>
      <c r="B166" s="5" t="s">
        <v>173</v>
      </c>
      <c r="C166" s="144">
        <v>0</v>
      </c>
      <c r="D166" s="304">
        <f>63515+78566</f>
        <v>142081</v>
      </c>
      <c r="E166" s="324">
        <v>63515</v>
      </c>
      <c r="F166" s="270">
        <f>D166*$E$6/1000</f>
        <v>4280.332206</v>
      </c>
    </row>
    <row r="167" spans="1:7" ht="14.25" customHeight="1" thickBot="1">
      <c r="A167" s="201">
        <v>513</v>
      </c>
      <c r="B167" s="202" t="s">
        <v>183</v>
      </c>
      <c r="C167" s="203">
        <v>200666</v>
      </c>
      <c r="D167" s="309">
        <f>200666</f>
        <v>200666</v>
      </c>
      <c r="E167" s="329">
        <v>0</v>
      </c>
      <c r="F167" s="274">
        <f>D167*$E$6/1000</f>
        <v>6045.263916</v>
      </c>
      <c r="G167" s="25"/>
    </row>
    <row r="168" spans="1:6" ht="16.5" thickBot="1">
      <c r="A168" s="435" t="s">
        <v>142</v>
      </c>
      <c r="B168" s="436"/>
      <c r="C168" s="208">
        <f>SUM(C169:C170)</f>
        <v>2965</v>
      </c>
      <c r="D168" s="302">
        <f>SUM(D169:D170)</f>
        <v>3014</v>
      </c>
      <c r="E168" s="330">
        <f>SUM(E169:E170)</f>
        <v>405</v>
      </c>
      <c r="F168" s="301">
        <f>SUM(F169:F170)</f>
        <v>90.79976400000001</v>
      </c>
    </row>
    <row r="169" spans="1:6" ht="12.75">
      <c r="A169" s="231">
        <v>821</v>
      </c>
      <c r="B169" s="212" t="s">
        <v>202</v>
      </c>
      <c r="C169" s="232">
        <v>2434</v>
      </c>
      <c r="D169" s="305">
        <v>2434</v>
      </c>
      <c r="E169" s="331">
        <v>0</v>
      </c>
      <c r="F169" s="269">
        <f>D169*$E$6/1000</f>
        <v>73.32668400000001</v>
      </c>
    </row>
    <row r="170" spans="1:6" ht="13.5" thickBot="1">
      <c r="A170" s="205">
        <v>821</v>
      </c>
      <c r="B170" s="206" t="s">
        <v>135</v>
      </c>
      <c r="C170" s="196">
        <v>531</v>
      </c>
      <c r="D170" s="306">
        <v>580</v>
      </c>
      <c r="E170" s="332">
        <v>405</v>
      </c>
      <c r="F170" s="268">
        <f>D170*$E$6/1000</f>
        <v>17.473080000000003</v>
      </c>
    </row>
    <row r="171" spans="1:6" ht="15.75">
      <c r="A171" s="10"/>
      <c r="B171" s="11"/>
      <c r="C171" s="11"/>
      <c r="D171" s="11"/>
      <c r="E171" s="12"/>
      <c r="F171" s="12"/>
    </row>
    <row r="172" spans="1:6" ht="15.75">
      <c r="A172" s="10"/>
      <c r="B172" s="11"/>
      <c r="C172" s="11"/>
      <c r="D172" s="11"/>
      <c r="E172" s="12"/>
      <c r="F172" s="23"/>
    </row>
    <row r="173" spans="1:5" ht="12.75" customHeight="1">
      <c r="A173" s="10"/>
      <c r="B173" s="11"/>
      <c r="C173" s="11"/>
      <c r="D173" s="11"/>
      <c r="E173" s="12"/>
    </row>
    <row r="174" spans="2:5" ht="12.75">
      <c r="B174" s="17"/>
      <c r="C174" s="17"/>
      <c r="D174" s="17"/>
      <c r="E174" s="23"/>
    </row>
    <row r="175" spans="1:5" ht="18.75" thickBot="1">
      <c r="A175" s="395" t="s">
        <v>143</v>
      </c>
      <c r="B175" s="396"/>
      <c r="C175" s="396"/>
      <c r="D175" s="396"/>
      <c r="E175" s="396"/>
    </row>
    <row r="176" spans="1:6" ht="12.75">
      <c r="A176" s="397" t="s">
        <v>1</v>
      </c>
      <c r="B176" s="398"/>
      <c r="C176" s="431" t="s">
        <v>190</v>
      </c>
      <c r="D176" s="429" t="s">
        <v>226</v>
      </c>
      <c r="E176" s="429" t="s">
        <v>225</v>
      </c>
      <c r="F176" s="431" t="s">
        <v>195</v>
      </c>
    </row>
    <row r="177" spans="1:6" ht="13.5" thickBot="1">
      <c r="A177" s="399"/>
      <c r="B177" s="400"/>
      <c r="C177" s="432"/>
      <c r="D177" s="430"/>
      <c r="E177" s="430"/>
      <c r="F177" s="432"/>
    </row>
    <row r="178" spans="1:6" ht="15">
      <c r="A178" s="307" t="s">
        <v>81</v>
      </c>
      <c r="B178" s="45"/>
      <c r="C178" s="290">
        <f>C71</f>
        <v>1051399</v>
      </c>
      <c r="D178" s="290">
        <f>D71</f>
        <v>1120010</v>
      </c>
      <c r="E178" s="290">
        <f>E71</f>
        <v>460088</v>
      </c>
      <c r="F178" s="137">
        <f>F71</f>
        <v>33741.42126</v>
      </c>
    </row>
    <row r="179" spans="1:6" ht="15">
      <c r="A179" s="54" t="s">
        <v>82</v>
      </c>
      <c r="B179" s="6"/>
      <c r="C179" s="138">
        <f>C129</f>
        <v>1050034</v>
      </c>
      <c r="D179" s="138">
        <f>D129</f>
        <v>1103852</v>
      </c>
      <c r="E179" s="138">
        <f>E129</f>
        <v>428396</v>
      </c>
      <c r="F179" s="138">
        <f>F129</f>
        <v>33254.645352</v>
      </c>
    </row>
    <row r="180" spans="1:6" ht="15.75">
      <c r="A180" s="46"/>
      <c r="B180" s="24" t="s">
        <v>83</v>
      </c>
      <c r="C180" s="139">
        <f>C178-C179</f>
        <v>1365</v>
      </c>
      <c r="D180" s="139">
        <f>D178-D179</f>
        <v>16158</v>
      </c>
      <c r="E180" s="139">
        <f>E178-E179</f>
        <v>31692</v>
      </c>
      <c r="F180" s="139">
        <f>F178-F179</f>
        <v>486.77590800000326</v>
      </c>
    </row>
    <row r="181" spans="1:6" ht="15">
      <c r="A181" s="54" t="s">
        <v>84</v>
      </c>
      <c r="B181" s="6"/>
      <c r="C181" s="138">
        <f>C135</f>
        <v>0</v>
      </c>
      <c r="D181" s="138">
        <f>D135</f>
        <v>28195</v>
      </c>
      <c r="E181" s="138">
        <f>E135</f>
        <v>38195</v>
      </c>
      <c r="F181" s="138">
        <f>F135</f>
        <v>849.4025700000001</v>
      </c>
    </row>
    <row r="182" spans="1:6" ht="15">
      <c r="A182" s="54" t="s">
        <v>85</v>
      </c>
      <c r="B182" s="6"/>
      <c r="C182" s="140">
        <f>C140</f>
        <v>200666</v>
      </c>
      <c r="D182" s="140">
        <f>D140</f>
        <v>385686</v>
      </c>
      <c r="E182" s="140">
        <f>E140</f>
        <v>118799</v>
      </c>
      <c r="F182" s="140">
        <f>F140</f>
        <v>11619.176436000002</v>
      </c>
    </row>
    <row r="183" spans="1:6" ht="15.75">
      <c r="A183" s="46"/>
      <c r="B183" s="26" t="s">
        <v>86</v>
      </c>
      <c r="C183" s="139">
        <f>C181-C182</f>
        <v>-200666</v>
      </c>
      <c r="D183" s="139">
        <f>D181-D182</f>
        <v>-357491</v>
      </c>
      <c r="E183" s="139">
        <f>E181-E182</f>
        <v>-80604</v>
      </c>
      <c r="F183" s="139">
        <f>F181-F182</f>
        <v>-10769.773866000001</v>
      </c>
    </row>
    <row r="184" spans="1:6" ht="15">
      <c r="A184" s="383" t="s">
        <v>137</v>
      </c>
      <c r="B184" s="384"/>
      <c r="C184" s="141">
        <f>C164</f>
        <v>202266</v>
      </c>
      <c r="D184" s="141">
        <f>D164</f>
        <v>344347</v>
      </c>
      <c r="E184" s="141">
        <f>E164</f>
        <v>63957</v>
      </c>
      <c r="F184" s="141">
        <f>F164</f>
        <v>10373.797722</v>
      </c>
    </row>
    <row r="185" spans="1:6" ht="15">
      <c r="A185" s="383" t="s">
        <v>136</v>
      </c>
      <c r="B185" s="384"/>
      <c r="C185" s="141">
        <f>C168</f>
        <v>2965</v>
      </c>
      <c r="D185" s="141">
        <f>D168</f>
        <v>3014</v>
      </c>
      <c r="E185" s="141">
        <f>E168</f>
        <v>405</v>
      </c>
      <c r="F185" s="141">
        <f>F168</f>
        <v>90.79976400000001</v>
      </c>
    </row>
    <row r="186" spans="1:6" ht="16.5" thickBot="1">
      <c r="A186" s="55"/>
      <c r="B186" s="56" t="s">
        <v>138</v>
      </c>
      <c r="C186" s="142">
        <f>C184-C185</f>
        <v>199301</v>
      </c>
      <c r="D186" s="142">
        <f>D184-D185</f>
        <v>341333</v>
      </c>
      <c r="E186" s="142">
        <f>E184-E185</f>
        <v>63552</v>
      </c>
      <c r="F186" s="142">
        <f>F184-F185</f>
        <v>10282.997958</v>
      </c>
    </row>
    <row r="187" spans="1:6" ht="16.5" thickBot="1">
      <c r="A187" s="385" t="s">
        <v>87</v>
      </c>
      <c r="B187" s="386"/>
      <c r="C187" s="143">
        <f>C180+C183+C186</f>
        <v>0</v>
      </c>
      <c r="D187" s="143">
        <f>D180+D183+D186</f>
        <v>0</v>
      </c>
      <c r="E187" s="143">
        <f>E180+E183+E186</f>
        <v>14640</v>
      </c>
      <c r="F187" s="143">
        <f>F180+F183+F186</f>
        <v>0</v>
      </c>
    </row>
    <row r="188" ht="12.75">
      <c r="F188" s="71"/>
    </row>
    <row r="189" spans="2:6" ht="12.75">
      <c r="B189" s="27" t="s">
        <v>88</v>
      </c>
      <c r="C189" s="71">
        <f aca="true" t="shared" si="5" ref="C189:F190">C178+C181+C184</f>
        <v>1253665</v>
      </c>
      <c r="D189" s="71">
        <f t="shared" si="5"/>
        <v>1492552</v>
      </c>
      <c r="E189" s="71">
        <f t="shared" si="5"/>
        <v>562240</v>
      </c>
      <c r="F189" s="71">
        <f t="shared" si="5"/>
        <v>44964.621552</v>
      </c>
    </row>
    <row r="190" spans="2:6" ht="12.75">
      <c r="B190" s="27" t="s">
        <v>89</v>
      </c>
      <c r="C190" s="71">
        <f t="shared" si="5"/>
        <v>1253665</v>
      </c>
      <c r="D190" s="71">
        <f t="shared" si="5"/>
        <v>1492552</v>
      </c>
      <c r="E190" s="71">
        <f t="shared" si="5"/>
        <v>547600</v>
      </c>
      <c r="F190" s="71">
        <f t="shared" si="5"/>
        <v>44964.621552000004</v>
      </c>
    </row>
    <row r="191" spans="2:6" ht="12.75">
      <c r="B191" s="27"/>
      <c r="C191" s="71"/>
      <c r="D191" s="71"/>
      <c r="E191" s="71"/>
      <c r="F191" s="71"/>
    </row>
    <row r="192" spans="2:6" ht="12.75">
      <c r="B192" s="27" t="s">
        <v>150</v>
      </c>
      <c r="C192" s="71">
        <f>C189-C70</f>
        <v>1251991</v>
      </c>
      <c r="D192" s="71">
        <f>D189-D70</f>
        <v>1490878</v>
      </c>
      <c r="E192" s="71">
        <f>E189-E70</f>
        <v>562240</v>
      </c>
      <c r="F192" s="71">
        <f>F189-F70</f>
        <v>44914.190628</v>
      </c>
    </row>
    <row r="193" spans="2:6" ht="12.75">
      <c r="B193" s="27" t="s">
        <v>154</v>
      </c>
      <c r="C193" s="71">
        <f>C190-C128</f>
        <v>946269</v>
      </c>
      <c r="D193" s="71">
        <f>D190-D128</f>
        <v>1171988</v>
      </c>
      <c r="E193" s="71">
        <f>E190-E128</f>
        <v>411703</v>
      </c>
      <c r="F193" s="71">
        <f>F190-F128</f>
        <v>35307.310488</v>
      </c>
    </row>
  </sheetData>
  <sheetProtection/>
  <mergeCells count="47">
    <mergeCell ref="F176:F177"/>
    <mergeCell ref="A184:B184"/>
    <mergeCell ref="A185:B185"/>
    <mergeCell ref="A187:B187"/>
    <mergeCell ref="A164:B164"/>
    <mergeCell ref="A168:B168"/>
    <mergeCell ref="A175:E175"/>
    <mergeCell ref="A176:B177"/>
    <mergeCell ref="C176:C177"/>
    <mergeCell ref="D176:D177"/>
    <mergeCell ref="E176:E177"/>
    <mergeCell ref="F133:F134"/>
    <mergeCell ref="A135:B135"/>
    <mergeCell ref="A140:B140"/>
    <mergeCell ref="A161:E161"/>
    <mergeCell ref="E133:E134"/>
    <mergeCell ref="A162:B163"/>
    <mergeCell ref="C162:C163"/>
    <mergeCell ref="D162:D163"/>
    <mergeCell ref="E162:E163"/>
    <mergeCell ref="D74:D75"/>
    <mergeCell ref="E74:E75"/>
    <mergeCell ref="F162:F163"/>
    <mergeCell ref="A83:B83"/>
    <mergeCell ref="A109:B109"/>
    <mergeCell ref="A128:B128"/>
    <mergeCell ref="A132:E132"/>
    <mergeCell ref="A133:B134"/>
    <mergeCell ref="C133:C134"/>
    <mergeCell ref="D133:D134"/>
    <mergeCell ref="F74:F75"/>
    <mergeCell ref="A81:B81"/>
    <mergeCell ref="F8:F9"/>
    <mergeCell ref="A10:B10"/>
    <mergeCell ref="A19:B19"/>
    <mergeCell ref="A38:B38"/>
    <mergeCell ref="A40:B40"/>
    <mergeCell ref="A73:E73"/>
    <mergeCell ref="A74:B75"/>
    <mergeCell ref="C74:C75"/>
    <mergeCell ref="A1:E1"/>
    <mergeCell ref="A2:E2"/>
    <mergeCell ref="A7:E7"/>
    <mergeCell ref="A8:B9"/>
    <mergeCell ref="C8:C9"/>
    <mergeCell ref="D8:D9"/>
    <mergeCell ref="E8:E9"/>
  </mergeCells>
  <printOptions/>
  <pageMargins left="0.6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Tkacik</dc:creator>
  <cp:keywords/>
  <dc:description/>
  <cp:lastModifiedBy>Dane</cp:lastModifiedBy>
  <cp:lastPrinted>2011-01-31T10:40:01Z</cp:lastPrinted>
  <dcterms:created xsi:type="dcterms:W3CDTF">2007-12-02T16:29:08Z</dcterms:created>
  <dcterms:modified xsi:type="dcterms:W3CDTF">2011-01-31T10:41:18Z</dcterms:modified>
  <cp:category/>
  <cp:version/>
  <cp:contentType/>
  <cp:contentStatus/>
</cp:coreProperties>
</file>